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775" windowHeight="10710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ФЕР'!$26:$26</definedName>
    <definedName name="_xlnm.Print_Area" localSheetId="1">'Акт КС-2 c НР и СП'!$A$1:$H$643</definedName>
    <definedName name="_xlnm.Print_Area" localSheetId="0">'Смета 12 гр. по ФЕР'!$A$1:$L$434</definedName>
  </definedNames>
  <calcPr calcId="145621"/>
</workbook>
</file>

<file path=xl/calcChain.xml><?xml version="1.0" encoding="utf-8"?>
<calcChain xmlns="http://schemas.openxmlformats.org/spreadsheetml/2006/main">
  <c r="A1" i="7" l="1"/>
  <c r="G638" i="6"/>
  <c r="G633" i="6"/>
  <c r="C638" i="6"/>
  <c r="C633" i="6"/>
  <c r="C630" i="6"/>
  <c r="C629" i="6"/>
  <c r="C628" i="6"/>
  <c r="C624" i="6"/>
  <c r="C623" i="6"/>
  <c r="C622" i="6"/>
  <c r="D617" i="6"/>
  <c r="E616" i="6"/>
  <c r="C616" i="6"/>
  <c r="D616" i="6"/>
  <c r="B616" i="6"/>
  <c r="D615" i="6"/>
  <c r="E614" i="6"/>
  <c r="C614" i="6"/>
  <c r="D614" i="6"/>
  <c r="B614" i="6"/>
  <c r="H612" i="6"/>
  <c r="G612" i="6"/>
  <c r="F611" i="6"/>
  <c r="H610" i="6"/>
  <c r="G610" i="6"/>
  <c r="F609" i="6"/>
  <c r="D603" i="6"/>
  <c r="D602" i="6"/>
  <c r="D601" i="6"/>
  <c r="D600" i="6"/>
  <c r="E598" i="6"/>
  <c r="C598" i="6"/>
  <c r="D598" i="6"/>
  <c r="B598" i="6"/>
  <c r="D597" i="6"/>
  <c r="E596" i="6"/>
  <c r="C596" i="6"/>
  <c r="D596" i="6"/>
  <c r="B596" i="6"/>
  <c r="D595" i="6"/>
  <c r="E594" i="6"/>
  <c r="C594" i="6"/>
  <c r="D594" i="6"/>
  <c r="B594" i="6"/>
  <c r="H592" i="6"/>
  <c r="G592" i="6"/>
  <c r="F591" i="6"/>
  <c r="H590" i="6"/>
  <c r="G590" i="6"/>
  <c r="F589" i="6"/>
  <c r="D583" i="6"/>
  <c r="D582" i="6"/>
  <c r="D581" i="6"/>
  <c r="D580" i="6"/>
  <c r="E578" i="6"/>
  <c r="C578" i="6"/>
  <c r="D578" i="6"/>
  <c r="B578" i="6"/>
  <c r="F576" i="6"/>
  <c r="F575" i="6"/>
  <c r="D569" i="6"/>
  <c r="D568" i="6"/>
  <c r="D567" i="6"/>
  <c r="D566" i="6"/>
  <c r="E564" i="6"/>
  <c r="C564" i="6"/>
  <c r="D564" i="6"/>
  <c r="B564" i="6"/>
  <c r="D563" i="6"/>
  <c r="E562" i="6"/>
  <c r="C562" i="6"/>
  <c r="D562" i="6"/>
  <c r="B562" i="6"/>
  <c r="D561" i="6"/>
  <c r="E560" i="6"/>
  <c r="C560" i="6"/>
  <c r="D560" i="6"/>
  <c r="B560" i="6"/>
  <c r="H558" i="6"/>
  <c r="G558" i="6"/>
  <c r="F557" i="6"/>
  <c r="H556" i="6"/>
  <c r="G556" i="6"/>
  <c r="F555" i="6"/>
  <c r="D549" i="6"/>
  <c r="D548" i="6"/>
  <c r="D547" i="6"/>
  <c r="D546" i="6"/>
  <c r="E544" i="6"/>
  <c r="C544" i="6"/>
  <c r="D544" i="6"/>
  <c r="B544" i="6"/>
  <c r="D543" i="6"/>
  <c r="E542" i="6"/>
  <c r="C542" i="6"/>
  <c r="D542" i="6"/>
  <c r="B542" i="6"/>
  <c r="D541" i="6"/>
  <c r="E540" i="6"/>
  <c r="C540" i="6"/>
  <c r="D540" i="6"/>
  <c r="B540" i="6"/>
  <c r="H538" i="6"/>
  <c r="G538" i="6"/>
  <c r="F537" i="6"/>
  <c r="H536" i="6"/>
  <c r="G536" i="6"/>
  <c r="F535" i="6"/>
  <c r="D529" i="6"/>
  <c r="D528" i="6"/>
  <c r="D527" i="6"/>
  <c r="D526" i="6"/>
  <c r="E524" i="6"/>
  <c r="C524" i="6"/>
  <c r="D524" i="6"/>
  <c r="B524" i="6"/>
  <c r="D523" i="6"/>
  <c r="E522" i="6"/>
  <c r="C522" i="6"/>
  <c r="D522" i="6"/>
  <c r="B522" i="6"/>
  <c r="D521" i="6"/>
  <c r="E520" i="6"/>
  <c r="C520" i="6"/>
  <c r="D520" i="6"/>
  <c r="B520" i="6"/>
  <c r="D519" i="6"/>
  <c r="E518" i="6"/>
  <c r="C518" i="6"/>
  <c r="D518" i="6"/>
  <c r="B518" i="6"/>
  <c r="H516" i="6"/>
  <c r="G516" i="6"/>
  <c r="F515" i="6"/>
  <c r="H514" i="6"/>
  <c r="G514" i="6"/>
  <c r="F513" i="6"/>
  <c r="D507" i="6"/>
  <c r="D506" i="6"/>
  <c r="D505" i="6"/>
  <c r="D504" i="6"/>
  <c r="E502" i="6"/>
  <c r="C502" i="6"/>
  <c r="D502" i="6"/>
  <c r="B502" i="6"/>
  <c r="F500" i="6"/>
  <c r="F499" i="6"/>
  <c r="D498" i="6"/>
  <c r="D497" i="6"/>
  <c r="D496" i="6"/>
  <c r="D495" i="6"/>
  <c r="E493" i="6"/>
  <c r="C493" i="6"/>
  <c r="D493" i="6"/>
  <c r="B493" i="6"/>
  <c r="F491" i="6"/>
  <c r="F490" i="6"/>
  <c r="D489" i="6"/>
  <c r="D488" i="6"/>
  <c r="D487" i="6"/>
  <c r="D486" i="6"/>
  <c r="E484" i="6"/>
  <c r="C484" i="6"/>
  <c r="D484" i="6"/>
  <c r="B484" i="6"/>
  <c r="D483" i="6"/>
  <c r="E482" i="6"/>
  <c r="C482" i="6"/>
  <c r="D482" i="6"/>
  <c r="B482" i="6"/>
  <c r="H480" i="6"/>
  <c r="G480" i="6"/>
  <c r="F479" i="6"/>
  <c r="H478" i="6"/>
  <c r="G478" i="6"/>
  <c r="F477" i="6"/>
  <c r="D471" i="6"/>
  <c r="D470" i="6"/>
  <c r="D469" i="6"/>
  <c r="D468" i="6"/>
  <c r="E466" i="6"/>
  <c r="C466" i="6"/>
  <c r="D466" i="6"/>
  <c r="B466" i="6"/>
  <c r="F464" i="6"/>
  <c r="F463" i="6"/>
  <c r="D462" i="6"/>
  <c r="D461" i="6"/>
  <c r="D460" i="6"/>
  <c r="D459" i="6"/>
  <c r="E457" i="6"/>
  <c r="C457" i="6"/>
  <c r="D457" i="6"/>
  <c r="B457" i="6"/>
  <c r="D456" i="6"/>
  <c r="E455" i="6"/>
  <c r="C455" i="6"/>
  <c r="D455" i="6"/>
  <c r="B455" i="6"/>
  <c r="F453" i="6"/>
  <c r="F452" i="6"/>
  <c r="D451" i="6"/>
  <c r="D450" i="6"/>
  <c r="D449" i="6"/>
  <c r="D448" i="6"/>
  <c r="E446" i="6"/>
  <c r="C446" i="6"/>
  <c r="D446" i="6"/>
  <c r="B446" i="6"/>
  <c r="D445" i="6"/>
  <c r="F444" i="6"/>
  <c r="E444" i="6"/>
  <c r="C444" i="6"/>
  <c r="D444" i="6"/>
  <c r="B444" i="6"/>
  <c r="D443" i="6"/>
  <c r="F442" i="6"/>
  <c r="E442" i="6"/>
  <c r="C442" i="6"/>
  <c r="D442" i="6"/>
  <c r="B442" i="6"/>
  <c r="H440" i="6"/>
  <c r="G440" i="6"/>
  <c r="F439" i="6"/>
  <c r="H438" i="6"/>
  <c r="G438" i="6"/>
  <c r="F437" i="6"/>
  <c r="D431" i="6"/>
  <c r="D430" i="6"/>
  <c r="D429" i="6"/>
  <c r="D428" i="6"/>
  <c r="F427" i="6"/>
  <c r="E427" i="6"/>
  <c r="C427" i="6"/>
  <c r="D427" i="6"/>
  <c r="B427" i="6"/>
  <c r="H425" i="6"/>
  <c r="G425" i="6"/>
  <c r="F424" i="6"/>
  <c r="H423" i="6"/>
  <c r="G423" i="6"/>
  <c r="F422" i="6"/>
  <c r="D421" i="6"/>
  <c r="D420" i="6"/>
  <c r="D419" i="6"/>
  <c r="D418" i="6"/>
  <c r="E416" i="6"/>
  <c r="C416" i="6"/>
  <c r="D416" i="6"/>
  <c r="B416" i="6"/>
  <c r="D415" i="6"/>
  <c r="E414" i="6"/>
  <c r="C414" i="6"/>
  <c r="D414" i="6"/>
  <c r="B414" i="6"/>
  <c r="H412" i="6"/>
  <c r="G412" i="6"/>
  <c r="F411" i="6"/>
  <c r="H410" i="6"/>
  <c r="G410" i="6"/>
  <c r="F409" i="6"/>
  <c r="D408" i="6"/>
  <c r="D407" i="6"/>
  <c r="D406" i="6"/>
  <c r="D405" i="6"/>
  <c r="F404" i="6"/>
  <c r="E404" i="6"/>
  <c r="C404" i="6"/>
  <c r="D404" i="6"/>
  <c r="B404" i="6"/>
  <c r="H402" i="6"/>
  <c r="G402" i="6"/>
  <c r="F401" i="6"/>
  <c r="H400" i="6"/>
  <c r="G400" i="6"/>
  <c r="F399" i="6"/>
  <c r="D392" i="6"/>
  <c r="D391" i="6"/>
  <c r="D390" i="6"/>
  <c r="D389" i="6"/>
  <c r="E387" i="6"/>
  <c r="C387" i="6"/>
  <c r="D387" i="6"/>
  <c r="B387" i="6"/>
  <c r="H385" i="6"/>
  <c r="G385" i="6"/>
  <c r="F384" i="6"/>
  <c r="H383" i="6"/>
  <c r="G383" i="6"/>
  <c r="F382" i="6"/>
  <c r="D381" i="6"/>
  <c r="D380" i="6"/>
  <c r="D379" i="6"/>
  <c r="D378" i="6"/>
  <c r="E376" i="6"/>
  <c r="C376" i="6"/>
  <c r="D376" i="6"/>
  <c r="B376" i="6"/>
  <c r="D375" i="6"/>
  <c r="E374" i="6"/>
  <c r="C374" i="6"/>
  <c r="D374" i="6"/>
  <c r="B374" i="6"/>
  <c r="D373" i="6"/>
  <c r="E372" i="6"/>
  <c r="C372" i="6"/>
  <c r="D372" i="6"/>
  <c r="B372" i="6"/>
  <c r="H370" i="6"/>
  <c r="G370" i="6"/>
  <c r="F369" i="6"/>
  <c r="H368" i="6"/>
  <c r="G368" i="6"/>
  <c r="F367" i="6"/>
  <c r="D361" i="6"/>
  <c r="D360" i="6"/>
  <c r="D359" i="6"/>
  <c r="D358" i="6"/>
  <c r="E356" i="6"/>
  <c r="C356" i="6"/>
  <c r="D356" i="6"/>
  <c r="B356" i="6"/>
  <c r="H354" i="6"/>
  <c r="G354" i="6"/>
  <c r="F353" i="6"/>
  <c r="H352" i="6"/>
  <c r="G352" i="6"/>
  <c r="F351" i="6"/>
  <c r="D344" i="6"/>
  <c r="D343" i="6"/>
  <c r="D342" i="6"/>
  <c r="D341" i="6"/>
  <c r="E339" i="6"/>
  <c r="C339" i="6"/>
  <c r="D339" i="6"/>
  <c r="B339" i="6"/>
  <c r="D338" i="6"/>
  <c r="E337" i="6"/>
  <c r="C337" i="6"/>
  <c r="D337" i="6"/>
  <c r="B337" i="6"/>
  <c r="F335" i="6"/>
  <c r="F334" i="6"/>
  <c r="D333" i="6"/>
  <c r="D332" i="6"/>
  <c r="D331" i="6"/>
  <c r="D330" i="6"/>
  <c r="E328" i="6"/>
  <c r="C328" i="6"/>
  <c r="D328" i="6"/>
  <c r="B328" i="6"/>
  <c r="D327" i="6"/>
  <c r="E326" i="6"/>
  <c r="C326" i="6"/>
  <c r="D326" i="6"/>
  <c r="B326" i="6"/>
  <c r="F324" i="6"/>
  <c r="F323" i="6"/>
  <c r="D322" i="6"/>
  <c r="D321" i="6"/>
  <c r="D320" i="6"/>
  <c r="D319" i="6"/>
  <c r="E317" i="6"/>
  <c r="C317" i="6"/>
  <c r="D317" i="6"/>
  <c r="B317" i="6"/>
  <c r="F315" i="6"/>
  <c r="F314" i="6"/>
  <c r="D313" i="6"/>
  <c r="D312" i="6"/>
  <c r="D311" i="6"/>
  <c r="D310" i="6"/>
  <c r="E308" i="6"/>
  <c r="C308" i="6"/>
  <c r="D308" i="6"/>
  <c r="B308" i="6"/>
  <c r="D307" i="6"/>
  <c r="E306" i="6"/>
  <c r="C306" i="6"/>
  <c r="D306" i="6"/>
  <c r="B306" i="6"/>
  <c r="D305" i="6"/>
  <c r="E304" i="6"/>
  <c r="C304" i="6"/>
  <c r="D304" i="6"/>
  <c r="B304" i="6"/>
  <c r="D303" i="6"/>
  <c r="E302" i="6"/>
  <c r="C302" i="6"/>
  <c r="D302" i="6"/>
  <c r="B302" i="6"/>
  <c r="H300" i="6"/>
  <c r="G300" i="6"/>
  <c r="F299" i="6"/>
  <c r="H298" i="6"/>
  <c r="G298" i="6"/>
  <c r="F297" i="6"/>
  <c r="D291" i="6"/>
  <c r="D290" i="6"/>
  <c r="D289" i="6"/>
  <c r="D288" i="6"/>
  <c r="E286" i="6"/>
  <c r="C286" i="6"/>
  <c r="D286" i="6"/>
  <c r="B286" i="6"/>
  <c r="F284" i="6"/>
  <c r="F283" i="6"/>
  <c r="D282" i="6"/>
  <c r="D281" i="6"/>
  <c r="D280" i="6"/>
  <c r="D279" i="6"/>
  <c r="E277" i="6"/>
  <c r="C277" i="6"/>
  <c r="D277" i="6"/>
  <c r="B277" i="6"/>
  <c r="D276" i="6"/>
  <c r="E275" i="6"/>
  <c r="C275" i="6"/>
  <c r="D275" i="6"/>
  <c r="B275" i="6"/>
  <c r="D274" i="6"/>
  <c r="E273" i="6"/>
  <c r="C273" i="6"/>
  <c r="D273" i="6"/>
  <c r="B273" i="6"/>
  <c r="H271" i="6"/>
  <c r="G271" i="6"/>
  <c r="F270" i="6"/>
  <c r="H269" i="6"/>
  <c r="G269" i="6"/>
  <c r="F268" i="6"/>
  <c r="D262" i="6"/>
  <c r="D261" i="6"/>
  <c r="D260" i="6"/>
  <c r="D259" i="6"/>
  <c r="E257" i="6"/>
  <c r="C257" i="6"/>
  <c r="D257" i="6"/>
  <c r="B257" i="6"/>
  <c r="D256" i="6"/>
  <c r="E255" i="6"/>
  <c r="C255" i="6"/>
  <c r="D255" i="6"/>
  <c r="B255" i="6"/>
  <c r="D254" i="6"/>
  <c r="E253" i="6"/>
  <c r="D253" i="6"/>
  <c r="B253" i="6"/>
  <c r="D252" i="6"/>
  <c r="E251" i="6"/>
  <c r="C251" i="6"/>
  <c r="D251" i="6"/>
  <c r="B251" i="6"/>
  <c r="H249" i="6"/>
  <c r="G249" i="6"/>
  <c r="F248" i="6"/>
  <c r="H247" i="6"/>
  <c r="G247" i="6"/>
  <c r="F246" i="6"/>
  <c r="D240" i="6"/>
  <c r="D239" i="6"/>
  <c r="D238" i="6"/>
  <c r="D237" i="6"/>
  <c r="E235" i="6"/>
  <c r="C235" i="6"/>
  <c r="D235" i="6"/>
  <c r="B235" i="6"/>
  <c r="H233" i="6"/>
  <c r="G233" i="6"/>
  <c r="F232" i="6"/>
  <c r="H231" i="6"/>
  <c r="G231" i="6"/>
  <c r="F230" i="6"/>
  <c r="D224" i="6"/>
  <c r="D223" i="6"/>
  <c r="D222" i="6"/>
  <c r="D221" i="6"/>
  <c r="E219" i="6"/>
  <c r="C219" i="6"/>
  <c r="D219" i="6"/>
  <c r="B219" i="6"/>
  <c r="D218" i="6"/>
  <c r="E217" i="6"/>
  <c r="C217" i="6"/>
  <c r="D217" i="6"/>
  <c r="B217" i="6"/>
  <c r="H215" i="6"/>
  <c r="G215" i="6"/>
  <c r="F214" i="6"/>
  <c r="H213" i="6"/>
  <c r="G213" i="6"/>
  <c r="F212" i="6"/>
  <c r="D206" i="6"/>
  <c r="D205" i="6"/>
  <c r="D204" i="6"/>
  <c r="D203" i="6"/>
  <c r="E201" i="6"/>
  <c r="C201" i="6"/>
  <c r="D201" i="6"/>
  <c r="B201" i="6"/>
  <c r="F199" i="6"/>
  <c r="F198" i="6"/>
  <c r="D195" i="6"/>
  <c r="D194" i="6"/>
  <c r="D193" i="6"/>
  <c r="D192" i="6"/>
  <c r="E190" i="6"/>
  <c r="C190" i="6"/>
  <c r="D190" i="6"/>
  <c r="B190" i="6"/>
  <c r="F188" i="6"/>
  <c r="F187" i="6"/>
  <c r="D184" i="6"/>
  <c r="D183" i="6"/>
  <c r="D182" i="6"/>
  <c r="D181" i="6"/>
  <c r="E179" i="6"/>
  <c r="C179" i="6"/>
  <c r="D179" i="6"/>
  <c r="B179" i="6"/>
  <c r="F177" i="6"/>
  <c r="F176" i="6"/>
  <c r="D175" i="6"/>
  <c r="D174" i="6"/>
  <c r="D173" i="6"/>
  <c r="D172" i="6"/>
  <c r="E170" i="6"/>
  <c r="C170" i="6"/>
  <c r="D170" i="6"/>
  <c r="B170" i="6"/>
  <c r="H168" i="6"/>
  <c r="G168" i="6"/>
  <c r="F167" i="6"/>
  <c r="H166" i="6"/>
  <c r="G166" i="6"/>
  <c r="F165" i="6"/>
  <c r="D159" i="6"/>
  <c r="D158" i="6"/>
  <c r="D157" i="6"/>
  <c r="D156" i="6"/>
  <c r="E154" i="6"/>
  <c r="C154" i="6"/>
  <c r="D154" i="6"/>
  <c r="B154" i="6"/>
  <c r="D153" i="6"/>
  <c r="E152" i="6"/>
  <c r="C152" i="6"/>
  <c r="D152" i="6"/>
  <c r="B152" i="6"/>
  <c r="D151" i="6"/>
  <c r="E150" i="6"/>
  <c r="C150" i="6"/>
  <c r="D150" i="6"/>
  <c r="B150" i="6"/>
  <c r="F148" i="6"/>
  <c r="F147" i="6"/>
  <c r="D146" i="6"/>
  <c r="D145" i="6"/>
  <c r="D144" i="6"/>
  <c r="D143" i="6"/>
  <c r="E141" i="6"/>
  <c r="C141" i="6"/>
  <c r="D141" i="6"/>
  <c r="B141" i="6"/>
  <c r="H139" i="6"/>
  <c r="G139" i="6"/>
  <c r="F138" i="6"/>
  <c r="H137" i="6"/>
  <c r="G137" i="6"/>
  <c r="F136" i="6"/>
  <c r="D129" i="6"/>
  <c r="D128" i="6"/>
  <c r="D127" i="6"/>
  <c r="D126" i="6"/>
  <c r="F125" i="6"/>
  <c r="E125" i="6"/>
  <c r="C125" i="6"/>
  <c r="D125" i="6"/>
  <c r="B125" i="6"/>
  <c r="D124" i="6"/>
  <c r="E123" i="6"/>
  <c r="C123" i="6"/>
  <c r="D123" i="6"/>
  <c r="B123" i="6"/>
  <c r="H121" i="6"/>
  <c r="G121" i="6"/>
  <c r="F120" i="6"/>
  <c r="H119" i="6"/>
  <c r="G119" i="6"/>
  <c r="F118" i="6"/>
  <c r="D112" i="6"/>
  <c r="D111" i="6"/>
  <c r="D110" i="6"/>
  <c r="D109" i="6"/>
  <c r="E107" i="6"/>
  <c r="C107" i="6"/>
  <c r="D107" i="6"/>
  <c r="B107" i="6"/>
  <c r="D106" i="6"/>
  <c r="E105" i="6"/>
  <c r="C105" i="6"/>
  <c r="D105" i="6"/>
  <c r="B105" i="6"/>
  <c r="D104" i="6"/>
  <c r="E103" i="6"/>
  <c r="C103" i="6"/>
  <c r="D103" i="6"/>
  <c r="B103" i="6"/>
  <c r="D102" i="6"/>
  <c r="E101" i="6"/>
  <c r="C101" i="6"/>
  <c r="D101" i="6"/>
  <c r="B101" i="6"/>
  <c r="H99" i="6"/>
  <c r="G99" i="6"/>
  <c r="F98" i="6"/>
  <c r="H97" i="6"/>
  <c r="G97" i="6"/>
  <c r="F96" i="6"/>
  <c r="D90" i="6"/>
  <c r="D89" i="6"/>
  <c r="D88" i="6"/>
  <c r="D87" i="6"/>
  <c r="E85" i="6"/>
  <c r="C85" i="6"/>
  <c r="D85" i="6"/>
  <c r="B85" i="6"/>
  <c r="D84" i="6"/>
  <c r="E83" i="6"/>
  <c r="C83" i="6"/>
  <c r="D83" i="6"/>
  <c r="B83" i="6"/>
  <c r="H81" i="6"/>
  <c r="G81" i="6"/>
  <c r="F80" i="6"/>
  <c r="H79" i="6"/>
  <c r="G79" i="6"/>
  <c r="F78" i="6"/>
  <c r="D72" i="6"/>
  <c r="D71" i="6"/>
  <c r="D70" i="6"/>
  <c r="D69" i="6"/>
  <c r="E67" i="6"/>
  <c r="C67" i="6"/>
  <c r="D67" i="6"/>
  <c r="B67" i="6"/>
  <c r="D66" i="6"/>
  <c r="E65" i="6"/>
  <c r="C65" i="6"/>
  <c r="D65" i="6"/>
  <c r="B65" i="6"/>
  <c r="H63" i="6"/>
  <c r="G63" i="6"/>
  <c r="F62" i="6"/>
  <c r="H61" i="6"/>
  <c r="G61" i="6"/>
  <c r="F60" i="6"/>
  <c r="D54" i="6"/>
  <c r="D53" i="6"/>
  <c r="D52" i="6"/>
  <c r="D51" i="6"/>
  <c r="E49" i="6"/>
  <c r="C49" i="6"/>
  <c r="D49" i="6"/>
  <c r="B49" i="6"/>
  <c r="H47" i="6"/>
  <c r="G47" i="6"/>
  <c r="F46" i="6"/>
  <c r="H45" i="6"/>
  <c r="G45" i="6"/>
  <c r="F44" i="6"/>
  <c r="D43" i="6"/>
  <c r="D42" i="6"/>
  <c r="D41" i="6"/>
  <c r="D40" i="6"/>
  <c r="E38" i="6"/>
  <c r="C38" i="6"/>
  <c r="D38" i="6"/>
  <c r="B38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14" i="5"/>
  <c r="C426" i="5"/>
  <c r="C425" i="5"/>
  <c r="C424" i="5"/>
  <c r="Z421" i="5"/>
  <c r="Y421" i="5"/>
  <c r="X421" i="5"/>
  <c r="J420" i="5"/>
  <c r="Z420" i="5"/>
  <c r="Y420" i="5"/>
  <c r="X420" i="5"/>
  <c r="F420" i="5"/>
  <c r="D420" i="5"/>
  <c r="C420" i="5"/>
  <c r="B420" i="5"/>
  <c r="A420" i="5"/>
  <c r="J419" i="5"/>
  <c r="Z419" i="5"/>
  <c r="Y419" i="5"/>
  <c r="X419" i="5"/>
  <c r="F419" i="5"/>
  <c r="D419" i="5"/>
  <c r="C419" i="5"/>
  <c r="B419" i="5"/>
  <c r="A419" i="5"/>
  <c r="G418" i="5"/>
  <c r="E418" i="5"/>
  <c r="J417" i="5"/>
  <c r="F417" i="5"/>
  <c r="E417" i="5"/>
  <c r="J416" i="5"/>
  <c r="F416" i="5"/>
  <c r="E416" i="5"/>
  <c r="J415" i="5"/>
  <c r="G415" i="5"/>
  <c r="F415" i="5"/>
  <c r="J414" i="5"/>
  <c r="G414" i="5"/>
  <c r="F414" i="5"/>
  <c r="J413" i="5"/>
  <c r="G413" i="5"/>
  <c r="F413" i="5"/>
  <c r="J412" i="5"/>
  <c r="G412" i="5"/>
  <c r="F412" i="5"/>
  <c r="F410" i="5"/>
  <c r="D410" i="5"/>
  <c r="I410" i="5"/>
  <c r="C410" i="5"/>
  <c r="B410" i="5"/>
  <c r="A410" i="5"/>
  <c r="Z409" i="5"/>
  <c r="Y409" i="5"/>
  <c r="X409" i="5"/>
  <c r="J408" i="5"/>
  <c r="Z408" i="5"/>
  <c r="Y408" i="5"/>
  <c r="X408" i="5"/>
  <c r="F408" i="5"/>
  <c r="D408" i="5"/>
  <c r="C408" i="5"/>
  <c r="B408" i="5"/>
  <c r="A408" i="5"/>
  <c r="J407" i="5"/>
  <c r="Z407" i="5"/>
  <c r="Y407" i="5"/>
  <c r="X407" i="5"/>
  <c r="F407" i="5"/>
  <c r="D407" i="5"/>
  <c r="C407" i="5"/>
  <c r="B407" i="5"/>
  <c r="A407" i="5"/>
  <c r="G406" i="5"/>
  <c r="E406" i="5"/>
  <c r="J405" i="5"/>
  <c r="F405" i="5"/>
  <c r="E405" i="5"/>
  <c r="J404" i="5"/>
  <c r="F404" i="5"/>
  <c r="E404" i="5"/>
  <c r="J403" i="5"/>
  <c r="G403" i="5"/>
  <c r="F403" i="5"/>
  <c r="J402" i="5"/>
  <c r="G402" i="5"/>
  <c r="F402" i="5"/>
  <c r="J401" i="5"/>
  <c r="G401" i="5"/>
  <c r="F401" i="5"/>
  <c r="J400" i="5"/>
  <c r="G400" i="5"/>
  <c r="F400" i="5"/>
  <c r="F398" i="5"/>
  <c r="D398" i="5"/>
  <c r="I398" i="5"/>
  <c r="C398" i="5"/>
  <c r="B398" i="5"/>
  <c r="A398" i="5"/>
  <c r="Z397" i="5"/>
  <c r="Y397" i="5"/>
  <c r="X397" i="5"/>
  <c r="G396" i="5"/>
  <c r="E396" i="5"/>
  <c r="J395" i="5"/>
  <c r="E395" i="5"/>
  <c r="J394" i="5"/>
  <c r="E394" i="5"/>
  <c r="J393" i="5"/>
  <c r="G393" i="5"/>
  <c r="F393" i="5"/>
  <c r="J392" i="5"/>
  <c r="G392" i="5"/>
  <c r="F392" i="5"/>
  <c r="J391" i="5"/>
  <c r="G391" i="5"/>
  <c r="F391" i="5"/>
  <c r="J390" i="5"/>
  <c r="G390" i="5"/>
  <c r="F390" i="5"/>
  <c r="F388" i="5"/>
  <c r="D388" i="5"/>
  <c r="I388" i="5"/>
  <c r="C388" i="5"/>
  <c r="B388" i="5"/>
  <c r="A388" i="5"/>
  <c r="Z387" i="5"/>
  <c r="Y387" i="5"/>
  <c r="X387" i="5"/>
  <c r="J386" i="5"/>
  <c r="Z386" i="5"/>
  <c r="Y386" i="5"/>
  <c r="X386" i="5"/>
  <c r="F386" i="5"/>
  <c r="D386" i="5"/>
  <c r="C386" i="5"/>
  <c r="B386" i="5"/>
  <c r="A386" i="5"/>
  <c r="J385" i="5"/>
  <c r="Z385" i="5"/>
  <c r="Y385" i="5"/>
  <c r="X385" i="5"/>
  <c r="F385" i="5"/>
  <c r="D385" i="5"/>
  <c r="C385" i="5"/>
  <c r="B385" i="5"/>
  <c r="A385" i="5"/>
  <c r="G384" i="5"/>
  <c r="E384" i="5"/>
  <c r="J383" i="5"/>
  <c r="F383" i="5"/>
  <c r="E383" i="5"/>
  <c r="J382" i="5"/>
  <c r="F382" i="5"/>
  <c r="E382" i="5"/>
  <c r="J381" i="5"/>
  <c r="G381" i="5"/>
  <c r="F381" i="5"/>
  <c r="J380" i="5"/>
  <c r="G380" i="5"/>
  <c r="F380" i="5"/>
  <c r="J379" i="5"/>
  <c r="G379" i="5"/>
  <c r="F379" i="5"/>
  <c r="J378" i="5"/>
  <c r="G378" i="5"/>
  <c r="F378" i="5"/>
  <c r="F376" i="5"/>
  <c r="D376" i="5"/>
  <c r="I376" i="5"/>
  <c r="C376" i="5"/>
  <c r="B376" i="5"/>
  <c r="A376" i="5"/>
  <c r="Z375" i="5"/>
  <c r="Y375" i="5"/>
  <c r="X375" i="5"/>
  <c r="J374" i="5"/>
  <c r="Z374" i="5"/>
  <c r="Y374" i="5"/>
  <c r="X374" i="5"/>
  <c r="F374" i="5"/>
  <c r="D374" i="5"/>
  <c r="C374" i="5"/>
  <c r="B374" i="5"/>
  <c r="A374" i="5"/>
  <c r="J373" i="5"/>
  <c r="Z373" i="5"/>
  <c r="Y373" i="5"/>
  <c r="X373" i="5"/>
  <c r="F373" i="5"/>
  <c r="D373" i="5"/>
  <c r="C373" i="5"/>
  <c r="B373" i="5"/>
  <c r="A373" i="5"/>
  <c r="G372" i="5"/>
  <c r="E372" i="5"/>
  <c r="J371" i="5"/>
  <c r="F371" i="5"/>
  <c r="E371" i="5"/>
  <c r="J370" i="5"/>
  <c r="F370" i="5"/>
  <c r="E370" i="5"/>
  <c r="J369" i="5"/>
  <c r="G369" i="5"/>
  <c r="F369" i="5"/>
  <c r="J368" i="5"/>
  <c r="G368" i="5"/>
  <c r="F368" i="5"/>
  <c r="J367" i="5"/>
  <c r="G367" i="5"/>
  <c r="F367" i="5"/>
  <c r="J366" i="5"/>
  <c r="G366" i="5"/>
  <c r="F366" i="5"/>
  <c r="F364" i="5"/>
  <c r="D364" i="5"/>
  <c r="I364" i="5"/>
  <c r="C364" i="5"/>
  <c r="B364" i="5"/>
  <c r="A364" i="5"/>
  <c r="Z363" i="5"/>
  <c r="Y363" i="5"/>
  <c r="X363" i="5"/>
  <c r="J362" i="5"/>
  <c r="Z362" i="5"/>
  <c r="Y362" i="5"/>
  <c r="X362" i="5"/>
  <c r="F362" i="5"/>
  <c r="D362" i="5"/>
  <c r="C362" i="5"/>
  <c r="B362" i="5"/>
  <c r="A362" i="5"/>
  <c r="J361" i="5"/>
  <c r="Z361" i="5"/>
  <c r="Y361" i="5"/>
  <c r="X361" i="5"/>
  <c r="F361" i="5"/>
  <c r="D361" i="5"/>
  <c r="C361" i="5"/>
  <c r="B361" i="5"/>
  <c r="A361" i="5"/>
  <c r="J360" i="5"/>
  <c r="Z360" i="5"/>
  <c r="Y360" i="5"/>
  <c r="X360" i="5"/>
  <c r="F360" i="5"/>
  <c r="D360" i="5"/>
  <c r="C360" i="5"/>
  <c r="B360" i="5"/>
  <c r="A360" i="5"/>
  <c r="G359" i="5"/>
  <c r="E359" i="5"/>
  <c r="J358" i="5"/>
  <c r="F358" i="5"/>
  <c r="E358" i="5"/>
  <c r="J357" i="5"/>
  <c r="F357" i="5"/>
  <c r="E357" i="5"/>
  <c r="J356" i="5"/>
  <c r="G356" i="5"/>
  <c r="F356" i="5"/>
  <c r="J355" i="5"/>
  <c r="G355" i="5"/>
  <c r="F355" i="5"/>
  <c r="J354" i="5"/>
  <c r="G354" i="5"/>
  <c r="F354" i="5"/>
  <c r="J353" i="5"/>
  <c r="G353" i="5"/>
  <c r="F353" i="5"/>
  <c r="F351" i="5"/>
  <c r="D351" i="5"/>
  <c r="I351" i="5"/>
  <c r="C351" i="5"/>
  <c r="B351" i="5"/>
  <c r="A351" i="5"/>
  <c r="Z350" i="5"/>
  <c r="Y350" i="5"/>
  <c r="X350" i="5"/>
  <c r="G349" i="5"/>
  <c r="E349" i="5"/>
  <c r="J348" i="5"/>
  <c r="E348" i="5"/>
  <c r="J347" i="5"/>
  <c r="E347" i="5"/>
  <c r="J346" i="5"/>
  <c r="G346" i="5"/>
  <c r="F346" i="5"/>
  <c r="J345" i="5"/>
  <c r="G345" i="5"/>
  <c r="F345" i="5"/>
  <c r="J344" i="5"/>
  <c r="G344" i="5"/>
  <c r="F344" i="5"/>
  <c r="F342" i="5"/>
  <c r="D342" i="5"/>
  <c r="I342" i="5"/>
  <c r="C342" i="5"/>
  <c r="B342" i="5"/>
  <c r="A342" i="5"/>
  <c r="Z341" i="5"/>
  <c r="Y341" i="5"/>
  <c r="X341" i="5"/>
  <c r="G340" i="5"/>
  <c r="E340" i="5"/>
  <c r="J339" i="5"/>
  <c r="E339" i="5"/>
  <c r="J338" i="5"/>
  <c r="E338" i="5"/>
  <c r="J337" i="5"/>
  <c r="G337" i="5"/>
  <c r="F337" i="5"/>
  <c r="J336" i="5"/>
  <c r="G336" i="5"/>
  <c r="F336" i="5"/>
  <c r="J335" i="5"/>
  <c r="G335" i="5"/>
  <c r="F335" i="5"/>
  <c r="F333" i="5"/>
  <c r="D333" i="5"/>
  <c r="I333" i="5"/>
  <c r="C333" i="5"/>
  <c r="B333" i="5"/>
  <c r="A333" i="5"/>
  <c r="Z332" i="5"/>
  <c r="Y332" i="5"/>
  <c r="X332" i="5"/>
  <c r="J331" i="5"/>
  <c r="Z331" i="5"/>
  <c r="Y331" i="5"/>
  <c r="X331" i="5"/>
  <c r="F331" i="5"/>
  <c r="D331" i="5"/>
  <c r="C331" i="5"/>
  <c r="B331" i="5"/>
  <c r="A331" i="5"/>
  <c r="G330" i="5"/>
  <c r="E330" i="5"/>
  <c r="J329" i="5"/>
  <c r="F329" i="5"/>
  <c r="E329" i="5"/>
  <c r="J328" i="5"/>
  <c r="F328" i="5"/>
  <c r="E328" i="5"/>
  <c r="J327" i="5"/>
  <c r="G327" i="5"/>
  <c r="F327" i="5"/>
  <c r="J326" i="5"/>
  <c r="G326" i="5"/>
  <c r="F326" i="5"/>
  <c r="J325" i="5"/>
  <c r="G325" i="5"/>
  <c r="F325" i="5"/>
  <c r="J324" i="5"/>
  <c r="G324" i="5"/>
  <c r="F324" i="5"/>
  <c r="F322" i="5"/>
  <c r="D322" i="5"/>
  <c r="I322" i="5"/>
  <c r="C322" i="5"/>
  <c r="B322" i="5"/>
  <c r="A322" i="5"/>
  <c r="Z321" i="5"/>
  <c r="Y321" i="5"/>
  <c r="X321" i="5"/>
  <c r="G320" i="5"/>
  <c r="E320" i="5"/>
  <c r="J319" i="5"/>
  <c r="E319" i="5"/>
  <c r="J318" i="5"/>
  <c r="E318" i="5"/>
  <c r="J317" i="5"/>
  <c r="G317" i="5"/>
  <c r="F317" i="5"/>
  <c r="J316" i="5"/>
  <c r="G316" i="5"/>
  <c r="F316" i="5"/>
  <c r="J315" i="5"/>
  <c r="G315" i="5"/>
  <c r="F315" i="5"/>
  <c r="F313" i="5"/>
  <c r="D313" i="5"/>
  <c r="I313" i="5"/>
  <c r="C313" i="5"/>
  <c r="B313" i="5"/>
  <c r="A313" i="5"/>
  <c r="Z312" i="5"/>
  <c r="Y312" i="5"/>
  <c r="W312" i="5"/>
  <c r="J311" i="5"/>
  <c r="Z311" i="5"/>
  <c r="Y311" i="5"/>
  <c r="W311" i="5"/>
  <c r="F311" i="5"/>
  <c r="D311" i="5"/>
  <c r="C311" i="5"/>
  <c r="B311" i="5"/>
  <c r="A311" i="5"/>
  <c r="G310" i="5"/>
  <c r="E310" i="5"/>
  <c r="J309" i="5"/>
  <c r="E309" i="5"/>
  <c r="J308" i="5"/>
  <c r="E308" i="5"/>
  <c r="J307" i="5"/>
  <c r="G307" i="5"/>
  <c r="F307" i="5"/>
  <c r="J306" i="5"/>
  <c r="G306" i="5"/>
  <c r="F306" i="5"/>
  <c r="J305" i="5"/>
  <c r="G305" i="5"/>
  <c r="F305" i="5"/>
  <c r="J304" i="5"/>
  <c r="G304" i="5"/>
  <c r="F304" i="5"/>
  <c r="F302" i="5"/>
  <c r="D302" i="5"/>
  <c r="I302" i="5"/>
  <c r="C302" i="5"/>
  <c r="B302" i="5"/>
  <c r="A302" i="5"/>
  <c r="Z301" i="5"/>
  <c r="Y301" i="5"/>
  <c r="X301" i="5"/>
  <c r="J300" i="5"/>
  <c r="G300" i="5"/>
  <c r="F300" i="5"/>
  <c r="U300" i="5"/>
  <c r="S300" i="5"/>
  <c r="E300" i="5"/>
  <c r="D300" i="5"/>
  <c r="I300" i="5"/>
  <c r="C300" i="5"/>
  <c r="B300" i="5"/>
  <c r="A300" i="5"/>
  <c r="Z299" i="5"/>
  <c r="Y299" i="5"/>
  <c r="X299" i="5"/>
  <c r="J298" i="5"/>
  <c r="G298" i="5"/>
  <c r="F298" i="5"/>
  <c r="U298" i="5"/>
  <c r="S298" i="5"/>
  <c r="E298" i="5"/>
  <c r="D298" i="5"/>
  <c r="I298" i="5"/>
  <c r="C298" i="5"/>
  <c r="B298" i="5"/>
  <c r="A298" i="5"/>
  <c r="Z297" i="5"/>
  <c r="Y297" i="5"/>
  <c r="X297" i="5"/>
  <c r="G296" i="5"/>
  <c r="E296" i="5"/>
  <c r="J295" i="5"/>
  <c r="F295" i="5"/>
  <c r="E295" i="5"/>
  <c r="J294" i="5"/>
  <c r="F294" i="5"/>
  <c r="E294" i="5"/>
  <c r="J293" i="5"/>
  <c r="G293" i="5"/>
  <c r="F293" i="5"/>
  <c r="J292" i="5"/>
  <c r="G292" i="5"/>
  <c r="F292" i="5"/>
  <c r="J291" i="5"/>
  <c r="G291" i="5"/>
  <c r="F291" i="5"/>
  <c r="J290" i="5"/>
  <c r="G290" i="5"/>
  <c r="F290" i="5"/>
  <c r="F289" i="5"/>
  <c r="E289" i="5"/>
  <c r="D289" i="5"/>
  <c r="I289" i="5"/>
  <c r="C289" i="5"/>
  <c r="B289" i="5"/>
  <c r="A289" i="5"/>
  <c r="Z288" i="5"/>
  <c r="Y288" i="5"/>
  <c r="X288" i="5"/>
  <c r="G287" i="5"/>
  <c r="E287" i="5"/>
  <c r="J286" i="5"/>
  <c r="F286" i="5"/>
  <c r="E286" i="5"/>
  <c r="J285" i="5"/>
  <c r="F285" i="5"/>
  <c r="E285" i="5"/>
  <c r="J284" i="5"/>
  <c r="G284" i="5"/>
  <c r="F284" i="5"/>
  <c r="F282" i="5"/>
  <c r="D282" i="5"/>
  <c r="I282" i="5"/>
  <c r="C282" i="5"/>
  <c r="B282" i="5"/>
  <c r="A282" i="5"/>
  <c r="Z281" i="5"/>
  <c r="Y281" i="5"/>
  <c r="X281" i="5"/>
  <c r="J280" i="5"/>
  <c r="Z280" i="5"/>
  <c r="Y280" i="5"/>
  <c r="X280" i="5"/>
  <c r="F280" i="5"/>
  <c r="D280" i="5"/>
  <c r="C280" i="5"/>
  <c r="B280" i="5"/>
  <c r="A280" i="5"/>
  <c r="G279" i="5"/>
  <c r="E279" i="5"/>
  <c r="J278" i="5"/>
  <c r="F278" i="5"/>
  <c r="E278" i="5"/>
  <c r="J277" i="5"/>
  <c r="F277" i="5"/>
  <c r="E277" i="5"/>
  <c r="J276" i="5"/>
  <c r="G276" i="5"/>
  <c r="F276" i="5"/>
  <c r="J275" i="5"/>
  <c r="G275" i="5"/>
  <c r="F275" i="5"/>
  <c r="J274" i="5"/>
  <c r="G274" i="5"/>
  <c r="F274" i="5"/>
  <c r="J273" i="5"/>
  <c r="G273" i="5"/>
  <c r="F273" i="5"/>
  <c r="F272" i="5"/>
  <c r="E272" i="5"/>
  <c r="D272" i="5"/>
  <c r="I272" i="5"/>
  <c r="C272" i="5"/>
  <c r="B272" i="5"/>
  <c r="A272" i="5"/>
  <c r="Z271" i="5"/>
  <c r="Y271" i="5"/>
  <c r="X271" i="5"/>
  <c r="G270" i="5"/>
  <c r="E270" i="5"/>
  <c r="J269" i="5"/>
  <c r="F269" i="5"/>
  <c r="E269" i="5"/>
  <c r="J268" i="5"/>
  <c r="F268" i="5"/>
  <c r="E268" i="5"/>
  <c r="J267" i="5"/>
  <c r="G267" i="5"/>
  <c r="F267" i="5"/>
  <c r="J266" i="5"/>
  <c r="G266" i="5"/>
  <c r="F266" i="5"/>
  <c r="J265" i="5"/>
  <c r="G265" i="5"/>
  <c r="F265" i="5"/>
  <c r="J264" i="5"/>
  <c r="G264" i="5"/>
  <c r="F264" i="5"/>
  <c r="F262" i="5"/>
  <c r="D262" i="5"/>
  <c r="I262" i="5"/>
  <c r="C262" i="5"/>
  <c r="B262" i="5"/>
  <c r="A262" i="5"/>
  <c r="Z261" i="5"/>
  <c r="Y261" i="5"/>
  <c r="X261" i="5"/>
  <c r="G260" i="5"/>
  <c r="E260" i="5"/>
  <c r="J259" i="5"/>
  <c r="F259" i="5"/>
  <c r="E259" i="5"/>
  <c r="J258" i="5"/>
  <c r="F258" i="5"/>
  <c r="E258" i="5"/>
  <c r="J257" i="5"/>
  <c r="G257" i="5"/>
  <c r="F257" i="5"/>
  <c r="J256" i="5"/>
  <c r="G256" i="5"/>
  <c r="F256" i="5"/>
  <c r="J255" i="5"/>
  <c r="G255" i="5"/>
  <c r="F255" i="5"/>
  <c r="J254" i="5"/>
  <c r="G254" i="5"/>
  <c r="F254" i="5"/>
  <c r="F252" i="5"/>
  <c r="D252" i="5"/>
  <c r="I252" i="5"/>
  <c r="C252" i="5"/>
  <c r="B252" i="5"/>
  <c r="A252" i="5"/>
  <c r="Z251" i="5"/>
  <c r="Y251" i="5"/>
  <c r="X251" i="5"/>
  <c r="J250" i="5"/>
  <c r="Z250" i="5"/>
  <c r="Y250" i="5"/>
  <c r="X250" i="5"/>
  <c r="F250" i="5"/>
  <c r="D250" i="5"/>
  <c r="C250" i="5"/>
  <c r="B250" i="5"/>
  <c r="A250" i="5"/>
  <c r="J249" i="5"/>
  <c r="Z249" i="5"/>
  <c r="Y249" i="5"/>
  <c r="X249" i="5"/>
  <c r="F249" i="5"/>
  <c r="D249" i="5"/>
  <c r="C249" i="5"/>
  <c r="B249" i="5"/>
  <c r="A249" i="5"/>
  <c r="G248" i="5"/>
  <c r="E248" i="5"/>
  <c r="J247" i="5"/>
  <c r="F247" i="5"/>
  <c r="E247" i="5"/>
  <c r="J246" i="5"/>
  <c r="F246" i="5"/>
  <c r="E246" i="5"/>
  <c r="J245" i="5"/>
  <c r="G245" i="5"/>
  <c r="F245" i="5"/>
  <c r="J244" i="5"/>
  <c r="G244" i="5"/>
  <c r="F244" i="5"/>
  <c r="F242" i="5"/>
  <c r="D242" i="5"/>
  <c r="I242" i="5"/>
  <c r="C242" i="5"/>
  <c r="B242" i="5"/>
  <c r="A242" i="5"/>
  <c r="Z241" i="5"/>
  <c r="Y241" i="5"/>
  <c r="X241" i="5"/>
  <c r="G240" i="5"/>
  <c r="E240" i="5"/>
  <c r="J239" i="5"/>
  <c r="F239" i="5"/>
  <c r="E239" i="5"/>
  <c r="J238" i="5"/>
  <c r="F238" i="5"/>
  <c r="E238" i="5"/>
  <c r="J237" i="5"/>
  <c r="G237" i="5"/>
  <c r="F237" i="5"/>
  <c r="F235" i="5"/>
  <c r="D235" i="5"/>
  <c r="I235" i="5"/>
  <c r="C235" i="5"/>
  <c r="B235" i="5"/>
  <c r="A235" i="5"/>
  <c r="Z234" i="5"/>
  <c r="Y234" i="5"/>
  <c r="X234" i="5"/>
  <c r="J233" i="5"/>
  <c r="Z233" i="5"/>
  <c r="Y233" i="5"/>
  <c r="X233" i="5"/>
  <c r="F233" i="5"/>
  <c r="D233" i="5"/>
  <c r="C233" i="5"/>
  <c r="B233" i="5"/>
  <c r="A233" i="5"/>
  <c r="G232" i="5"/>
  <c r="E232" i="5"/>
  <c r="J231" i="5"/>
  <c r="E231" i="5"/>
  <c r="J230" i="5"/>
  <c r="E230" i="5"/>
  <c r="J229" i="5"/>
  <c r="G229" i="5"/>
  <c r="F229" i="5"/>
  <c r="J228" i="5"/>
  <c r="G228" i="5"/>
  <c r="F228" i="5"/>
  <c r="J227" i="5"/>
  <c r="G227" i="5"/>
  <c r="F227" i="5"/>
  <c r="J226" i="5"/>
  <c r="G226" i="5"/>
  <c r="F226" i="5"/>
  <c r="F224" i="5"/>
  <c r="D224" i="5"/>
  <c r="I224" i="5"/>
  <c r="C224" i="5"/>
  <c r="B224" i="5"/>
  <c r="A224" i="5"/>
  <c r="Z223" i="5"/>
  <c r="Y223" i="5"/>
  <c r="X223" i="5"/>
  <c r="J222" i="5"/>
  <c r="Z222" i="5"/>
  <c r="Y222" i="5"/>
  <c r="X222" i="5"/>
  <c r="F222" i="5"/>
  <c r="D222" i="5"/>
  <c r="C222" i="5"/>
  <c r="B222" i="5"/>
  <c r="A222" i="5"/>
  <c r="G221" i="5"/>
  <c r="E221" i="5"/>
  <c r="J220" i="5"/>
  <c r="E220" i="5"/>
  <c r="J219" i="5"/>
  <c r="E219" i="5"/>
  <c r="J218" i="5"/>
  <c r="G218" i="5"/>
  <c r="F218" i="5"/>
  <c r="J217" i="5"/>
  <c r="G217" i="5"/>
  <c r="F217" i="5"/>
  <c r="J216" i="5"/>
  <c r="G216" i="5"/>
  <c r="F216" i="5"/>
  <c r="J215" i="5"/>
  <c r="G215" i="5"/>
  <c r="F215" i="5"/>
  <c r="F213" i="5"/>
  <c r="D213" i="5"/>
  <c r="I213" i="5"/>
  <c r="C213" i="5"/>
  <c r="B213" i="5"/>
  <c r="A213" i="5"/>
  <c r="Z212" i="5"/>
  <c r="Y212" i="5"/>
  <c r="X212" i="5"/>
  <c r="G211" i="5"/>
  <c r="E211" i="5"/>
  <c r="J210" i="5"/>
  <c r="E210" i="5"/>
  <c r="J209" i="5"/>
  <c r="E209" i="5"/>
  <c r="J208" i="5"/>
  <c r="G208" i="5"/>
  <c r="F208" i="5"/>
  <c r="J207" i="5"/>
  <c r="G207" i="5"/>
  <c r="F207" i="5"/>
  <c r="J206" i="5"/>
  <c r="G206" i="5"/>
  <c r="F206" i="5"/>
  <c r="J205" i="5"/>
  <c r="G205" i="5"/>
  <c r="F205" i="5"/>
  <c r="F203" i="5"/>
  <c r="D203" i="5"/>
  <c r="I203" i="5"/>
  <c r="C203" i="5"/>
  <c r="B203" i="5"/>
  <c r="A203" i="5"/>
  <c r="Z202" i="5"/>
  <c r="Y202" i="5"/>
  <c r="X202" i="5"/>
  <c r="J201" i="5"/>
  <c r="Z201" i="5"/>
  <c r="Y201" i="5"/>
  <c r="X201" i="5"/>
  <c r="F201" i="5"/>
  <c r="D201" i="5"/>
  <c r="C201" i="5"/>
  <c r="B201" i="5"/>
  <c r="A201" i="5"/>
  <c r="J200" i="5"/>
  <c r="Z200" i="5"/>
  <c r="Y200" i="5"/>
  <c r="X200" i="5"/>
  <c r="F200" i="5"/>
  <c r="D200" i="5"/>
  <c r="C200" i="5"/>
  <c r="B200" i="5"/>
  <c r="A200" i="5"/>
  <c r="J199" i="5"/>
  <c r="Z199" i="5"/>
  <c r="Y199" i="5"/>
  <c r="X199" i="5"/>
  <c r="F199" i="5"/>
  <c r="D199" i="5"/>
  <c r="C199" i="5"/>
  <c r="B199" i="5"/>
  <c r="A199" i="5"/>
  <c r="G198" i="5"/>
  <c r="E198" i="5"/>
  <c r="J197" i="5"/>
  <c r="F197" i="5"/>
  <c r="E197" i="5"/>
  <c r="J196" i="5"/>
  <c r="F196" i="5"/>
  <c r="E196" i="5"/>
  <c r="J195" i="5"/>
  <c r="G195" i="5"/>
  <c r="F195" i="5"/>
  <c r="J194" i="5"/>
  <c r="G194" i="5"/>
  <c r="F194" i="5"/>
  <c r="J193" i="5"/>
  <c r="G193" i="5"/>
  <c r="F193" i="5"/>
  <c r="J192" i="5"/>
  <c r="G192" i="5"/>
  <c r="F192" i="5"/>
  <c r="F190" i="5"/>
  <c r="D190" i="5"/>
  <c r="I190" i="5"/>
  <c r="C190" i="5"/>
  <c r="B190" i="5"/>
  <c r="A190" i="5"/>
  <c r="Z189" i="5"/>
  <c r="Y189" i="5"/>
  <c r="X189" i="5"/>
  <c r="G188" i="5"/>
  <c r="E188" i="5"/>
  <c r="J187" i="5"/>
  <c r="E187" i="5"/>
  <c r="J186" i="5"/>
  <c r="E186" i="5"/>
  <c r="J185" i="5"/>
  <c r="G185" i="5"/>
  <c r="F185" i="5"/>
  <c r="J184" i="5"/>
  <c r="G184" i="5"/>
  <c r="F184" i="5"/>
  <c r="J183" i="5"/>
  <c r="G183" i="5"/>
  <c r="F183" i="5"/>
  <c r="F181" i="5"/>
  <c r="D181" i="5"/>
  <c r="I181" i="5"/>
  <c r="C181" i="5"/>
  <c r="B181" i="5"/>
  <c r="A181" i="5"/>
  <c r="Z180" i="5"/>
  <c r="Y180" i="5"/>
  <c r="X180" i="5"/>
  <c r="J179" i="5"/>
  <c r="Z179" i="5"/>
  <c r="Y179" i="5"/>
  <c r="X179" i="5"/>
  <c r="F179" i="5"/>
  <c r="D179" i="5"/>
  <c r="C179" i="5"/>
  <c r="B179" i="5"/>
  <c r="A179" i="5"/>
  <c r="J178" i="5"/>
  <c r="Z178" i="5"/>
  <c r="Y178" i="5"/>
  <c r="X178" i="5"/>
  <c r="F178" i="5"/>
  <c r="D178" i="5"/>
  <c r="C178" i="5"/>
  <c r="B178" i="5"/>
  <c r="A178" i="5"/>
  <c r="G177" i="5"/>
  <c r="E177" i="5"/>
  <c r="J176" i="5"/>
  <c r="F176" i="5"/>
  <c r="E176" i="5"/>
  <c r="J175" i="5"/>
  <c r="F175" i="5"/>
  <c r="E175" i="5"/>
  <c r="J174" i="5"/>
  <c r="G174" i="5"/>
  <c r="F174" i="5"/>
  <c r="J173" i="5"/>
  <c r="G173" i="5"/>
  <c r="F173" i="5"/>
  <c r="J172" i="5"/>
  <c r="G172" i="5"/>
  <c r="F172" i="5"/>
  <c r="J171" i="5"/>
  <c r="G171" i="5"/>
  <c r="F171" i="5"/>
  <c r="F169" i="5"/>
  <c r="D169" i="5"/>
  <c r="I169" i="5"/>
  <c r="C169" i="5"/>
  <c r="B169" i="5"/>
  <c r="A169" i="5"/>
  <c r="Z168" i="5"/>
  <c r="Y168" i="5"/>
  <c r="X168" i="5"/>
  <c r="J167" i="5"/>
  <c r="Z167" i="5"/>
  <c r="Y167" i="5"/>
  <c r="X167" i="5"/>
  <c r="F167" i="5"/>
  <c r="D167" i="5"/>
  <c r="C167" i="5"/>
  <c r="B167" i="5"/>
  <c r="A167" i="5"/>
  <c r="J166" i="5"/>
  <c r="Z166" i="5"/>
  <c r="Y166" i="5"/>
  <c r="X166" i="5"/>
  <c r="F166" i="5"/>
  <c r="D166" i="5"/>
  <c r="C166" i="5"/>
  <c r="B166" i="5"/>
  <c r="A166" i="5"/>
  <c r="J165" i="5"/>
  <c r="Z165" i="5"/>
  <c r="Y165" i="5"/>
  <c r="X165" i="5"/>
  <c r="F165" i="5"/>
  <c r="D165" i="5"/>
  <c r="C165" i="5"/>
  <c r="B165" i="5"/>
  <c r="A165" i="5"/>
  <c r="G164" i="5"/>
  <c r="E164" i="5"/>
  <c r="J163" i="5"/>
  <c r="F163" i="5"/>
  <c r="E163" i="5"/>
  <c r="J162" i="5"/>
  <c r="F162" i="5"/>
  <c r="E162" i="5"/>
  <c r="J161" i="5"/>
  <c r="G161" i="5"/>
  <c r="F161" i="5"/>
  <c r="J160" i="5"/>
  <c r="G160" i="5"/>
  <c r="F160" i="5"/>
  <c r="J159" i="5"/>
  <c r="G159" i="5"/>
  <c r="F159" i="5"/>
  <c r="J158" i="5"/>
  <c r="G158" i="5"/>
  <c r="F158" i="5"/>
  <c r="F156" i="5"/>
  <c r="D156" i="5"/>
  <c r="I156" i="5"/>
  <c r="C156" i="5"/>
  <c r="B156" i="5"/>
  <c r="A156" i="5"/>
  <c r="Z155" i="5"/>
  <c r="Y155" i="5"/>
  <c r="X155" i="5"/>
  <c r="G154" i="5"/>
  <c r="E154" i="5"/>
  <c r="J153" i="5"/>
  <c r="F153" i="5"/>
  <c r="E153" i="5"/>
  <c r="J152" i="5"/>
  <c r="F152" i="5"/>
  <c r="E152" i="5"/>
  <c r="J151" i="5"/>
  <c r="G151" i="5"/>
  <c r="F151" i="5"/>
  <c r="J150" i="5"/>
  <c r="G150" i="5"/>
  <c r="F150" i="5"/>
  <c r="J149" i="5"/>
  <c r="G149" i="5"/>
  <c r="F149" i="5"/>
  <c r="J148" i="5"/>
  <c r="G148" i="5"/>
  <c r="F148" i="5"/>
  <c r="F146" i="5"/>
  <c r="D146" i="5"/>
  <c r="I146" i="5"/>
  <c r="C146" i="5"/>
  <c r="B146" i="5"/>
  <c r="A146" i="5"/>
  <c r="Z145" i="5"/>
  <c r="Y145" i="5"/>
  <c r="X145" i="5"/>
  <c r="J144" i="5"/>
  <c r="Z144" i="5"/>
  <c r="Y144" i="5"/>
  <c r="X144" i="5"/>
  <c r="F144" i="5"/>
  <c r="D144" i="5"/>
  <c r="C144" i="5"/>
  <c r="B144" i="5"/>
  <c r="A144" i="5"/>
  <c r="G143" i="5"/>
  <c r="E143" i="5"/>
  <c r="J142" i="5"/>
  <c r="F142" i="5"/>
  <c r="E142" i="5"/>
  <c r="J141" i="5"/>
  <c r="F141" i="5"/>
  <c r="E141" i="5"/>
  <c r="J140" i="5"/>
  <c r="G140" i="5"/>
  <c r="F140" i="5"/>
  <c r="J139" i="5"/>
  <c r="G139" i="5"/>
  <c r="F139" i="5"/>
  <c r="J138" i="5"/>
  <c r="G138" i="5"/>
  <c r="F138" i="5"/>
  <c r="J137" i="5"/>
  <c r="G137" i="5"/>
  <c r="F137" i="5"/>
  <c r="F135" i="5"/>
  <c r="D135" i="5"/>
  <c r="I135" i="5"/>
  <c r="C135" i="5"/>
  <c r="B135" i="5"/>
  <c r="A135" i="5"/>
  <c r="Z134" i="5"/>
  <c r="Y134" i="5"/>
  <c r="X134" i="5"/>
  <c r="G133" i="5"/>
  <c r="E133" i="5"/>
  <c r="J132" i="5"/>
  <c r="E132" i="5"/>
  <c r="J131" i="5"/>
  <c r="E131" i="5"/>
  <c r="J130" i="5"/>
  <c r="G130" i="5"/>
  <c r="F130" i="5"/>
  <c r="F128" i="5"/>
  <c r="D128" i="5"/>
  <c r="I128" i="5"/>
  <c r="C128" i="5"/>
  <c r="B128" i="5"/>
  <c r="A128" i="5"/>
  <c r="Z127" i="5"/>
  <c r="Y127" i="5"/>
  <c r="X127" i="5"/>
  <c r="G126" i="5"/>
  <c r="E126" i="5"/>
  <c r="J125" i="5"/>
  <c r="E125" i="5"/>
  <c r="J124" i="5"/>
  <c r="E124" i="5"/>
  <c r="J123" i="5"/>
  <c r="G123" i="5"/>
  <c r="F123" i="5"/>
  <c r="J122" i="5"/>
  <c r="G122" i="5"/>
  <c r="F122" i="5"/>
  <c r="J121" i="5"/>
  <c r="G121" i="5"/>
  <c r="F121" i="5"/>
  <c r="F119" i="5"/>
  <c r="D119" i="5"/>
  <c r="I119" i="5"/>
  <c r="C119" i="5"/>
  <c r="B119" i="5"/>
  <c r="A119" i="5"/>
  <c r="Z118" i="5"/>
  <c r="Y118" i="5"/>
  <c r="X118" i="5"/>
  <c r="G117" i="5"/>
  <c r="E117" i="5"/>
  <c r="J116" i="5"/>
  <c r="E116" i="5"/>
  <c r="J115" i="5"/>
  <c r="E115" i="5"/>
  <c r="J114" i="5"/>
  <c r="G114" i="5"/>
  <c r="F114" i="5"/>
  <c r="J113" i="5"/>
  <c r="G113" i="5"/>
  <c r="F113" i="5"/>
  <c r="J112" i="5"/>
  <c r="G112" i="5"/>
  <c r="F112" i="5"/>
  <c r="F110" i="5"/>
  <c r="D110" i="5"/>
  <c r="I110" i="5"/>
  <c r="C110" i="5"/>
  <c r="B110" i="5"/>
  <c r="A110" i="5"/>
  <c r="Z109" i="5"/>
  <c r="Y109" i="5"/>
  <c r="X109" i="5"/>
  <c r="G108" i="5"/>
  <c r="E108" i="5"/>
  <c r="J107" i="5"/>
  <c r="F107" i="5"/>
  <c r="E107" i="5"/>
  <c r="J106" i="5"/>
  <c r="F106" i="5"/>
  <c r="E106" i="5"/>
  <c r="J105" i="5"/>
  <c r="G105" i="5"/>
  <c r="F105" i="5"/>
  <c r="J104" i="5"/>
  <c r="G104" i="5"/>
  <c r="F104" i="5"/>
  <c r="J103" i="5"/>
  <c r="G103" i="5"/>
  <c r="F103" i="5"/>
  <c r="J102" i="5"/>
  <c r="G102" i="5"/>
  <c r="F102" i="5"/>
  <c r="F100" i="5"/>
  <c r="D100" i="5"/>
  <c r="I100" i="5"/>
  <c r="C100" i="5"/>
  <c r="B100" i="5"/>
  <c r="A100" i="5"/>
  <c r="Z99" i="5"/>
  <c r="Y99" i="5"/>
  <c r="X99" i="5"/>
  <c r="J98" i="5"/>
  <c r="Z98" i="5"/>
  <c r="Y98" i="5"/>
  <c r="X98" i="5"/>
  <c r="F98" i="5"/>
  <c r="D98" i="5"/>
  <c r="C98" i="5"/>
  <c r="B98" i="5"/>
  <c r="A98" i="5"/>
  <c r="J97" i="5"/>
  <c r="Z97" i="5"/>
  <c r="Y97" i="5"/>
  <c r="X97" i="5"/>
  <c r="F97" i="5"/>
  <c r="D97" i="5"/>
  <c r="C97" i="5"/>
  <c r="B97" i="5"/>
  <c r="A97" i="5"/>
  <c r="G96" i="5"/>
  <c r="E96" i="5"/>
  <c r="J95" i="5"/>
  <c r="E95" i="5"/>
  <c r="J94" i="5"/>
  <c r="E94" i="5"/>
  <c r="J93" i="5"/>
  <c r="G93" i="5"/>
  <c r="F93" i="5"/>
  <c r="J92" i="5"/>
  <c r="G92" i="5"/>
  <c r="F92" i="5"/>
  <c r="J91" i="5"/>
  <c r="G91" i="5"/>
  <c r="F91" i="5"/>
  <c r="J90" i="5"/>
  <c r="G90" i="5"/>
  <c r="F90" i="5"/>
  <c r="F88" i="5"/>
  <c r="D88" i="5"/>
  <c r="I88" i="5"/>
  <c r="C88" i="5"/>
  <c r="B88" i="5"/>
  <c r="A88" i="5"/>
  <c r="Z87" i="5"/>
  <c r="Y87" i="5"/>
  <c r="X87" i="5"/>
  <c r="G86" i="5"/>
  <c r="E86" i="5"/>
  <c r="J85" i="5"/>
  <c r="F85" i="5"/>
  <c r="E85" i="5"/>
  <c r="J84" i="5"/>
  <c r="F84" i="5"/>
  <c r="E84" i="5"/>
  <c r="J83" i="5"/>
  <c r="G83" i="5"/>
  <c r="F83" i="5"/>
  <c r="J82" i="5"/>
  <c r="G82" i="5"/>
  <c r="F82" i="5"/>
  <c r="J81" i="5"/>
  <c r="G81" i="5"/>
  <c r="F81" i="5"/>
  <c r="F80" i="5"/>
  <c r="E80" i="5"/>
  <c r="D80" i="5"/>
  <c r="I80" i="5"/>
  <c r="C80" i="5"/>
  <c r="B80" i="5"/>
  <c r="A80" i="5"/>
  <c r="Z79" i="5"/>
  <c r="Y79" i="5"/>
  <c r="X79" i="5"/>
  <c r="J78" i="5"/>
  <c r="Z78" i="5"/>
  <c r="Y78" i="5"/>
  <c r="X78" i="5"/>
  <c r="F78" i="5"/>
  <c r="D78" i="5"/>
  <c r="C78" i="5"/>
  <c r="B78" i="5"/>
  <c r="A78" i="5"/>
  <c r="G77" i="5"/>
  <c r="E77" i="5"/>
  <c r="J76" i="5"/>
  <c r="F76" i="5"/>
  <c r="E76" i="5"/>
  <c r="J75" i="5"/>
  <c r="F75" i="5"/>
  <c r="E75" i="5"/>
  <c r="J74" i="5"/>
  <c r="G74" i="5"/>
  <c r="F74" i="5"/>
  <c r="J73" i="5"/>
  <c r="G73" i="5"/>
  <c r="F73" i="5"/>
  <c r="F71" i="5"/>
  <c r="D71" i="5"/>
  <c r="I71" i="5"/>
  <c r="C71" i="5"/>
  <c r="B71" i="5"/>
  <c r="A71" i="5"/>
  <c r="Z70" i="5"/>
  <c r="Y70" i="5"/>
  <c r="X70" i="5"/>
  <c r="J69" i="5"/>
  <c r="Z69" i="5"/>
  <c r="Y69" i="5"/>
  <c r="X69" i="5"/>
  <c r="F69" i="5"/>
  <c r="D69" i="5"/>
  <c r="C69" i="5"/>
  <c r="B69" i="5"/>
  <c r="A69" i="5"/>
  <c r="J68" i="5"/>
  <c r="Z68" i="5"/>
  <c r="Y68" i="5"/>
  <c r="X68" i="5"/>
  <c r="F68" i="5"/>
  <c r="D68" i="5"/>
  <c r="C68" i="5"/>
  <c r="B68" i="5"/>
  <c r="A68" i="5"/>
  <c r="J67" i="5"/>
  <c r="Z67" i="5"/>
  <c r="Y67" i="5"/>
  <c r="X67" i="5"/>
  <c r="F67" i="5"/>
  <c r="D67" i="5"/>
  <c r="C67" i="5"/>
  <c r="B67" i="5"/>
  <c r="A67" i="5"/>
  <c r="G66" i="5"/>
  <c r="E66" i="5"/>
  <c r="J65" i="5"/>
  <c r="F65" i="5"/>
  <c r="E65" i="5"/>
  <c r="J64" i="5"/>
  <c r="F64" i="5"/>
  <c r="E64" i="5"/>
  <c r="J63" i="5"/>
  <c r="G63" i="5"/>
  <c r="F63" i="5"/>
  <c r="J62" i="5"/>
  <c r="G62" i="5"/>
  <c r="F62" i="5"/>
  <c r="J61" i="5"/>
  <c r="G61" i="5"/>
  <c r="F61" i="5"/>
  <c r="J60" i="5"/>
  <c r="G60" i="5"/>
  <c r="F60" i="5"/>
  <c r="F58" i="5"/>
  <c r="D58" i="5"/>
  <c r="I58" i="5"/>
  <c r="C58" i="5"/>
  <c r="B58" i="5"/>
  <c r="A58" i="5"/>
  <c r="Z57" i="5"/>
  <c r="Y57" i="5"/>
  <c r="X57" i="5"/>
  <c r="J56" i="5"/>
  <c r="Z56" i="5"/>
  <c r="Y56" i="5"/>
  <c r="X56" i="5"/>
  <c r="F56" i="5"/>
  <c r="D56" i="5"/>
  <c r="C56" i="5"/>
  <c r="B56" i="5"/>
  <c r="A56" i="5"/>
  <c r="G55" i="5"/>
  <c r="E55" i="5"/>
  <c r="J54" i="5"/>
  <c r="F54" i="5"/>
  <c r="E54" i="5"/>
  <c r="J53" i="5"/>
  <c r="F53" i="5"/>
  <c r="E53" i="5"/>
  <c r="J52" i="5"/>
  <c r="G52" i="5"/>
  <c r="F52" i="5"/>
  <c r="J51" i="5"/>
  <c r="G51" i="5"/>
  <c r="F51" i="5"/>
  <c r="J50" i="5"/>
  <c r="G50" i="5"/>
  <c r="F50" i="5"/>
  <c r="J49" i="5"/>
  <c r="G49" i="5"/>
  <c r="F49" i="5"/>
  <c r="F47" i="5"/>
  <c r="D47" i="5"/>
  <c r="I47" i="5"/>
  <c r="C47" i="5"/>
  <c r="B47" i="5"/>
  <c r="A47" i="5"/>
  <c r="Z46" i="5"/>
  <c r="Y46" i="5"/>
  <c r="X46" i="5"/>
  <c r="J45" i="5"/>
  <c r="Z45" i="5"/>
  <c r="Y45" i="5"/>
  <c r="X45" i="5"/>
  <c r="F45" i="5"/>
  <c r="D45" i="5"/>
  <c r="C45" i="5"/>
  <c r="B45" i="5"/>
  <c r="A45" i="5"/>
  <c r="G44" i="5"/>
  <c r="E44" i="5"/>
  <c r="J43" i="5"/>
  <c r="F43" i="5"/>
  <c r="E43" i="5"/>
  <c r="J42" i="5"/>
  <c r="F42" i="5"/>
  <c r="E42" i="5"/>
  <c r="J41" i="5"/>
  <c r="G41" i="5"/>
  <c r="F41" i="5"/>
  <c r="J40" i="5"/>
  <c r="G40" i="5"/>
  <c r="F40" i="5"/>
  <c r="J39" i="5"/>
  <c r="G39" i="5"/>
  <c r="F39" i="5"/>
  <c r="J38" i="5"/>
  <c r="G38" i="5"/>
  <c r="F38" i="5"/>
  <c r="F36" i="5"/>
  <c r="D36" i="5"/>
  <c r="I36" i="5"/>
  <c r="C36" i="5"/>
  <c r="B36" i="5"/>
  <c r="A36" i="5"/>
  <c r="Z35" i="5"/>
  <c r="Y35" i="5"/>
  <c r="X35" i="5"/>
  <c r="G34" i="5"/>
  <c r="E34" i="5"/>
  <c r="J33" i="5"/>
  <c r="F33" i="5"/>
  <c r="E33" i="5"/>
  <c r="J32" i="5"/>
  <c r="F32" i="5"/>
  <c r="E32" i="5"/>
  <c r="J31" i="5"/>
  <c r="G31" i="5"/>
  <c r="F31" i="5"/>
  <c r="J30" i="5"/>
  <c r="G30" i="5"/>
  <c r="F30" i="5"/>
  <c r="J29" i="5"/>
  <c r="G29" i="5"/>
  <c r="F29" i="5"/>
  <c r="F27" i="5"/>
  <c r="D27" i="5"/>
  <c r="I27" i="5"/>
  <c r="C27" i="5"/>
  <c r="B27" i="5"/>
  <c r="A27" i="5"/>
  <c r="B14" i="5"/>
  <c r="B12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1" i="3"/>
  <c r="CY1" i="3"/>
  <c r="CZ1" i="3"/>
  <c r="DB1" i="3" s="1"/>
  <c r="DA1" i="3"/>
  <c r="DC1" i="3"/>
  <c r="A2" i="3"/>
  <c r="CY2" i="3"/>
  <c r="CZ2" i="3"/>
  <c r="DB2" i="3" s="1"/>
  <c r="DA2" i="3"/>
  <c r="DC2" i="3"/>
  <c r="A3" i="3"/>
  <c r="CY3" i="3"/>
  <c r="CZ3" i="3"/>
  <c r="DA3" i="3"/>
  <c r="DB3" i="3"/>
  <c r="DC3" i="3"/>
  <c r="A4" i="3"/>
  <c r="CY4" i="3"/>
  <c r="CZ4" i="3"/>
  <c r="DB4" i="3" s="1"/>
  <c r="DA4" i="3"/>
  <c r="DC4" i="3"/>
  <c r="A5" i="3"/>
  <c r="CY5" i="3"/>
  <c r="CZ5" i="3"/>
  <c r="DB5" i="3" s="1"/>
  <c r="DA5" i="3"/>
  <c r="DC5" i="3"/>
  <c r="A6" i="3"/>
  <c r="CY6" i="3"/>
  <c r="CZ6" i="3"/>
  <c r="DB6" i="3" s="1"/>
  <c r="DA6" i="3"/>
  <c r="DC6" i="3"/>
  <c r="A7" i="3"/>
  <c r="CY7" i="3"/>
  <c r="CZ7" i="3"/>
  <c r="DB7" i="3" s="1"/>
  <c r="DA7" i="3"/>
  <c r="DC7" i="3"/>
  <c r="A8" i="3"/>
  <c r="CY8" i="3"/>
  <c r="CZ8" i="3"/>
  <c r="DA8" i="3"/>
  <c r="DB8" i="3"/>
  <c r="DC8" i="3"/>
  <c r="A9" i="3"/>
  <c r="CY9" i="3"/>
  <c r="CZ9" i="3"/>
  <c r="DB9" i="3" s="1"/>
  <c r="DA9" i="3"/>
  <c r="DC9" i="3"/>
  <c r="A10" i="3"/>
  <c r="CY10" i="3"/>
  <c r="CZ10" i="3"/>
  <c r="DB10" i="3" s="1"/>
  <c r="DA10" i="3"/>
  <c r="DC10" i="3"/>
  <c r="A11" i="3"/>
  <c r="CY11" i="3"/>
  <c r="CZ11" i="3"/>
  <c r="DA11" i="3"/>
  <c r="DB11" i="3"/>
  <c r="DC11" i="3"/>
  <c r="A12" i="3"/>
  <c r="CY12" i="3"/>
  <c r="CZ12" i="3"/>
  <c r="DB12" i="3" s="1"/>
  <c r="DA12" i="3"/>
  <c r="DC12" i="3"/>
  <c r="A13" i="3"/>
  <c r="CY13" i="3"/>
  <c r="CZ13" i="3"/>
  <c r="DB13" i="3" s="1"/>
  <c r="DA13" i="3"/>
  <c r="DC13" i="3"/>
  <c r="A14" i="3"/>
  <c r="CY14" i="3"/>
  <c r="CZ14" i="3"/>
  <c r="DB14" i="3" s="1"/>
  <c r="DA14" i="3"/>
  <c r="DC14" i="3"/>
  <c r="A15" i="3"/>
  <c r="CY15" i="3"/>
  <c r="CZ15" i="3"/>
  <c r="DB15" i="3" s="1"/>
  <c r="DA15" i="3"/>
  <c r="DC15" i="3"/>
  <c r="A16" i="3"/>
  <c r="CY16" i="3"/>
  <c r="CZ16" i="3"/>
  <c r="DA16" i="3"/>
  <c r="DB16" i="3"/>
  <c r="DC16" i="3"/>
  <c r="A17" i="3"/>
  <c r="CY17" i="3"/>
  <c r="CZ17" i="3"/>
  <c r="DB17" i="3" s="1"/>
  <c r="DA17" i="3"/>
  <c r="DC17" i="3"/>
  <c r="A18" i="3"/>
  <c r="CY18" i="3"/>
  <c r="CZ18" i="3"/>
  <c r="DB18" i="3" s="1"/>
  <c r="DA18" i="3"/>
  <c r="DC18" i="3"/>
  <c r="A19" i="3"/>
  <c r="CY19" i="3"/>
  <c r="CZ19" i="3"/>
  <c r="DA19" i="3"/>
  <c r="DB19" i="3"/>
  <c r="DC19" i="3"/>
  <c r="A20" i="3"/>
  <c r="CY20" i="3"/>
  <c r="CZ20" i="3"/>
  <c r="DB20" i="3" s="1"/>
  <c r="DA20" i="3"/>
  <c r="DC20" i="3"/>
  <c r="A21" i="3"/>
  <c r="CY21" i="3"/>
  <c r="CZ21" i="3"/>
  <c r="DB21" i="3" s="1"/>
  <c r="DA21" i="3"/>
  <c r="DC21" i="3"/>
  <c r="A22" i="3"/>
  <c r="CY22" i="3"/>
  <c r="CZ22" i="3"/>
  <c r="DB22" i="3" s="1"/>
  <c r="DA22" i="3"/>
  <c r="DC22" i="3"/>
  <c r="A23" i="3"/>
  <c r="CY23" i="3"/>
  <c r="CZ23" i="3"/>
  <c r="DB23" i="3" s="1"/>
  <c r="DA23" i="3"/>
  <c r="DC23" i="3"/>
  <c r="A24" i="3"/>
  <c r="CY24" i="3"/>
  <c r="CZ24" i="3"/>
  <c r="DA24" i="3"/>
  <c r="DB24" i="3"/>
  <c r="DC24" i="3"/>
  <c r="A25" i="3"/>
  <c r="CY25" i="3"/>
  <c r="CZ25" i="3"/>
  <c r="DB25" i="3" s="1"/>
  <c r="DA25" i="3"/>
  <c r="DC25" i="3"/>
  <c r="A26" i="3"/>
  <c r="CY26" i="3"/>
  <c r="CZ26" i="3"/>
  <c r="DB26" i="3" s="1"/>
  <c r="DA26" i="3"/>
  <c r="DC26" i="3"/>
  <c r="A27" i="3"/>
  <c r="CY27" i="3"/>
  <c r="CZ27" i="3"/>
  <c r="DA27" i="3"/>
  <c r="DB27" i="3"/>
  <c r="DC27" i="3"/>
  <c r="A28" i="3"/>
  <c r="CY28" i="3"/>
  <c r="CZ28" i="3"/>
  <c r="DB28" i="3" s="1"/>
  <c r="DA28" i="3"/>
  <c r="DC28" i="3"/>
  <c r="A29" i="3"/>
  <c r="CY29" i="3"/>
  <c r="CZ29" i="3"/>
  <c r="DB29" i="3" s="1"/>
  <c r="DA29" i="3"/>
  <c r="DC29" i="3"/>
  <c r="A30" i="3"/>
  <c r="CY30" i="3"/>
  <c r="CZ30" i="3"/>
  <c r="DB30" i="3" s="1"/>
  <c r="DA30" i="3"/>
  <c r="DC30" i="3"/>
  <c r="A31" i="3"/>
  <c r="CY31" i="3"/>
  <c r="CZ31" i="3"/>
  <c r="DB31" i="3" s="1"/>
  <c r="DA31" i="3"/>
  <c r="DC31" i="3"/>
  <c r="A32" i="3"/>
  <c r="CY32" i="3"/>
  <c r="CZ32" i="3"/>
  <c r="DA32" i="3"/>
  <c r="DB32" i="3"/>
  <c r="DC32" i="3"/>
  <c r="A33" i="3"/>
  <c r="CY33" i="3"/>
  <c r="CZ33" i="3"/>
  <c r="DB33" i="3" s="1"/>
  <c r="DA33" i="3"/>
  <c r="DC33" i="3"/>
  <c r="A34" i="3"/>
  <c r="CY34" i="3"/>
  <c r="CZ34" i="3"/>
  <c r="DB34" i="3" s="1"/>
  <c r="DA34" i="3"/>
  <c r="DC34" i="3"/>
  <c r="A35" i="3"/>
  <c r="CY35" i="3"/>
  <c r="CZ35" i="3"/>
  <c r="DA35" i="3"/>
  <c r="DB35" i="3"/>
  <c r="DC35" i="3"/>
  <c r="A36" i="3"/>
  <c r="CY36" i="3"/>
  <c r="CZ36" i="3"/>
  <c r="DB36" i="3" s="1"/>
  <c r="DA36" i="3"/>
  <c r="DC36" i="3"/>
  <c r="A37" i="3"/>
  <c r="CY37" i="3"/>
  <c r="CZ37" i="3"/>
  <c r="DB37" i="3" s="1"/>
  <c r="DA37" i="3"/>
  <c r="DC37" i="3"/>
  <c r="A38" i="3"/>
  <c r="CY38" i="3"/>
  <c r="CZ38" i="3"/>
  <c r="DB38" i="3" s="1"/>
  <c r="DA38" i="3"/>
  <c r="DC38" i="3"/>
  <c r="A39" i="3"/>
  <c r="CY39" i="3"/>
  <c r="CZ39" i="3"/>
  <c r="DB39" i="3" s="1"/>
  <c r="DA39" i="3"/>
  <c r="DC39" i="3"/>
  <c r="A40" i="3"/>
  <c r="CY40" i="3"/>
  <c r="CZ40" i="3"/>
  <c r="DA40" i="3"/>
  <c r="DB40" i="3"/>
  <c r="DC40" i="3"/>
  <c r="A41" i="3"/>
  <c r="CY41" i="3"/>
  <c r="CZ41" i="3"/>
  <c r="DB41" i="3" s="1"/>
  <c r="DA41" i="3"/>
  <c r="DC41" i="3"/>
  <c r="A42" i="3"/>
  <c r="CY42" i="3"/>
  <c r="CZ42" i="3"/>
  <c r="DB42" i="3" s="1"/>
  <c r="DA42" i="3"/>
  <c r="DC42" i="3"/>
  <c r="A43" i="3"/>
  <c r="CY43" i="3"/>
  <c r="CZ43" i="3"/>
  <c r="DA43" i="3"/>
  <c r="DB43" i="3"/>
  <c r="DC43" i="3"/>
  <c r="A44" i="3"/>
  <c r="CY44" i="3"/>
  <c r="CZ44" i="3"/>
  <c r="DB44" i="3" s="1"/>
  <c r="DA44" i="3"/>
  <c r="DC44" i="3"/>
  <c r="A45" i="3"/>
  <c r="CY45" i="3"/>
  <c r="CZ45" i="3"/>
  <c r="DB45" i="3" s="1"/>
  <c r="DA45" i="3"/>
  <c r="DC45" i="3"/>
  <c r="A46" i="3"/>
  <c r="CY46" i="3"/>
  <c r="CZ46" i="3"/>
  <c r="DB46" i="3" s="1"/>
  <c r="DA46" i="3"/>
  <c r="DC46" i="3"/>
  <c r="A47" i="3"/>
  <c r="CY47" i="3"/>
  <c r="CZ47" i="3"/>
  <c r="DB47" i="3" s="1"/>
  <c r="DA47" i="3"/>
  <c r="DC47" i="3"/>
  <c r="A48" i="3"/>
  <c r="CY48" i="3"/>
  <c r="CZ48" i="3"/>
  <c r="DA48" i="3"/>
  <c r="DB48" i="3"/>
  <c r="DC48" i="3"/>
  <c r="A49" i="3"/>
  <c r="CY49" i="3"/>
  <c r="CZ49" i="3"/>
  <c r="DB49" i="3" s="1"/>
  <c r="DA49" i="3"/>
  <c r="DC49" i="3"/>
  <c r="A50" i="3"/>
  <c r="CY50" i="3"/>
  <c r="CZ50" i="3"/>
  <c r="DB50" i="3" s="1"/>
  <c r="DA50" i="3"/>
  <c r="DC50" i="3"/>
  <c r="A51" i="3"/>
  <c r="CY51" i="3"/>
  <c r="CZ51" i="3"/>
  <c r="DA51" i="3"/>
  <c r="DB51" i="3"/>
  <c r="DC51" i="3"/>
  <c r="A52" i="3"/>
  <c r="CY52" i="3"/>
  <c r="CZ52" i="3"/>
  <c r="DB52" i="3" s="1"/>
  <c r="DA52" i="3"/>
  <c r="DC52" i="3"/>
  <c r="A53" i="3"/>
  <c r="CY53" i="3"/>
  <c r="CZ53" i="3"/>
  <c r="DB53" i="3" s="1"/>
  <c r="DA53" i="3"/>
  <c r="DC53" i="3"/>
  <c r="A54" i="3"/>
  <c r="CY54" i="3"/>
  <c r="CZ54" i="3"/>
  <c r="DB54" i="3" s="1"/>
  <c r="DA54" i="3"/>
  <c r="DC54" i="3"/>
  <c r="A55" i="3"/>
  <c r="CY55" i="3"/>
  <c r="CZ55" i="3"/>
  <c r="DB55" i="3" s="1"/>
  <c r="DA55" i="3"/>
  <c r="DC55" i="3"/>
  <c r="A56" i="3"/>
  <c r="CY56" i="3"/>
  <c r="CZ56" i="3"/>
  <c r="DA56" i="3"/>
  <c r="DB56" i="3"/>
  <c r="DC56" i="3"/>
  <c r="A57" i="3"/>
  <c r="CY57" i="3"/>
  <c r="CZ57" i="3"/>
  <c r="DB57" i="3" s="1"/>
  <c r="DA57" i="3"/>
  <c r="DC57" i="3"/>
  <c r="A58" i="3"/>
  <c r="CY58" i="3"/>
  <c r="CZ58" i="3"/>
  <c r="DB58" i="3" s="1"/>
  <c r="DA58" i="3"/>
  <c r="DC58" i="3"/>
  <c r="A59" i="3"/>
  <c r="CY59" i="3"/>
  <c r="CZ59" i="3"/>
  <c r="DA59" i="3"/>
  <c r="DB59" i="3"/>
  <c r="DC59" i="3"/>
  <c r="A60" i="3"/>
  <c r="CY60" i="3"/>
  <c r="CZ60" i="3"/>
  <c r="DB60" i="3" s="1"/>
  <c r="DA60" i="3"/>
  <c r="DC60" i="3"/>
  <c r="A61" i="3"/>
  <c r="CY61" i="3"/>
  <c r="CZ61" i="3"/>
  <c r="DB61" i="3" s="1"/>
  <c r="DA61" i="3"/>
  <c r="DC61" i="3"/>
  <c r="A62" i="3"/>
  <c r="CY62" i="3"/>
  <c r="CZ62" i="3"/>
  <c r="DB62" i="3" s="1"/>
  <c r="DA62" i="3"/>
  <c r="DC62" i="3"/>
  <c r="A63" i="3"/>
  <c r="CY63" i="3"/>
  <c r="CZ63" i="3"/>
  <c r="DB63" i="3" s="1"/>
  <c r="DA63" i="3"/>
  <c r="DC63" i="3"/>
  <c r="A64" i="3"/>
  <c r="CY64" i="3"/>
  <c r="CZ64" i="3"/>
  <c r="DA64" i="3"/>
  <c r="DB64" i="3"/>
  <c r="DC64" i="3"/>
  <c r="A65" i="3"/>
  <c r="CX65" i="3"/>
  <c r="CY65" i="3"/>
  <c r="CZ65" i="3"/>
  <c r="DB65" i="3" s="1"/>
  <c r="DA65" i="3"/>
  <c r="DC65" i="3"/>
  <c r="A66" i="3"/>
  <c r="CX66" i="3"/>
  <c r="CY66" i="3"/>
  <c r="CZ66" i="3"/>
  <c r="DB66" i="3" s="1"/>
  <c r="DA66" i="3"/>
  <c r="DC66" i="3"/>
  <c r="A67" i="3"/>
  <c r="CX67" i="3"/>
  <c r="CY67" i="3"/>
  <c r="CZ67" i="3"/>
  <c r="DB67" i="3" s="1"/>
  <c r="DA67" i="3"/>
  <c r="DC67" i="3"/>
  <c r="A68" i="3"/>
  <c r="CX68" i="3"/>
  <c r="CY68" i="3"/>
  <c r="CZ68" i="3"/>
  <c r="DB68" i="3" s="1"/>
  <c r="DA68" i="3"/>
  <c r="DC68" i="3"/>
  <c r="A69" i="3"/>
  <c r="CX69" i="3"/>
  <c r="CY69" i="3"/>
  <c r="CZ69" i="3"/>
  <c r="DB69" i="3" s="1"/>
  <c r="DA69" i="3"/>
  <c r="DC69" i="3"/>
  <c r="A70" i="3"/>
  <c r="CX70" i="3"/>
  <c r="CY70" i="3"/>
  <c r="CZ70" i="3"/>
  <c r="DB70" i="3" s="1"/>
  <c r="DA70" i="3"/>
  <c r="DC70" i="3"/>
  <c r="A71" i="3"/>
  <c r="CX71" i="3"/>
  <c r="CY71" i="3"/>
  <c r="CZ71" i="3"/>
  <c r="DA71" i="3"/>
  <c r="DB71" i="3"/>
  <c r="DC71" i="3"/>
  <c r="A72" i="3"/>
  <c r="CX72" i="3"/>
  <c r="CY72" i="3"/>
  <c r="CZ72" i="3"/>
  <c r="DA72" i="3"/>
  <c r="DB72" i="3"/>
  <c r="DC72" i="3"/>
  <c r="A73" i="3"/>
  <c r="CX73" i="3"/>
  <c r="CY73" i="3"/>
  <c r="CZ73" i="3"/>
  <c r="DB73" i="3" s="1"/>
  <c r="DA73" i="3"/>
  <c r="DC73" i="3"/>
  <c r="A74" i="3"/>
  <c r="CX74" i="3"/>
  <c r="CY74" i="3"/>
  <c r="CZ74" i="3"/>
  <c r="DB74" i="3" s="1"/>
  <c r="DA74" i="3"/>
  <c r="DC74" i="3"/>
  <c r="A75" i="3"/>
  <c r="CX75" i="3"/>
  <c r="CY75" i="3"/>
  <c r="CZ75" i="3"/>
  <c r="DB75" i="3" s="1"/>
  <c r="DA75" i="3"/>
  <c r="DC75" i="3"/>
  <c r="A76" i="3"/>
  <c r="CX76" i="3"/>
  <c r="CY76" i="3"/>
  <c r="CZ76" i="3"/>
  <c r="DB76" i="3" s="1"/>
  <c r="DA76" i="3"/>
  <c r="DC76" i="3"/>
  <c r="A77" i="3"/>
  <c r="CX77" i="3"/>
  <c r="CY77" i="3"/>
  <c r="CZ77" i="3"/>
  <c r="DB77" i="3" s="1"/>
  <c r="DA77" i="3"/>
  <c r="DC77" i="3"/>
  <c r="A78" i="3"/>
  <c r="CX78" i="3"/>
  <c r="CY78" i="3"/>
  <c r="CZ78" i="3"/>
  <c r="DB78" i="3" s="1"/>
  <c r="DA78" i="3"/>
  <c r="DC78" i="3"/>
  <c r="A79" i="3"/>
  <c r="CX79" i="3"/>
  <c r="CY79" i="3"/>
  <c r="CZ79" i="3"/>
  <c r="DA79" i="3"/>
  <c r="DB79" i="3"/>
  <c r="DC79" i="3"/>
  <c r="A80" i="3"/>
  <c r="CX80" i="3"/>
  <c r="CY80" i="3"/>
  <c r="CZ80" i="3"/>
  <c r="DA80" i="3"/>
  <c r="DB80" i="3"/>
  <c r="DC80" i="3"/>
  <c r="A81" i="3"/>
  <c r="CX81" i="3"/>
  <c r="CY81" i="3"/>
  <c r="CZ81" i="3"/>
  <c r="DB81" i="3" s="1"/>
  <c r="DA81" i="3"/>
  <c r="DC81" i="3"/>
  <c r="A82" i="3"/>
  <c r="CX82" i="3"/>
  <c r="CY82" i="3"/>
  <c r="CZ82" i="3"/>
  <c r="DB82" i="3" s="1"/>
  <c r="DA82" i="3"/>
  <c r="DC82" i="3"/>
  <c r="A83" i="3"/>
  <c r="CX83" i="3"/>
  <c r="CY83" i="3"/>
  <c r="CZ83" i="3"/>
  <c r="DB83" i="3" s="1"/>
  <c r="DA83" i="3"/>
  <c r="DC83" i="3"/>
  <c r="A84" i="3"/>
  <c r="CX84" i="3"/>
  <c r="CY84" i="3"/>
  <c r="CZ84" i="3"/>
  <c r="DB84" i="3" s="1"/>
  <c r="DA84" i="3"/>
  <c r="DC84" i="3"/>
  <c r="A85" i="3"/>
  <c r="CX85" i="3"/>
  <c r="CY85" i="3"/>
  <c r="CZ85" i="3"/>
  <c r="DB85" i="3" s="1"/>
  <c r="DA85" i="3"/>
  <c r="DC85" i="3"/>
  <c r="A86" i="3"/>
  <c r="CX86" i="3"/>
  <c r="CY86" i="3"/>
  <c r="CZ86" i="3"/>
  <c r="DB86" i="3" s="1"/>
  <c r="DA86" i="3"/>
  <c r="DC86" i="3"/>
  <c r="A87" i="3"/>
  <c r="CX87" i="3"/>
  <c r="CY87" i="3"/>
  <c r="CZ87" i="3"/>
  <c r="DA87" i="3"/>
  <c r="DB87" i="3"/>
  <c r="DC87" i="3"/>
  <c r="A88" i="3"/>
  <c r="CX88" i="3"/>
  <c r="CY88" i="3"/>
  <c r="CZ88" i="3"/>
  <c r="DA88" i="3"/>
  <c r="DB88" i="3"/>
  <c r="DC88" i="3"/>
  <c r="A89" i="3"/>
  <c r="CX89" i="3"/>
  <c r="CY89" i="3"/>
  <c r="CZ89" i="3"/>
  <c r="DB89" i="3" s="1"/>
  <c r="DA89" i="3"/>
  <c r="DC89" i="3"/>
  <c r="A90" i="3"/>
  <c r="CX90" i="3"/>
  <c r="CY90" i="3"/>
  <c r="CZ90" i="3"/>
  <c r="DB90" i="3" s="1"/>
  <c r="DA90" i="3"/>
  <c r="DC90" i="3"/>
  <c r="A91" i="3"/>
  <c r="CX91" i="3"/>
  <c r="CY91" i="3"/>
  <c r="CZ91" i="3"/>
  <c r="DB91" i="3" s="1"/>
  <c r="DA91" i="3"/>
  <c r="DC91" i="3"/>
  <c r="A92" i="3"/>
  <c r="CX92" i="3"/>
  <c r="CY92" i="3"/>
  <c r="CZ92" i="3"/>
  <c r="DB92" i="3" s="1"/>
  <c r="DA92" i="3"/>
  <c r="DC92" i="3"/>
  <c r="A93" i="3"/>
  <c r="CX93" i="3"/>
  <c r="CY93" i="3"/>
  <c r="CZ93" i="3"/>
  <c r="DB93" i="3" s="1"/>
  <c r="DA93" i="3"/>
  <c r="DC93" i="3"/>
  <c r="A94" i="3"/>
  <c r="CX94" i="3"/>
  <c r="CY94" i="3"/>
  <c r="CZ94" i="3"/>
  <c r="DB94" i="3" s="1"/>
  <c r="DA94" i="3"/>
  <c r="DC94" i="3"/>
  <c r="A95" i="3"/>
  <c r="CX95" i="3"/>
  <c r="CY95" i="3"/>
  <c r="CZ95" i="3"/>
  <c r="DA95" i="3"/>
  <c r="DB95" i="3"/>
  <c r="DC95" i="3"/>
  <c r="A96" i="3"/>
  <c r="CX96" i="3"/>
  <c r="CY96" i="3"/>
  <c r="CZ96" i="3"/>
  <c r="DA96" i="3"/>
  <c r="DB96" i="3"/>
  <c r="DC96" i="3"/>
  <c r="A97" i="3"/>
  <c r="CX97" i="3"/>
  <c r="CY97" i="3"/>
  <c r="CZ97" i="3"/>
  <c r="DB97" i="3" s="1"/>
  <c r="DA97" i="3"/>
  <c r="DC97" i="3"/>
  <c r="A98" i="3"/>
  <c r="CX98" i="3"/>
  <c r="CY98" i="3"/>
  <c r="CZ98" i="3"/>
  <c r="DB98" i="3" s="1"/>
  <c r="DA98" i="3"/>
  <c r="DC98" i="3"/>
  <c r="A99" i="3"/>
  <c r="CX99" i="3"/>
  <c r="CY99" i="3"/>
  <c r="CZ99" i="3"/>
  <c r="DB99" i="3" s="1"/>
  <c r="DA99" i="3"/>
  <c r="DC99" i="3"/>
  <c r="A100" i="3"/>
  <c r="CX100" i="3"/>
  <c r="CY100" i="3"/>
  <c r="CZ100" i="3"/>
  <c r="DB100" i="3" s="1"/>
  <c r="DA100" i="3"/>
  <c r="DC100" i="3"/>
  <c r="A101" i="3"/>
  <c r="CY101" i="3"/>
  <c r="CZ101" i="3"/>
  <c r="DB101" i="3" s="1"/>
  <c r="DA101" i="3"/>
  <c r="DC101" i="3"/>
  <c r="A102" i="3"/>
  <c r="CY102" i="3"/>
  <c r="CZ102" i="3"/>
  <c r="DB102" i="3" s="1"/>
  <c r="DA102" i="3"/>
  <c r="DC102" i="3"/>
  <c r="A103" i="3"/>
  <c r="CY103" i="3"/>
  <c r="CZ103" i="3"/>
  <c r="DB103" i="3" s="1"/>
  <c r="DA103" i="3"/>
  <c r="DC103" i="3"/>
  <c r="A104" i="3"/>
  <c r="CY104" i="3"/>
  <c r="CZ104" i="3"/>
  <c r="DA104" i="3"/>
  <c r="DB104" i="3"/>
  <c r="DC104" i="3"/>
  <c r="A105" i="3"/>
  <c r="CY105" i="3"/>
  <c r="CZ105" i="3"/>
  <c r="DB105" i="3" s="1"/>
  <c r="DA105" i="3"/>
  <c r="DC105" i="3"/>
  <c r="A106" i="3"/>
  <c r="CY106" i="3"/>
  <c r="CZ106" i="3"/>
  <c r="DB106" i="3" s="1"/>
  <c r="DA106" i="3"/>
  <c r="DC106" i="3"/>
  <c r="A107" i="3"/>
  <c r="CY107" i="3"/>
  <c r="CZ107" i="3"/>
  <c r="DA107" i="3"/>
  <c r="DB107" i="3"/>
  <c r="DC107" i="3"/>
  <c r="A108" i="3"/>
  <c r="CY108" i="3"/>
  <c r="CZ108" i="3"/>
  <c r="DB108" i="3" s="1"/>
  <c r="DA108" i="3"/>
  <c r="DC108" i="3"/>
  <c r="A109" i="3"/>
  <c r="CY109" i="3"/>
  <c r="CZ109" i="3"/>
  <c r="DB109" i="3" s="1"/>
  <c r="DA109" i="3"/>
  <c r="DC109" i="3"/>
  <c r="A110" i="3"/>
  <c r="CY110" i="3"/>
  <c r="CZ110" i="3"/>
  <c r="DB110" i="3" s="1"/>
  <c r="DA110" i="3"/>
  <c r="DC110" i="3"/>
  <c r="A111" i="3"/>
  <c r="CY111" i="3"/>
  <c r="CZ111" i="3"/>
  <c r="DB111" i="3" s="1"/>
  <c r="DA111" i="3"/>
  <c r="DC111" i="3"/>
  <c r="A112" i="3"/>
  <c r="CY112" i="3"/>
  <c r="CZ112" i="3"/>
  <c r="DA112" i="3"/>
  <c r="DB112" i="3"/>
  <c r="DC112" i="3"/>
  <c r="A113" i="3"/>
  <c r="CY113" i="3"/>
  <c r="CZ113" i="3"/>
  <c r="DB113" i="3" s="1"/>
  <c r="DA113" i="3"/>
  <c r="DC113" i="3"/>
  <c r="A114" i="3"/>
  <c r="CY114" i="3"/>
  <c r="CZ114" i="3"/>
  <c r="DB114" i="3" s="1"/>
  <c r="DA114" i="3"/>
  <c r="DC114" i="3"/>
  <c r="A115" i="3"/>
  <c r="CY115" i="3"/>
  <c r="CZ115" i="3"/>
  <c r="DA115" i="3"/>
  <c r="DB115" i="3"/>
  <c r="DC115" i="3"/>
  <c r="A116" i="3"/>
  <c r="CY116" i="3"/>
  <c r="CZ116" i="3"/>
  <c r="DB116" i="3" s="1"/>
  <c r="DA116" i="3"/>
  <c r="DC116" i="3"/>
  <c r="A117" i="3"/>
  <c r="CY117" i="3"/>
  <c r="CZ117" i="3"/>
  <c r="DB117" i="3" s="1"/>
  <c r="DA117" i="3"/>
  <c r="DC117" i="3"/>
  <c r="A118" i="3"/>
  <c r="CY118" i="3"/>
  <c r="CZ118" i="3"/>
  <c r="DB118" i="3" s="1"/>
  <c r="DA118" i="3"/>
  <c r="DC118" i="3"/>
  <c r="A119" i="3"/>
  <c r="CY119" i="3"/>
  <c r="CZ119" i="3"/>
  <c r="DB119" i="3" s="1"/>
  <c r="DA119" i="3"/>
  <c r="DC119" i="3"/>
  <c r="A120" i="3"/>
  <c r="CY120" i="3"/>
  <c r="CZ120" i="3"/>
  <c r="DA120" i="3"/>
  <c r="DB120" i="3"/>
  <c r="DC120" i="3"/>
  <c r="A121" i="3"/>
  <c r="CY121" i="3"/>
  <c r="CZ121" i="3"/>
  <c r="DB121" i="3" s="1"/>
  <c r="DA121" i="3"/>
  <c r="DC121" i="3"/>
  <c r="A122" i="3"/>
  <c r="CY122" i="3"/>
  <c r="CZ122" i="3"/>
  <c r="DB122" i="3" s="1"/>
  <c r="DA122" i="3"/>
  <c r="DC122" i="3"/>
  <c r="A123" i="3"/>
  <c r="CY123" i="3"/>
  <c r="CZ123" i="3"/>
  <c r="DA123" i="3"/>
  <c r="DB123" i="3"/>
  <c r="DC123" i="3"/>
  <c r="A124" i="3"/>
  <c r="CY124" i="3"/>
  <c r="CZ124" i="3"/>
  <c r="DB124" i="3" s="1"/>
  <c r="DA124" i="3"/>
  <c r="DC124" i="3"/>
  <c r="A125" i="3"/>
  <c r="CY125" i="3"/>
  <c r="CZ125" i="3"/>
  <c r="DB125" i="3" s="1"/>
  <c r="DA125" i="3"/>
  <c r="DC125" i="3"/>
  <c r="A126" i="3"/>
  <c r="CY126" i="3"/>
  <c r="CZ126" i="3"/>
  <c r="DB126" i="3" s="1"/>
  <c r="DA126" i="3"/>
  <c r="DC126" i="3"/>
  <c r="A127" i="3"/>
  <c r="CY127" i="3"/>
  <c r="CZ127" i="3"/>
  <c r="DB127" i="3" s="1"/>
  <c r="DA127" i="3"/>
  <c r="DC127" i="3"/>
  <c r="A128" i="3"/>
  <c r="CY128" i="3"/>
  <c r="CZ128" i="3"/>
  <c r="DA128" i="3"/>
  <c r="DB128" i="3"/>
  <c r="DC128" i="3"/>
  <c r="A129" i="3"/>
  <c r="CY129" i="3"/>
  <c r="CZ129" i="3"/>
  <c r="DB129" i="3" s="1"/>
  <c r="DA129" i="3"/>
  <c r="DC129" i="3"/>
  <c r="A130" i="3"/>
  <c r="CY130" i="3"/>
  <c r="CZ130" i="3"/>
  <c r="DB130" i="3" s="1"/>
  <c r="DA130" i="3"/>
  <c r="DC130" i="3"/>
  <c r="A131" i="3"/>
  <c r="CY131" i="3"/>
  <c r="CZ131" i="3"/>
  <c r="DA131" i="3"/>
  <c r="DB131" i="3"/>
  <c r="DC131" i="3"/>
  <c r="A132" i="3"/>
  <c r="CY132" i="3"/>
  <c r="CZ132" i="3"/>
  <c r="DB132" i="3" s="1"/>
  <c r="DA132" i="3"/>
  <c r="DC132" i="3"/>
  <c r="A133" i="3"/>
  <c r="CY133" i="3"/>
  <c r="CZ133" i="3"/>
  <c r="DB133" i="3" s="1"/>
  <c r="DA133" i="3"/>
  <c r="DC133" i="3"/>
  <c r="A134" i="3"/>
  <c r="CY134" i="3"/>
  <c r="CZ134" i="3"/>
  <c r="DB134" i="3" s="1"/>
  <c r="DA134" i="3"/>
  <c r="DC134" i="3"/>
  <c r="A135" i="3"/>
  <c r="CY135" i="3"/>
  <c r="CZ135" i="3"/>
  <c r="DB135" i="3" s="1"/>
  <c r="DA135" i="3"/>
  <c r="DC135" i="3"/>
  <c r="A136" i="3"/>
  <c r="CY136" i="3"/>
  <c r="CZ136" i="3"/>
  <c r="DA136" i="3"/>
  <c r="DB136" i="3"/>
  <c r="DC136" i="3"/>
  <c r="A137" i="3"/>
  <c r="CY137" i="3"/>
  <c r="CZ137" i="3"/>
  <c r="DB137" i="3" s="1"/>
  <c r="DA137" i="3"/>
  <c r="DC137" i="3"/>
  <c r="A138" i="3"/>
  <c r="CY138" i="3"/>
  <c r="CZ138" i="3"/>
  <c r="DB138" i="3" s="1"/>
  <c r="DA138" i="3"/>
  <c r="DC138" i="3"/>
  <c r="A139" i="3"/>
  <c r="CY139" i="3"/>
  <c r="CZ139" i="3"/>
  <c r="DA139" i="3"/>
  <c r="DB139" i="3"/>
  <c r="DC139" i="3"/>
  <c r="A140" i="3"/>
  <c r="CY140" i="3"/>
  <c r="CZ140" i="3"/>
  <c r="DB140" i="3" s="1"/>
  <c r="DA140" i="3"/>
  <c r="DC140" i="3"/>
  <c r="A141" i="3"/>
  <c r="CY141" i="3"/>
  <c r="CZ141" i="3"/>
  <c r="DB141" i="3" s="1"/>
  <c r="DA141" i="3"/>
  <c r="DC141" i="3"/>
  <c r="A142" i="3"/>
  <c r="CY142" i="3"/>
  <c r="CZ142" i="3"/>
  <c r="DB142" i="3" s="1"/>
  <c r="DA142" i="3"/>
  <c r="DC142" i="3"/>
  <c r="A143" i="3"/>
  <c r="CY143" i="3"/>
  <c r="CZ143" i="3"/>
  <c r="DA143" i="3"/>
  <c r="DB143" i="3"/>
  <c r="DC143" i="3"/>
  <c r="A144" i="3"/>
  <c r="CY144" i="3"/>
  <c r="CZ144" i="3"/>
  <c r="DB144" i="3" s="1"/>
  <c r="DA144" i="3"/>
  <c r="DC144" i="3"/>
  <c r="A145" i="3"/>
  <c r="CY145" i="3"/>
  <c r="CZ145" i="3"/>
  <c r="DB145" i="3" s="1"/>
  <c r="DA145" i="3"/>
  <c r="DC145" i="3"/>
  <c r="A146" i="3"/>
  <c r="CY146" i="3"/>
  <c r="CZ146" i="3"/>
  <c r="DB146" i="3" s="1"/>
  <c r="DA146" i="3"/>
  <c r="DC146" i="3"/>
  <c r="A147" i="3"/>
  <c r="CY147" i="3"/>
  <c r="CZ147" i="3"/>
  <c r="DA147" i="3"/>
  <c r="DB147" i="3"/>
  <c r="DC147" i="3"/>
  <c r="A148" i="3"/>
  <c r="CY148" i="3"/>
  <c r="CZ148" i="3"/>
  <c r="DB148" i="3" s="1"/>
  <c r="DA148" i="3"/>
  <c r="DC148" i="3"/>
  <c r="A149" i="3"/>
  <c r="CY149" i="3"/>
  <c r="CZ149" i="3"/>
  <c r="DB149" i="3" s="1"/>
  <c r="DA149" i="3"/>
  <c r="DC149" i="3"/>
  <c r="A150" i="3"/>
  <c r="CY150" i="3"/>
  <c r="CZ150" i="3"/>
  <c r="DB150" i="3" s="1"/>
  <c r="DA150" i="3"/>
  <c r="DC150" i="3"/>
  <c r="A151" i="3"/>
  <c r="CY151" i="3"/>
  <c r="CZ151" i="3"/>
  <c r="DA151" i="3"/>
  <c r="DB151" i="3"/>
  <c r="DC151" i="3"/>
  <c r="A152" i="3"/>
  <c r="CY152" i="3"/>
  <c r="CZ152" i="3"/>
  <c r="DB152" i="3" s="1"/>
  <c r="DA152" i="3"/>
  <c r="DC152" i="3"/>
  <c r="A153" i="3"/>
  <c r="CY153" i="3"/>
  <c r="CZ153" i="3"/>
  <c r="DB153" i="3" s="1"/>
  <c r="DA153" i="3"/>
  <c r="DC153" i="3"/>
  <c r="A154" i="3"/>
  <c r="CY154" i="3"/>
  <c r="CZ154" i="3"/>
  <c r="DB154" i="3" s="1"/>
  <c r="DA154" i="3"/>
  <c r="DC154" i="3"/>
  <c r="A155" i="3"/>
  <c r="CY155" i="3"/>
  <c r="CZ155" i="3"/>
  <c r="DA155" i="3"/>
  <c r="DB155" i="3"/>
  <c r="DC155" i="3"/>
  <c r="A156" i="3"/>
  <c r="CY156" i="3"/>
  <c r="CZ156" i="3"/>
  <c r="DB156" i="3" s="1"/>
  <c r="DA156" i="3"/>
  <c r="DC156" i="3"/>
  <c r="A157" i="3"/>
  <c r="CY157" i="3"/>
  <c r="CZ157" i="3"/>
  <c r="DB157" i="3" s="1"/>
  <c r="DA157" i="3"/>
  <c r="DC157" i="3"/>
  <c r="A158" i="3"/>
  <c r="CY158" i="3"/>
  <c r="CZ158" i="3"/>
  <c r="DB158" i="3" s="1"/>
  <c r="DA158" i="3"/>
  <c r="DC158" i="3"/>
  <c r="A159" i="3"/>
  <c r="CY159" i="3"/>
  <c r="CZ159" i="3"/>
  <c r="DA159" i="3"/>
  <c r="DB159" i="3"/>
  <c r="DC159" i="3"/>
  <c r="A160" i="3"/>
  <c r="CY160" i="3"/>
  <c r="CZ160" i="3"/>
  <c r="DB160" i="3" s="1"/>
  <c r="DA160" i="3"/>
  <c r="DC160" i="3"/>
  <c r="A161" i="3"/>
  <c r="CY161" i="3"/>
  <c r="CZ161" i="3"/>
  <c r="DB161" i="3" s="1"/>
  <c r="DA161" i="3"/>
  <c r="DC161" i="3"/>
  <c r="A162" i="3"/>
  <c r="CY162" i="3"/>
  <c r="CZ162" i="3"/>
  <c r="DB162" i="3" s="1"/>
  <c r="DA162" i="3"/>
  <c r="DC162" i="3"/>
  <c r="A163" i="3"/>
  <c r="CY163" i="3"/>
  <c r="CZ163" i="3"/>
  <c r="DA163" i="3"/>
  <c r="DB163" i="3"/>
  <c r="DC163" i="3"/>
  <c r="A164" i="3"/>
  <c r="CY164" i="3"/>
  <c r="CZ164" i="3"/>
  <c r="DB164" i="3" s="1"/>
  <c r="DA164" i="3"/>
  <c r="DC164" i="3"/>
  <c r="A165" i="3"/>
  <c r="CY165" i="3"/>
  <c r="CZ165" i="3"/>
  <c r="DB165" i="3" s="1"/>
  <c r="DA165" i="3"/>
  <c r="DC165" i="3"/>
  <c r="A166" i="3"/>
  <c r="CY166" i="3"/>
  <c r="CZ166" i="3"/>
  <c r="DB166" i="3" s="1"/>
  <c r="DA166" i="3"/>
  <c r="DC166" i="3"/>
  <c r="A167" i="3"/>
  <c r="CY167" i="3"/>
  <c r="CZ167" i="3"/>
  <c r="DA167" i="3"/>
  <c r="DB167" i="3"/>
  <c r="DC167" i="3"/>
  <c r="A168" i="3"/>
  <c r="CY168" i="3"/>
  <c r="CZ168" i="3"/>
  <c r="DB168" i="3" s="1"/>
  <c r="DA168" i="3"/>
  <c r="DC168" i="3"/>
  <c r="A169" i="3"/>
  <c r="CY169" i="3"/>
  <c r="CZ169" i="3"/>
  <c r="DB169" i="3" s="1"/>
  <c r="DA169" i="3"/>
  <c r="DC169" i="3"/>
  <c r="A170" i="3"/>
  <c r="CY170" i="3"/>
  <c r="CZ170" i="3"/>
  <c r="DB170" i="3" s="1"/>
  <c r="DA170" i="3"/>
  <c r="DC170" i="3"/>
  <c r="A171" i="3"/>
  <c r="CY171" i="3"/>
  <c r="CZ171" i="3"/>
  <c r="DA171" i="3"/>
  <c r="DB171" i="3"/>
  <c r="DC171" i="3"/>
  <c r="A172" i="3"/>
  <c r="CY172" i="3"/>
  <c r="CZ172" i="3"/>
  <c r="DB172" i="3" s="1"/>
  <c r="DA172" i="3"/>
  <c r="DC172" i="3"/>
  <c r="A173" i="3"/>
  <c r="CY173" i="3"/>
  <c r="CZ173" i="3"/>
  <c r="DB173" i="3" s="1"/>
  <c r="DA173" i="3"/>
  <c r="DC173" i="3"/>
  <c r="A174" i="3"/>
  <c r="CY174" i="3"/>
  <c r="CZ174" i="3"/>
  <c r="DB174" i="3" s="1"/>
  <c r="DA174" i="3"/>
  <c r="DC174" i="3"/>
  <c r="A175" i="3"/>
  <c r="CY175" i="3"/>
  <c r="CZ175" i="3"/>
  <c r="DA175" i="3"/>
  <c r="DB175" i="3"/>
  <c r="DC175" i="3"/>
  <c r="A176" i="3"/>
  <c r="CY176" i="3"/>
  <c r="CZ176" i="3"/>
  <c r="DB176" i="3" s="1"/>
  <c r="DA176" i="3"/>
  <c r="DC176" i="3"/>
  <c r="A177" i="3"/>
  <c r="CY177" i="3"/>
  <c r="CZ177" i="3"/>
  <c r="DB177" i="3" s="1"/>
  <c r="DA177" i="3"/>
  <c r="DC177" i="3"/>
  <c r="A178" i="3"/>
  <c r="CY178" i="3"/>
  <c r="CZ178" i="3"/>
  <c r="DB178" i="3" s="1"/>
  <c r="DA178" i="3"/>
  <c r="DC178" i="3"/>
  <c r="A179" i="3"/>
  <c r="CY179" i="3"/>
  <c r="CZ179" i="3"/>
  <c r="DA179" i="3"/>
  <c r="DB179" i="3"/>
  <c r="DC179" i="3"/>
  <c r="A180" i="3"/>
  <c r="CY180" i="3"/>
  <c r="CZ180" i="3"/>
  <c r="DB180" i="3" s="1"/>
  <c r="DA180" i="3"/>
  <c r="DC180" i="3"/>
  <c r="A181" i="3"/>
  <c r="CY181" i="3"/>
  <c r="CZ181" i="3"/>
  <c r="DB181" i="3" s="1"/>
  <c r="DA181" i="3"/>
  <c r="DC181" i="3"/>
  <c r="A182" i="3"/>
  <c r="CY182" i="3"/>
  <c r="CZ182" i="3"/>
  <c r="DB182" i="3" s="1"/>
  <c r="DA182" i="3"/>
  <c r="DC182" i="3"/>
  <c r="A183" i="3"/>
  <c r="CY183" i="3"/>
  <c r="CZ183" i="3"/>
  <c r="DA183" i="3"/>
  <c r="DB183" i="3"/>
  <c r="DC183" i="3"/>
  <c r="A184" i="3"/>
  <c r="CY184" i="3"/>
  <c r="CZ184" i="3"/>
  <c r="DB184" i="3" s="1"/>
  <c r="DA184" i="3"/>
  <c r="DC184" i="3"/>
  <c r="A185" i="3"/>
  <c r="CY185" i="3"/>
  <c r="CZ185" i="3"/>
  <c r="DB185" i="3" s="1"/>
  <c r="DA185" i="3"/>
  <c r="DC185" i="3"/>
  <c r="A186" i="3"/>
  <c r="CY186" i="3"/>
  <c r="CZ186" i="3"/>
  <c r="DB186" i="3" s="1"/>
  <c r="DA186" i="3"/>
  <c r="DC186" i="3"/>
  <c r="A187" i="3"/>
  <c r="CY187" i="3"/>
  <c r="CZ187" i="3"/>
  <c r="DA187" i="3"/>
  <c r="DB187" i="3"/>
  <c r="DC187" i="3"/>
  <c r="A188" i="3"/>
  <c r="CY188" i="3"/>
  <c r="CZ188" i="3"/>
  <c r="DB188" i="3" s="1"/>
  <c r="DA188" i="3"/>
  <c r="DC188" i="3"/>
  <c r="A189" i="3"/>
  <c r="CY189" i="3"/>
  <c r="CZ189" i="3"/>
  <c r="DB189" i="3" s="1"/>
  <c r="DA189" i="3"/>
  <c r="DC189" i="3"/>
  <c r="A190" i="3"/>
  <c r="CY190" i="3"/>
  <c r="CZ190" i="3"/>
  <c r="DA190" i="3"/>
  <c r="DB190" i="3"/>
  <c r="DC190" i="3"/>
  <c r="A191" i="3"/>
  <c r="CY191" i="3"/>
  <c r="CZ191" i="3"/>
  <c r="DB191" i="3" s="1"/>
  <c r="DA191" i="3"/>
  <c r="DC191" i="3"/>
  <c r="A192" i="3"/>
  <c r="CY192" i="3"/>
  <c r="CZ192" i="3"/>
  <c r="DB192" i="3" s="1"/>
  <c r="DA192" i="3"/>
  <c r="DC192" i="3"/>
  <c r="A193" i="3"/>
  <c r="CY193" i="3"/>
  <c r="CZ193" i="3"/>
  <c r="DB193" i="3" s="1"/>
  <c r="DA193" i="3"/>
  <c r="DC193" i="3"/>
  <c r="A194" i="3"/>
  <c r="CY194" i="3"/>
  <c r="CZ194" i="3"/>
  <c r="DB194" i="3" s="1"/>
  <c r="DA194" i="3"/>
  <c r="DC194" i="3"/>
  <c r="A195" i="3"/>
  <c r="CY195" i="3"/>
  <c r="CZ195" i="3"/>
  <c r="DA195" i="3"/>
  <c r="DB195" i="3"/>
  <c r="DC195" i="3"/>
  <c r="A196" i="3"/>
  <c r="CY196" i="3"/>
  <c r="CZ196" i="3"/>
  <c r="DB196" i="3" s="1"/>
  <c r="DA196" i="3"/>
  <c r="DC196" i="3"/>
  <c r="A197" i="3"/>
  <c r="CY197" i="3"/>
  <c r="CZ197" i="3"/>
  <c r="DB197" i="3" s="1"/>
  <c r="DA197" i="3"/>
  <c r="DC197" i="3"/>
  <c r="A198" i="3"/>
  <c r="CY198" i="3"/>
  <c r="CZ198" i="3"/>
  <c r="DA198" i="3"/>
  <c r="DB198" i="3"/>
  <c r="DC198" i="3"/>
  <c r="A199" i="3"/>
  <c r="CY199" i="3"/>
  <c r="CZ199" i="3"/>
  <c r="DB199" i="3" s="1"/>
  <c r="DA199" i="3"/>
  <c r="DC199" i="3"/>
  <c r="A200" i="3"/>
  <c r="CY200" i="3"/>
  <c r="CZ200" i="3"/>
  <c r="DB200" i="3" s="1"/>
  <c r="DA200" i="3"/>
  <c r="DC200" i="3"/>
  <c r="A201" i="3"/>
  <c r="CY201" i="3"/>
  <c r="CZ201" i="3"/>
  <c r="DB201" i="3" s="1"/>
  <c r="DA201" i="3"/>
  <c r="DC201" i="3"/>
  <c r="A202" i="3"/>
  <c r="CY202" i="3"/>
  <c r="CZ202" i="3"/>
  <c r="DB202" i="3" s="1"/>
  <c r="DA202" i="3"/>
  <c r="DC202" i="3"/>
  <c r="A203" i="3"/>
  <c r="CY203" i="3"/>
  <c r="CZ203" i="3"/>
  <c r="DA203" i="3"/>
  <c r="DB203" i="3"/>
  <c r="DC203" i="3"/>
  <c r="A204" i="3"/>
  <c r="CY204" i="3"/>
  <c r="CZ204" i="3"/>
  <c r="DB204" i="3" s="1"/>
  <c r="DA204" i="3"/>
  <c r="DC204" i="3"/>
  <c r="A205" i="3"/>
  <c r="CY205" i="3"/>
  <c r="CZ205" i="3"/>
  <c r="DB205" i="3" s="1"/>
  <c r="DA205" i="3"/>
  <c r="DC205" i="3"/>
  <c r="A206" i="3"/>
  <c r="CY206" i="3"/>
  <c r="CZ206" i="3"/>
  <c r="DA206" i="3"/>
  <c r="DB206" i="3"/>
  <c r="DC206" i="3"/>
  <c r="A207" i="3"/>
  <c r="CY207" i="3"/>
  <c r="CZ207" i="3"/>
  <c r="DB207" i="3" s="1"/>
  <c r="DA207" i="3"/>
  <c r="DC207" i="3"/>
  <c r="A208" i="3"/>
  <c r="CY208" i="3"/>
  <c r="CZ208" i="3"/>
  <c r="DB208" i="3" s="1"/>
  <c r="DA208" i="3"/>
  <c r="DC208" i="3"/>
  <c r="A209" i="3"/>
  <c r="CY209" i="3"/>
  <c r="CZ209" i="3"/>
  <c r="DB209" i="3" s="1"/>
  <c r="DA209" i="3"/>
  <c r="DC209" i="3"/>
  <c r="A210" i="3"/>
  <c r="CY210" i="3"/>
  <c r="CZ210" i="3"/>
  <c r="DB210" i="3" s="1"/>
  <c r="DA210" i="3"/>
  <c r="DC210" i="3"/>
  <c r="A211" i="3"/>
  <c r="CY211" i="3"/>
  <c r="CZ211" i="3"/>
  <c r="DA211" i="3"/>
  <c r="DB211" i="3"/>
  <c r="DC211" i="3"/>
  <c r="A212" i="3"/>
  <c r="CY212" i="3"/>
  <c r="CZ212" i="3"/>
  <c r="DB212" i="3" s="1"/>
  <c r="DA212" i="3"/>
  <c r="DC212" i="3"/>
  <c r="A213" i="3"/>
  <c r="CY213" i="3"/>
  <c r="CZ213" i="3"/>
  <c r="DB213" i="3" s="1"/>
  <c r="DA213" i="3"/>
  <c r="DC213" i="3"/>
  <c r="A214" i="3"/>
  <c r="CY214" i="3"/>
  <c r="CZ214" i="3"/>
  <c r="DA214" i="3"/>
  <c r="DB214" i="3"/>
  <c r="DC214" i="3"/>
  <c r="A215" i="3"/>
  <c r="CY215" i="3"/>
  <c r="CZ215" i="3"/>
  <c r="DB215" i="3" s="1"/>
  <c r="DA215" i="3"/>
  <c r="DC215" i="3"/>
  <c r="A216" i="3"/>
  <c r="CY216" i="3"/>
  <c r="CZ216" i="3"/>
  <c r="DB216" i="3" s="1"/>
  <c r="DA216" i="3"/>
  <c r="DC216" i="3"/>
  <c r="A217" i="3"/>
  <c r="CY217" i="3"/>
  <c r="CZ217" i="3"/>
  <c r="DB217" i="3" s="1"/>
  <c r="DA217" i="3"/>
  <c r="DC217" i="3"/>
  <c r="A218" i="3"/>
  <c r="CY218" i="3"/>
  <c r="CZ218" i="3"/>
  <c r="DB218" i="3" s="1"/>
  <c r="DA218" i="3"/>
  <c r="DC218" i="3"/>
  <c r="A219" i="3"/>
  <c r="CY219" i="3"/>
  <c r="CZ219" i="3"/>
  <c r="DA219" i="3"/>
  <c r="DB219" i="3"/>
  <c r="DC219" i="3"/>
  <c r="A220" i="3"/>
  <c r="CY220" i="3"/>
  <c r="CZ220" i="3"/>
  <c r="DB220" i="3" s="1"/>
  <c r="DA220" i="3"/>
  <c r="DC220" i="3"/>
  <c r="A221" i="3"/>
  <c r="CY221" i="3"/>
  <c r="CZ221" i="3"/>
  <c r="DB221" i="3" s="1"/>
  <c r="DA221" i="3"/>
  <c r="DC221" i="3"/>
  <c r="A222" i="3"/>
  <c r="CY222" i="3"/>
  <c r="CZ222" i="3"/>
  <c r="DA222" i="3"/>
  <c r="DB222" i="3"/>
  <c r="DC222" i="3"/>
  <c r="A223" i="3"/>
  <c r="CY223" i="3"/>
  <c r="CZ223" i="3"/>
  <c r="DB223" i="3" s="1"/>
  <c r="DA223" i="3"/>
  <c r="DC223" i="3"/>
  <c r="A224" i="3"/>
  <c r="CY224" i="3"/>
  <c r="CZ224" i="3"/>
  <c r="DB224" i="3" s="1"/>
  <c r="DA224" i="3"/>
  <c r="DC224" i="3"/>
  <c r="A225" i="3"/>
  <c r="CY225" i="3"/>
  <c r="CZ225" i="3"/>
  <c r="DB225" i="3" s="1"/>
  <c r="DA225" i="3"/>
  <c r="DC225" i="3"/>
  <c r="A226" i="3"/>
  <c r="CY226" i="3"/>
  <c r="CZ226" i="3"/>
  <c r="DB226" i="3" s="1"/>
  <c r="DA226" i="3"/>
  <c r="DC226" i="3"/>
  <c r="A227" i="3"/>
  <c r="CY227" i="3"/>
  <c r="CZ227" i="3"/>
  <c r="DA227" i="3"/>
  <c r="DB227" i="3"/>
  <c r="DC227" i="3"/>
  <c r="A228" i="3"/>
  <c r="CY228" i="3"/>
  <c r="CZ228" i="3"/>
  <c r="DB228" i="3" s="1"/>
  <c r="DA228" i="3"/>
  <c r="DC228" i="3"/>
  <c r="A229" i="3"/>
  <c r="CY229" i="3"/>
  <c r="CZ229" i="3"/>
  <c r="DB229" i="3" s="1"/>
  <c r="DA229" i="3"/>
  <c r="DC229" i="3"/>
  <c r="A230" i="3"/>
  <c r="CY230" i="3"/>
  <c r="CZ230" i="3"/>
  <c r="DA230" i="3"/>
  <c r="DB230" i="3"/>
  <c r="DC230" i="3"/>
  <c r="A231" i="3"/>
  <c r="CY231" i="3"/>
  <c r="CZ231" i="3"/>
  <c r="DB231" i="3" s="1"/>
  <c r="DA231" i="3"/>
  <c r="DC231" i="3"/>
  <c r="A232" i="3"/>
  <c r="CY232" i="3"/>
  <c r="CZ232" i="3"/>
  <c r="DB232" i="3" s="1"/>
  <c r="DA232" i="3"/>
  <c r="DC232" i="3"/>
  <c r="A233" i="3"/>
  <c r="CY233" i="3"/>
  <c r="CZ233" i="3"/>
  <c r="DB233" i="3" s="1"/>
  <c r="DA233" i="3"/>
  <c r="DC233" i="3"/>
  <c r="A234" i="3"/>
  <c r="CY234" i="3"/>
  <c r="CZ234" i="3"/>
  <c r="DB234" i="3" s="1"/>
  <c r="DA234" i="3"/>
  <c r="DC234" i="3"/>
  <c r="A235" i="3"/>
  <c r="CY235" i="3"/>
  <c r="CZ235" i="3"/>
  <c r="DA235" i="3"/>
  <c r="DB235" i="3"/>
  <c r="DC235" i="3"/>
  <c r="A236" i="3"/>
  <c r="CY236" i="3"/>
  <c r="CZ236" i="3"/>
  <c r="DB236" i="3" s="1"/>
  <c r="DA236" i="3"/>
  <c r="DC236" i="3"/>
  <c r="A237" i="3"/>
  <c r="CY237" i="3"/>
  <c r="CZ237" i="3"/>
  <c r="DB237" i="3" s="1"/>
  <c r="DA237" i="3"/>
  <c r="DC237" i="3"/>
  <c r="A238" i="3"/>
  <c r="CY238" i="3"/>
  <c r="CZ238" i="3"/>
  <c r="DA238" i="3"/>
  <c r="DB238" i="3"/>
  <c r="DC238" i="3"/>
  <c r="A239" i="3"/>
  <c r="CY239" i="3"/>
  <c r="CZ239" i="3"/>
  <c r="DB239" i="3" s="1"/>
  <c r="DA239" i="3"/>
  <c r="DC239" i="3"/>
  <c r="A240" i="3"/>
  <c r="CY240" i="3"/>
  <c r="CZ240" i="3"/>
  <c r="DB240" i="3" s="1"/>
  <c r="DA240" i="3"/>
  <c r="DC240" i="3"/>
  <c r="A241" i="3"/>
  <c r="CY241" i="3"/>
  <c r="CZ241" i="3"/>
  <c r="DB241" i="3" s="1"/>
  <c r="DA241" i="3"/>
  <c r="DC241" i="3"/>
  <c r="A242" i="3"/>
  <c r="CY242" i="3"/>
  <c r="CZ242" i="3"/>
  <c r="DB242" i="3" s="1"/>
  <c r="DA242" i="3"/>
  <c r="DC242" i="3"/>
  <c r="A243" i="3"/>
  <c r="CY243" i="3"/>
  <c r="CZ243" i="3"/>
  <c r="DA243" i="3"/>
  <c r="DB243" i="3"/>
  <c r="DC243" i="3"/>
  <c r="A244" i="3"/>
  <c r="CY244" i="3"/>
  <c r="CZ244" i="3"/>
  <c r="DB244" i="3" s="1"/>
  <c r="DA244" i="3"/>
  <c r="DC244" i="3"/>
  <c r="A245" i="3"/>
  <c r="CY245" i="3"/>
  <c r="CZ245" i="3"/>
  <c r="DB245" i="3" s="1"/>
  <c r="DA245" i="3"/>
  <c r="DC245" i="3"/>
  <c r="A246" i="3"/>
  <c r="CY246" i="3"/>
  <c r="CZ246" i="3"/>
  <c r="DA246" i="3"/>
  <c r="DB246" i="3"/>
  <c r="DC246" i="3"/>
  <c r="A247" i="3"/>
  <c r="CY247" i="3"/>
  <c r="CZ247" i="3"/>
  <c r="DB247" i="3" s="1"/>
  <c r="DA247" i="3"/>
  <c r="DC247" i="3"/>
  <c r="A248" i="3"/>
  <c r="CY248" i="3"/>
  <c r="CZ248" i="3"/>
  <c r="DB248" i="3" s="1"/>
  <c r="DA248" i="3"/>
  <c r="DC248" i="3"/>
  <c r="A249" i="3"/>
  <c r="CY249" i="3"/>
  <c r="CZ249" i="3"/>
  <c r="DB249" i="3" s="1"/>
  <c r="DA249" i="3"/>
  <c r="DC249" i="3"/>
  <c r="A250" i="3"/>
  <c r="CY250" i="3"/>
  <c r="CZ250" i="3"/>
  <c r="DB250" i="3" s="1"/>
  <c r="DA250" i="3"/>
  <c r="DC250" i="3"/>
  <c r="A251" i="3"/>
  <c r="CY251" i="3"/>
  <c r="CZ251" i="3"/>
  <c r="DA251" i="3"/>
  <c r="DB251" i="3"/>
  <c r="DC251" i="3"/>
  <c r="A252" i="3"/>
  <c r="CY252" i="3"/>
  <c r="CZ252" i="3"/>
  <c r="DB252" i="3" s="1"/>
  <c r="DA252" i="3"/>
  <c r="DC252" i="3"/>
  <c r="A253" i="3"/>
  <c r="CY253" i="3"/>
  <c r="CZ253" i="3"/>
  <c r="DB253" i="3" s="1"/>
  <c r="DA253" i="3"/>
  <c r="DC253" i="3"/>
  <c r="A254" i="3"/>
  <c r="CY254" i="3"/>
  <c r="CZ254" i="3"/>
  <c r="DA254" i="3"/>
  <c r="DB254" i="3"/>
  <c r="DC254" i="3"/>
  <c r="A255" i="3"/>
  <c r="CY255" i="3"/>
  <c r="CZ255" i="3"/>
  <c r="DB255" i="3" s="1"/>
  <c r="DA255" i="3"/>
  <c r="DC255" i="3"/>
  <c r="A256" i="3"/>
  <c r="CY256" i="3"/>
  <c r="CZ256" i="3"/>
  <c r="DB256" i="3" s="1"/>
  <c r="DA256" i="3"/>
  <c r="DC256" i="3"/>
  <c r="A257" i="3"/>
  <c r="CY257" i="3"/>
  <c r="CZ257" i="3"/>
  <c r="DB257" i="3" s="1"/>
  <c r="DA257" i="3"/>
  <c r="DC257" i="3"/>
  <c r="A258" i="3"/>
  <c r="CY258" i="3"/>
  <c r="CZ258" i="3"/>
  <c r="DB258" i="3" s="1"/>
  <c r="DA258" i="3"/>
  <c r="DC258" i="3"/>
  <c r="A259" i="3"/>
  <c r="CY259" i="3"/>
  <c r="CZ259" i="3"/>
  <c r="DA259" i="3"/>
  <c r="DB259" i="3"/>
  <c r="DC259" i="3"/>
  <c r="A260" i="3"/>
  <c r="CY260" i="3"/>
  <c r="CZ260" i="3"/>
  <c r="DB260" i="3" s="1"/>
  <c r="DA260" i="3"/>
  <c r="DC260" i="3"/>
  <c r="A261" i="3"/>
  <c r="CY261" i="3"/>
  <c r="CZ261" i="3"/>
  <c r="DB261" i="3" s="1"/>
  <c r="DA261" i="3"/>
  <c r="DC261" i="3"/>
  <c r="A262" i="3"/>
  <c r="CY262" i="3"/>
  <c r="CZ262" i="3"/>
  <c r="DA262" i="3"/>
  <c r="DB262" i="3"/>
  <c r="DC262" i="3"/>
  <c r="A263" i="3"/>
  <c r="CY263" i="3"/>
  <c r="CZ263" i="3"/>
  <c r="DB263" i="3" s="1"/>
  <c r="DA263" i="3"/>
  <c r="DC263" i="3"/>
  <c r="A264" i="3"/>
  <c r="CY264" i="3"/>
  <c r="CZ264" i="3"/>
  <c r="DB264" i="3" s="1"/>
  <c r="DA264" i="3"/>
  <c r="DC264" i="3"/>
  <c r="A265" i="3"/>
  <c r="CY265" i="3"/>
  <c r="CZ265" i="3"/>
  <c r="DB265" i="3" s="1"/>
  <c r="DA265" i="3"/>
  <c r="DC265" i="3"/>
  <c r="A266" i="3"/>
  <c r="CY266" i="3"/>
  <c r="CZ266" i="3"/>
  <c r="DB266" i="3" s="1"/>
  <c r="DA266" i="3"/>
  <c r="DC266" i="3"/>
  <c r="A267" i="3"/>
  <c r="CY267" i="3"/>
  <c r="CZ267" i="3"/>
  <c r="DA267" i="3"/>
  <c r="DB267" i="3"/>
  <c r="DC267" i="3"/>
  <c r="A268" i="3"/>
  <c r="CY268" i="3"/>
  <c r="CZ268" i="3"/>
  <c r="DB268" i="3" s="1"/>
  <c r="DA268" i="3"/>
  <c r="DC268" i="3"/>
  <c r="A269" i="3"/>
  <c r="CY269" i="3"/>
  <c r="CZ269" i="3"/>
  <c r="DB269" i="3" s="1"/>
  <c r="DA269" i="3"/>
  <c r="DC269" i="3"/>
  <c r="A270" i="3"/>
  <c r="CY270" i="3"/>
  <c r="CZ270" i="3"/>
  <c r="DA270" i="3"/>
  <c r="DB270" i="3"/>
  <c r="DC270" i="3"/>
  <c r="A271" i="3"/>
  <c r="CY271" i="3"/>
  <c r="CZ271" i="3"/>
  <c r="DB271" i="3" s="1"/>
  <c r="DA271" i="3"/>
  <c r="DC271" i="3"/>
  <c r="A272" i="3"/>
  <c r="CY272" i="3"/>
  <c r="CZ272" i="3"/>
  <c r="DB272" i="3" s="1"/>
  <c r="DA272" i="3"/>
  <c r="DC272" i="3"/>
  <c r="A273" i="3"/>
  <c r="CY273" i="3"/>
  <c r="CZ273" i="3"/>
  <c r="DB273" i="3" s="1"/>
  <c r="DA273" i="3"/>
  <c r="DC273" i="3"/>
  <c r="A274" i="3"/>
  <c r="CY274" i="3"/>
  <c r="CZ274" i="3"/>
  <c r="DB274" i="3" s="1"/>
  <c r="DA274" i="3"/>
  <c r="DC274" i="3"/>
  <c r="A275" i="3"/>
  <c r="CY275" i="3"/>
  <c r="CZ275" i="3"/>
  <c r="DA275" i="3"/>
  <c r="DB275" i="3"/>
  <c r="DC275" i="3"/>
  <c r="A276" i="3"/>
  <c r="CY276" i="3"/>
  <c r="CZ276" i="3"/>
  <c r="DB276" i="3" s="1"/>
  <c r="DA276" i="3"/>
  <c r="DC276" i="3"/>
  <c r="A277" i="3"/>
  <c r="CY277" i="3"/>
  <c r="CZ277" i="3"/>
  <c r="DB277" i="3" s="1"/>
  <c r="DA277" i="3"/>
  <c r="DC277" i="3"/>
  <c r="A278" i="3"/>
  <c r="CY278" i="3"/>
  <c r="CZ278" i="3"/>
  <c r="DA278" i="3"/>
  <c r="DB278" i="3"/>
  <c r="DC278" i="3"/>
  <c r="A279" i="3"/>
  <c r="CY279" i="3"/>
  <c r="CZ279" i="3"/>
  <c r="DB279" i="3" s="1"/>
  <c r="DA279" i="3"/>
  <c r="DC279" i="3"/>
  <c r="A280" i="3"/>
  <c r="CY280" i="3"/>
  <c r="CZ280" i="3"/>
  <c r="DB280" i="3" s="1"/>
  <c r="DA280" i="3"/>
  <c r="DC280" i="3"/>
  <c r="A281" i="3"/>
  <c r="CY281" i="3"/>
  <c r="CZ281" i="3"/>
  <c r="DB281" i="3" s="1"/>
  <c r="DA281" i="3"/>
  <c r="DC281" i="3"/>
  <c r="A282" i="3"/>
  <c r="CY282" i="3"/>
  <c r="CZ282" i="3"/>
  <c r="DB282" i="3" s="1"/>
  <c r="DA282" i="3"/>
  <c r="DC282" i="3"/>
  <c r="A283" i="3"/>
  <c r="CY283" i="3"/>
  <c r="CZ283" i="3"/>
  <c r="DA283" i="3"/>
  <c r="DB283" i="3"/>
  <c r="DC283" i="3"/>
  <c r="A284" i="3"/>
  <c r="CY284" i="3"/>
  <c r="CZ284" i="3"/>
  <c r="DB284" i="3" s="1"/>
  <c r="DA284" i="3"/>
  <c r="DC284" i="3"/>
  <c r="A285" i="3"/>
  <c r="CY285" i="3"/>
  <c r="CZ285" i="3"/>
  <c r="DB285" i="3" s="1"/>
  <c r="DA285" i="3"/>
  <c r="DC285" i="3"/>
  <c r="A286" i="3"/>
  <c r="CY286" i="3"/>
  <c r="CZ286" i="3"/>
  <c r="DA286" i="3"/>
  <c r="DB286" i="3"/>
  <c r="DC286" i="3"/>
  <c r="A287" i="3"/>
  <c r="CY287" i="3"/>
  <c r="CZ287" i="3"/>
  <c r="DB287" i="3" s="1"/>
  <c r="DA287" i="3"/>
  <c r="DC287" i="3"/>
  <c r="A288" i="3"/>
  <c r="CY288" i="3"/>
  <c r="CZ288" i="3"/>
  <c r="DB288" i="3" s="1"/>
  <c r="DA288" i="3"/>
  <c r="DC288" i="3"/>
  <c r="A289" i="3"/>
  <c r="CY289" i="3"/>
  <c r="CZ289" i="3"/>
  <c r="DB289" i="3" s="1"/>
  <c r="DA289" i="3"/>
  <c r="DC289" i="3"/>
  <c r="A290" i="3"/>
  <c r="CY290" i="3"/>
  <c r="CZ290" i="3"/>
  <c r="DB290" i="3" s="1"/>
  <c r="DA290" i="3"/>
  <c r="DC290" i="3"/>
  <c r="A291" i="3"/>
  <c r="CY291" i="3"/>
  <c r="CZ291" i="3"/>
  <c r="DA291" i="3"/>
  <c r="DB291" i="3"/>
  <c r="DC291" i="3"/>
  <c r="A292" i="3"/>
  <c r="CY292" i="3"/>
  <c r="CZ292" i="3"/>
  <c r="DB292" i="3" s="1"/>
  <c r="DA292" i="3"/>
  <c r="DC292" i="3"/>
  <c r="A293" i="3"/>
  <c r="CY293" i="3"/>
  <c r="CZ293" i="3"/>
  <c r="DB293" i="3" s="1"/>
  <c r="DA293" i="3"/>
  <c r="DC293" i="3"/>
  <c r="A294" i="3"/>
  <c r="CY294" i="3"/>
  <c r="CZ294" i="3"/>
  <c r="DA294" i="3"/>
  <c r="DB294" i="3"/>
  <c r="DC294" i="3"/>
  <c r="A295" i="3"/>
  <c r="CY295" i="3"/>
  <c r="CZ295" i="3"/>
  <c r="DB295" i="3" s="1"/>
  <c r="DA295" i="3"/>
  <c r="DC295" i="3"/>
  <c r="A296" i="3"/>
  <c r="CY296" i="3"/>
  <c r="CZ296" i="3"/>
  <c r="DB296" i="3" s="1"/>
  <c r="DA296" i="3"/>
  <c r="DC296" i="3"/>
  <c r="A297" i="3"/>
  <c r="CY297" i="3"/>
  <c r="CZ297" i="3"/>
  <c r="DB297" i="3" s="1"/>
  <c r="DA297" i="3"/>
  <c r="DC297" i="3"/>
  <c r="A298" i="3"/>
  <c r="CY298" i="3"/>
  <c r="CZ298" i="3"/>
  <c r="DB298" i="3" s="1"/>
  <c r="DA298" i="3"/>
  <c r="DC298" i="3"/>
  <c r="A299" i="3"/>
  <c r="CY299" i="3"/>
  <c r="CZ299" i="3"/>
  <c r="DA299" i="3"/>
  <c r="DB299" i="3"/>
  <c r="DC299" i="3"/>
  <c r="A300" i="3"/>
  <c r="CY300" i="3"/>
  <c r="CZ300" i="3"/>
  <c r="DB300" i="3" s="1"/>
  <c r="DA300" i="3"/>
  <c r="DC300" i="3"/>
  <c r="A301" i="3"/>
  <c r="CY301" i="3"/>
  <c r="CZ301" i="3"/>
  <c r="DB301" i="3" s="1"/>
  <c r="DA301" i="3"/>
  <c r="DC301" i="3"/>
  <c r="A302" i="3"/>
  <c r="CY302" i="3"/>
  <c r="CZ302" i="3"/>
  <c r="DA302" i="3"/>
  <c r="DB302" i="3"/>
  <c r="DC302" i="3"/>
  <c r="A303" i="3"/>
  <c r="CY303" i="3"/>
  <c r="CZ303" i="3"/>
  <c r="DB303" i="3" s="1"/>
  <c r="DA303" i="3"/>
  <c r="DC303" i="3"/>
  <c r="A304" i="3"/>
  <c r="CY304" i="3"/>
  <c r="CZ304" i="3"/>
  <c r="DB304" i="3" s="1"/>
  <c r="DA304" i="3"/>
  <c r="DC304" i="3"/>
  <c r="A305" i="3"/>
  <c r="CY305" i="3"/>
  <c r="CZ305" i="3"/>
  <c r="DB305" i="3" s="1"/>
  <c r="DA305" i="3"/>
  <c r="DC305" i="3"/>
  <c r="A306" i="3"/>
  <c r="CY306" i="3"/>
  <c r="CZ306" i="3"/>
  <c r="DB306" i="3" s="1"/>
  <c r="DA306" i="3"/>
  <c r="DC306" i="3"/>
  <c r="A307" i="3"/>
  <c r="CY307" i="3"/>
  <c r="CZ307" i="3"/>
  <c r="DA307" i="3"/>
  <c r="DB307" i="3"/>
  <c r="DC307" i="3"/>
  <c r="A308" i="3"/>
  <c r="CY308" i="3"/>
  <c r="CZ308" i="3"/>
  <c r="DB308" i="3" s="1"/>
  <c r="DA308" i="3"/>
  <c r="DC308" i="3"/>
  <c r="A309" i="3"/>
  <c r="CY309" i="3"/>
  <c r="CZ309" i="3"/>
  <c r="DB309" i="3" s="1"/>
  <c r="DA309" i="3"/>
  <c r="DC309" i="3"/>
  <c r="A310" i="3"/>
  <c r="CY310" i="3"/>
  <c r="CZ310" i="3"/>
  <c r="DA310" i="3"/>
  <c r="DB310" i="3"/>
  <c r="DC310" i="3"/>
  <c r="A311" i="3"/>
  <c r="CY311" i="3"/>
  <c r="CZ311" i="3"/>
  <c r="DB311" i="3" s="1"/>
  <c r="DA311" i="3"/>
  <c r="DC311" i="3"/>
  <c r="A312" i="3"/>
  <c r="CY312" i="3"/>
  <c r="CZ312" i="3"/>
  <c r="DB312" i="3" s="1"/>
  <c r="DA312" i="3"/>
  <c r="DC312" i="3"/>
  <c r="A313" i="3"/>
  <c r="CY313" i="3"/>
  <c r="CZ313" i="3"/>
  <c r="DB313" i="3" s="1"/>
  <c r="DA313" i="3"/>
  <c r="DC313" i="3"/>
  <c r="A314" i="3"/>
  <c r="CY314" i="3"/>
  <c r="CZ314" i="3"/>
  <c r="DB314" i="3" s="1"/>
  <c r="DA314" i="3"/>
  <c r="DC314" i="3"/>
  <c r="A315" i="3"/>
  <c r="CX315" i="3"/>
  <c r="CY315" i="3"/>
  <c r="CZ315" i="3"/>
  <c r="DA315" i="3"/>
  <c r="DB315" i="3"/>
  <c r="DC315" i="3"/>
  <c r="A316" i="3"/>
  <c r="CX316" i="3"/>
  <c r="CY316" i="3"/>
  <c r="CZ316" i="3"/>
  <c r="DB316" i="3" s="1"/>
  <c r="DA316" i="3"/>
  <c r="DC316" i="3"/>
  <c r="A317" i="3"/>
  <c r="CX317" i="3"/>
  <c r="CY317" i="3"/>
  <c r="CZ317" i="3"/>
  <c r="DB317" i="3" s="1"/>
  <c r="DA317" i="3"/>
  <c r="DC317" i="3"/>
  <c r="A318" i="3"/>
  <c r="CX318" i="3"/>
  <c r="CY318" i="3"/>
  <c r="CZ318" i="3"/>
  <c r="DA318" i="3"/>
  <c r="DB318" i="3"/>
  <c r="DC318" i="3"/>
  <c r="A319" i="3"/>
  <c r="CX319" i="3"/>
  <c r="CY319" i="3"/>
  <c r="CZ319" i="3"/>
  <c r="DB319" i="3" s="1"/>
  <c r="DA319" i="3"/>
  <c r="DC319" i="3"/>
  <c r="A320" i="3"/>
  <c r="CX320" i="3"/>
  <c r="CY320" i="3"/>
  <c r="CZ320" i="3"/>
  <c r="DB320" i="3" s="1"/>
  <c r="DA320" i="3"/>
  <c r="DC320" i="3"/>
  <c r="A321" i="3"/>
  <c r="CX321" i="3"/>
  <c r="CY321" i="3"/>
  <c r="CZ321" i="3"/>
  <c r="DB321" i="3" s="1"/>
  <c r="DA321" i="3"/>
  <c r="DC321" i="3"/>
  <c r="A322" i="3"/>
  <c r="CX322" i="3"/>
  <c r="CY322" i="3"/>
  <c r="CZ322" i="3"/>
  <c r="DB322" i="3" s="1"/>
  <c r="DA322" i="3"/>
  <c r="DC322" i="3"/>
  <c r="A323" i="3"/>
  <c r="CX323" i="3"/>
  <c r="CY323" i="3"/>
  <c r="CZ323" i="3"/>
  <c r="DA323" i="3"/>
  <c r="DB323" i="3"/>
  <c r="DC323" i="3"/>
  <c r="A324" i="3"/>
  <c r="CX324" i="3"/>
  <c r="CY324" i="3"/>
  <c r="CZ324" i="3"/>
  <c r="DB324" i="3" s="1"/>
  <c r="DA324" i="3"/>
  <c r="DC324" i="3"/>
  <c r="A325" i="3"/>
  <c r="CX325" i="3"/>
  <c r="CY325" i="3"/>
  <c r="CZ325" i="3"/>
  <c r="DB325" i="3" s="1"/>
  <c r="DA325" i="3"/>
  <c r="DC325" i="3"/>
  <c r="A326" i="3"/>
  <c r="CX326" i="3"/>
  <c r="CY326" i="3"/>
  <c r="CZ326" i="3"/>
  <c r="DA326" i="3"/>
  <c r="DB326" i="3"/>
  <c r="DC326" i="3"/>
  <c r="A327" i="3"/>
  <c r="CX327" i="3"/>
  <c r="CY327" i="3"/>
  <c r="CZ327" i="3"/>
  <c r="DB327" i="3" s="1"/>
  <c r="DA327" i="3"/>
  <c r="DC327" i="3"/>
  <c r="A328" i="3"/>
  <c r="CX328" i="3"/>
  <c r="CY328" i="3"/>
  <c r="CZ328" i="3"/>
  <c r="DB328" i="3" s="1"/>
  <c r="DA328" i="3"/>
  <c r="DC328" i="3"/>
  <c r="A329" i="3"/>
  <c r="CX329" i="3"/>
  <c r="CY329" i="3"/>
  <c r="CZ329" i="3"/>
  <c r="DB329" i="3" s="1"/>
  <c r="DA329" i="3"/>
  <c r="DC329" i="3"/>
  <c r="A330" i="3"/>
  <c r="CX330" i="3"/>
  <c r="CY330" i="3"/>
  <c r="CZ330" i="3"/>
  <c r="DB330" i="3" s="1"/>
  <c r="DA330" i="3"/>
  <c r="DC330" i="3"/>
  <c r="A331" i="3"/>
  <c r="CX331" i="3"/>
  <c r="CY331" i="3"/>
  <c r="CZ331" i="3"/>
  <c r="DA331" i="3"/>
  <c r="DB331" i="3"/>
  <c r="DC331" i="3"/>
  <c r="A332" i="3"/>
  <c r="CX332" i="3"/>
  <c r="CY332" i="3"/>
  <c r="CZ332" i="3"/>
  <c r="DB332" i="3" s="1"/>
  <c r="DA332" i="3"/>
  <c r="DC332" i="3"/>
  <c r="A333" i="3"/>
  <c r="CX333" i="3"/>
  <c r="CY333" i="3"/>
  <c r="CZ333" i="3"/>
  <c r="DB333" i="3" s="1"/>
  <c r="DA333" i="3"/>
  <c r="DC333" i="3"/>
  <c r="A334" i="3"/>
  <c r="CX334" i="3"/>
  <c r="CY334" i="3"/>
  <c r="CZ334" i="3"/>
  <c r="DA334" i="3"/>
  <c r="DB334" i="3"/>
  <c r="DC334" i="3"/>
  <c r="A335" i="3"/>
  <c r="CX335" i="3"/>
  <c r="CY335" i="3"/>
  <c r="CZ335" i="3"/>
  <c r="DB335" i="3" s="1"/>
  <c r="DA335" i="3"/>
  <c r="DC335" i="3"/>
  <c r="A336" i="3"/>
  <c r="CX336" i="3"/>
  <c r="CY336" i="3"/>
  <c r="CZ336" i="3"/>
  <c r="DB336" i="3" s="1"/>
  <c r="DA336" i="3"/>
  <c r="DC336" i="3"/>
  <c r="A337" i="3"/>
  <c r="CY337" i="3"/>
  <c r="CZ337" i="3"/>
  <c r="DB337" i="3" s="1"/>
  <c r="DA337" i="3"/>
  <c r="DC337" i="3"/>
  <c r="A338" i="3"/>
  <c r="CY338" i="3"/>
  <c r="CZ338" i="3"/>
  <c r="DA338" i="3"/>
  <c r="DB338" i="3"/>
  <c r="DC338" i="3"/>
  <c r="A339" i="3"/>
  <c r="CX339" i="3"/>
  <c r="CY339" i="3"/>
  <c r="CZ339" i="3"/>
  <c r="DB339" i="3" s="1"/>
  <c r="DA339" i="3"/>
  <c r="DC339" i="3"/>
  <c r="A340" i="3"/>
  <c r="CX340" i="3"/>
  <c r="CY340" i="3"/>
  <c r="CZ340" i="3"/>
  <c r="DB340" i="3" s="1"/>
  <c r="DA340" i="3"/>
  <c r="DC340" i="3"/>
  <c r="A341" i="3"/>
  <c r="CX341" i="3"/>
  <c r="CY341" i="3"/>
  <c r="CZ341" i="3"/>
  <c r="DB341" i="3" s="1"/>
  <c r="DA341" i="3"/>
  <c r="DC341" i="3"/>
  <c r="A342" i="3"/>
  <c r="CX342" i="3"/>
  <c r="CY342" i="3"/>
  <c r="CZ342" i="3"/>
  <c r="DB342" i="3" s="1"/>
  <c r="DA342" i="3"/>
  <c r="DC342" i="3"/>
  <c r="A343" i="3"/>
  <c r="CX343" i="3"/>
  <c r="CY343" i="3"/>
  <c r="CZ343" i="3"/>
  <c r="DA343" i="3"/>
  <c r="DB343" i="3"/>
  <c r="DC343" i="3"/>
  <c r="A344" i="3"/>
  <c r="CX344" i="3"/>
  <c r="CY344" i="3"/>
  <c r="CZ344" i="3"/>
  <c r="DB344" i="3" s="1"/>
  <c r="DA344" i="3"/>
  <c r="DC344" i="3"/>
  <c r="A345" i="3"/>
  <c r="CX345" i="3"/>
  <c r="CY345" i="3"/>
  <c r="CZ345" i="3"/>
  <c r="DB345" i="3" s="1"/>
  <c r="DA345" i="3"/>
  <c r="DC345" i="3"/>
  <c r="A346" i="3"/>
  <c r="CX346" i="3"/>
  <c r="CY346" i="3"/>
  <c r="CZ346" i="3"/>
  <c r="DA346" i="3"/>
  <c r="DB346" i="3"/>
  <c r="DC346" i="3"/>
  <c r="A347" i="3"/>
  <c r="CX347" i="3"/>
  <c r="CY347" i="3"/>
  <c r="CZ347" i="3"/>
  <c r="DB347" i="3" s="1"/>
  <c r="DA347" i="3"/>
  <c r="DC347" i="3"/>
  <c r="A348" i="3"/>
  <c r="CX348" i="3"/>
  <c r="CY348" i="3"/>
  <c r="CZ348" i="3"/>
  <c r="DB348" i="3" s="1"/>
  <c r="DA348" i="3"/>
  <c r="DC348" i="3"/>
  <c r="A349" i="3"/>
  <c r="CY349" i="3"/>
  <c r="CZ349" i="3"/>
  <c r="DB349" i="3" s="1"/>
  <c r="DA349" i="3"/>
  <c r="DC349" i="3"/>
  <c r="A350" i="3"/>
  <c r="CY350" i="3"/>
  <c r="CZ350" i="3"/>
  <c r="DA350" i="3"/>
  <c r="DB350" i="3"/>
  <c r="DC350" i="3"/>
  <c r="A351" i="3"/>
  <c r="CY351" i="3"/>
  <c r="CZ351" i="3"/>
  <c r="DB351" i="3" s="1"/>
  <c r="DA351" i="3"/>
  <c r="DC351" i="3"/>
  <c r="A352" i="3"/>
  <c r="CY352" i="3"/>
  <c r="CZ352" i="3"/>
  <c r="DB352" i="3" s="1"/>
  <c r="DA352" i="3"/>
  <c r="DC352" i="3"/>
  <c r="A353" i="3"/>
  <c r="CY353" i="3"/>
  <c r="CZ353" i="3"/>
  <c r="DB353" i="3" s="1"/>
  <c r="DA353" i="3"/>
  <c r="DC353" i="3"/>
  <c r="A354" i="3"/>
  <c r="CY354" i="3"/>
  <c r="CZ354" i="3"/>
  <c r="DB354" i="3" s="1"/>
  <c r="DA354" i="3"/>
  <c r="DC354" i="3"/>
  <c r="A355" i="3"/>
  <c r="CY355" i="3"/>
  <c r="CZ355" i="3"/>
  <c r="DA355" i="3"/>
  <c r="DB355" i="3"/>
  <c r="DC355" i="3"/>
  <c r="A356" i="3"/>
  <c r="CY356" i="3"/>
  <c r="CZ356" i="3"/>
  <c r="DB356" i="3" s="1"/>
  <c r="DA356" i="3"/>
  <c r="DC356" i="3"/>
  <c r="A357" i="3"/>
  <c r="CY357" i="3"/>
  <c r="CZ357" i="3"/>
  <c r="DB357" i="3" s="1"/>
  <c r="DA357" i="3"/>
  <c r="DC357" i="3"/>
  <c r="A358" i="3"/>
  <c r="CY358" i="3"/>
  <c r="CZ358" i="3"/>
  <c r="DA358" i="3"/>
  <c r="DB358" i="3"/>
  <c r="DC358" i="3"/>
  <c r="A359" i="3"/>
  <c r="CY359" i="3"/>
  <c r="CZ359" i="3"/>
  <c r="DB359" i="3" s="1"/>
  <c r="DA359" i="3"/>
  <c r="DC359" i="3"/>
  <c r="A360" i="3"/>
  <c r="CY360" i="3"/>
  <c r="CZ360" i="3"/>
  <c r="DB360" i="3" s="1"/>
  <c r="DA360" i="3"/>
  <c r="DC360" i="3"/>
  <c r="A361" i="3"/>
  <c r="CY361" i="3"/>
  <c r="CZ361" i="3"/>
  <c r="DB361" i="3" s="1"/>
  <c r="DA361" i="3"/>
  <c r="DC361" i="3"/>
  <c r="A362" i="3"/>
  <c r="CY362" i="3"/>
  <c r="CZ362" i="3"/>
  <c r="DB362" i="3" s="1"/>
  <c r="DA362" i="3"/>
  <c r="DC362" i="3"/>
  <c r="A363" i="3"/>
  <c r="CY363" i="3"/>
  <c r="CZ363" i="3"/>
  <c r="DA363" i="3"/>
  <c r="DB363" i="3"/>
  <c r="DC363" i="3"/>
  <c r="A364" i="3"/>
  <c r="CY364" i="3"/>
  <c r="CZ364" i="3"/>
  <c r="DB364" i="3" s="1"/>
  <c r="DA364" i="3"/>
  <c r="DC364" i="3"/>
  <c r="A365" i="3"/>
  <c r="CY365" i="3"/>
  <c r="CZ365" i="3"/>
  <c r="DB365" i="3" s="1"/>
  <c r="DA365" i="3"/>
  <c r="DC365" i="3"/>
  <c r="A366" i="3"/>
  <c r="CY366" i="3"/>
  <c r="CZ366" i="3"/>
  <c r="DA366" i="3"/>
  <c r="DB366" i="3"/>
  <c r="DC366" i="3"/>
  <c r="A367" i="3"/>
  <c r="CY367" i="3"/>
  <c r="CZ367" i="3"/>
  <c r="DB367" i="3" s="1"/>
  <c r="DA367" i="3"/>
  <c r="DC367" i="3"/>
  <c r="A368" i="3"/>
  <c r="CY368" i="3"/>
  <c r="CZ368" i="3"/>
  <c r="DB368" i="3" s="1"/>
  <c r="DA368" i="3"/>
  <c r="DC368" i="3"/>
  <c r="A369" i="3"/>
  <c r="CY369" i="3"/>
  <c r="CZ369" i="3"/>
  <c r="DB369" i="3" s="1"/>
  <c r="DA369" i="3"/>
  <c r="DC369" i="3"/>
  <c r="A370" i="3"/>
  <c r="CY370" i="3"/>
  <c r="CZ370" i="3"/>
  <c r="DB370" i="3" s="1"/>
  <c r="DA370" i="3"/>
  <c r="DC370" i="3"/>
  <c r="A371" i="3"/>
  <c r="CY371" i="3"/>
  <c r="CZ371" i="3"/>
  <c r="DA371" i="3"/>
  <c r="DB371" i="3"/>
  <c r="DC371" i="3"/>
  <c r="A372" i="3"/>
  <c r="CY372" i="3"/>
  <c r="CZ372" i="3"/>
  <c r="DB372" i="3" s="1"/>
  <c r="DA372" i="3"/>
  <c r="DC372" i="3"/>
  <c r="A373" i="3"/>
  <c r="CY373" i="3"/>
  <c r="CZ373" i="3"/>
  <c r="DB373" i="3" s="1"/>
  <c r="DA373" i="3"/>
  <c r="DC373" i="3"/>
  <c r="A374" i="3"/>
  <c r="CY374" i="3"/>
  <c r="CZ374" i="3"/>
  <c r="DA374" i="3"/>
  <c r="DB374" i="3"/>
  <c r="DC374" i="3"/>
  <c r="A375" i="3"/>
  <c r="CY375" i="3"/>
  <c r="CZ375" i="3"/>
  <c r="DB375" i="3" s="1"/>
  <c r="DA375" i="3"/>
  <c r="DC375" i="3"/>
  <c r="A376" i="3"/>
  <c r="CY376" i="3"/>
  <c r="CZ376" i="3"/>
  <c r="DB376" i="3" s="1"/>
  <c r="DA376" i="3"/>
  <c r="DC376" i="3"/>
  <c r="A377" i="3"/>
  <c r="CY377" i="3"/>
  <c r="CZ377" i="3"/>
  <c r="DB377" i="3" s="1"/>
  <c r="DA377" i="3"/>
  <c r="DC377" i="3"/>
  <c r="A378" i="3"/>
  <c r="CY378" i="3"/>
  <c r="CZ378" i="3"/>
  <c r="DB378" i="3" s="1"/>
  <c r="DA378" i="3"/>
  <c r="DC378" i="3"/>
  <c r="A379" i="3"/>
  <c r="CY379" i="3"/>
  <c r="CZ379" i="3"/>
  <c r="DA379" i="3"/>
  <c r="DB379" i="3"/>
  <c r="DC379" i="3"/>
  <c r="A380" i="3"/>
  <c r="CY380" i="3"/>
  <c r="CZ380" i="3"/>
  <c r="DB380" i="3" s="1"/>
  <c r="DA380" i="3"/>
  <c r="DC380" i="3"/>
  <c r="A381" i="3"/>
  <c r="CY381" i="3"/>
  <c r="CZ381" i="3"/>
  <c r="DB381" i="3" s="1"/>
  <c r="DA381" i="3"/>
  <c r="DC381" i="3"/>
  <c r="A382" i="3"/>
  <c r="CY382" i="3"/>
  <c r="CZ382" i="3"/>
  <c r="DA382" i="3"/>
  <c r="DB382" i="3"/>
  <c r="DC382" i="3"/>
  <c r="A383" i="3"/>
  <c r="CY383" i="3"/>
  <c r="CZ383" i="3"/>
  <c r="DB383" i="3" s="1"/>
  <c r="DA383" i="3"/>
  <c r="DC383" i="3"/>
  <c r="A384" i="3"/>
  <c r="CY384" i="3"/>
  <c r="CZ384" i="3"/>
  <c r="DB384" i="3" s="1"/>
  <c r="DA384" i="3"/>
  <c r="DC384" i="3"/>
  <c r="A385" i="3"/>
  <c r="CY385" i="3"/>
  <c r="CZ385" i="3"/>
  <c r="DB385" i="3" s="1"/>
  <c r="DA385" i="3"/>
  <c r="DC385" i="3"/>
  <c r="A386" i="3"/>
  <c r="CY386" i="3"/>
  <c r="CZ386" i="3"/>
  <c r="DB386" i="3" s="1"/>
  <c r="DA386" i="3"/>
  <c r="DC386" i="3"/>
  <c r="A387" i="3"/>
  <c r="CY387" i="3"/>
  <c r="CZ387" i="3"/>
  <c r="DA387" i="3"/>
  <c r="DB387" i="3"/>
  <c r="DC387" i="3"/>
  <c r="A388" i="3"/>
  <c r="CY388" i="3"/>
  <c r="CZ388" i="3"/>
  <c r="DB388" i="3" s="1"/>
  <c r="DA388" i="3"/>
  <c r="DC388" i="3"/>
  <c r="A389" i="3"/>
  <c r="CY389" i="3"/>
  <c r="CZ389" i="3"/>
  <c r="DB389" i="3" s="1"/>
  <c r="DA389" i="3"/>
  <c r="DC389" i="3"/>
  <c r="A390" i="3"/>
  <c r="CY390" i="3"/>
  <c r="CZ390" i="3"/>
  <c r="DA390" i="3"/>
  <c r="DB390" i="3"/>
  <c r="DC390" i="3"/>
  <c r="A391" i="3"/>
  <c r="CY391" i="3"/>
  <c r="CZ391" i="3"/>
  <c r="DB391" i="3" s="1"/>
  <c r="DA391" i="3"/>
  <c r="DC391" i="3"/>
  <c r="A392" i="3"/>
  <c r="CY392" i="3"/>
  <c r="CZ392" i="3"/>
  <c r="DB392" i="3" s="1"/>
  <c r="DA392" i="3"/>
  <c r="DC392" i="3"/>
  <c r="A393" i="3"/>
  <c r="CY393" i="3"/>
  <c r="CZ393" i="3"/>
  <c r="DB393" i="3" s="1"/>
  <c r="DA393" i="3"/>
  <c r="DC393" i="3"/>
  <c r="A394" i="3"/>
  <c r="CY394" i="3"/>
  <c r="CZ394" i="3"/>
  <c r="DB394" i="3" s="1"/>
  <c r="DA394" i="3"/>
  <c r="DC394" i="3"/>
  <c r="A395" i="3"/>
  <c r="CY395" i="3"/>
  <c r="CZ395" i="3"/>
  <c r="DA395" i="3"/>
  <c r="DB395" i="3"/>
  <c r="DC395" i="3"/>
  <c r="A396" i="3"/>
  <c r="CY396" i="3"/>
  <c r="CZ396" i="3"/>
  <c r="DB396" i="3" s="1"/>
  <c r="DA396" i="3"/>
  <c r="DC396" i="3"/>
  <c r="A397" i="3"/>
  <c r="CY397" i="3"/>
  <c r="CZ397" i="3"/>
  <c r="DB397" i="3" s="1"/>
  <c r="DA397" i="3"/>
  <c r="DC397" i="3"/>
  <c r="A398" i="3"/>
  <c r="CY398" i="3"/>
  <c r="CZ398" i="3"/>
  <c r="DA398" i="3"/>
  <c r="DB398" i="3"/>
  <c r="DC398" i="3"/>
  <c r="A399" i="3"/>
  <c r="CY399" i="3"/>
  <c r="CZ399" i="3"/>
  <c r="DB399" i="3" s="1"/>
  <c r="DA399" i="3"/>
  <c r="DC399" i="3"/>
  <c r="A400" i="3"/>
  <c r="CY400" i="3"/>
  <c r="CZ400" i="3"/>
  <c r="DB400" i="3" s="1"/>
  <c r="DA400" i="3"/>
  <c r="DC400" i="3"/>
  <c r="A401" i="3"/>
  <c r="CY401" i="3"/>
  <c r="CZ401" i="3"/>
  <c r="DB401" i="3" s="1"/>
  <c r="DA401" i="3"/>
  <c r="DC401" i="3"/>
  <c r="A402" i="3"/>
  <c r="CY402" i="3"/>
  <c r="CZ402" i="3"/>
  <c r="DB402" i="3" s="1"/>
  <c r="DA402" i="3"/>
  <c r="DC402" i="3"/>
  <c r="A403" i="3"/>
  <c r="CY403" i="3"/>
  <c r="CZ403" i="3"/>
  <c r="DA403" i="3"/>
  <c r="DB403" i="3"/>
  <c r="DC403" i="3"/>
  <c r="A404" i="3"/>
  <c r="CY404" i="3"/>
  <c r="CZ404" i="3"/>
  <c r="DB404" i="3" s="1"/>
  <c r="DA404" i="3"/>
  <c r="DC404" i="3"/>
  <c r="A405" i="3"/>
  <c r="CY405" i="3"/>
  <c r="CZ405" i="3"/>
  <c r="DB405" i="3" s="1"/>
  <c r="DA405" i="3"/>
  <c r="DC405" i="3"/>
  <c r="A406" i="3"/>
  <c r="CY406" i="3"/>
  <c r="CZ406" i="3"/>
  <c r="DA406" i="3"/>
  <c r="DB406" i="3"/>
  <c r="DC406" i="3"/>
  <c r="A407" i="3"/>
  <c r="CY407" i="3"/>
  <c r="CZ407" i="3"/>
  <c r="DB407" i="3" s="1"/>
  <c r="DA407" i="3"/>
  <c r="DC407" i="3"/>
  <c r="A408" i="3"/>
  <c r="CY408" i="3"/>
  <c r="CZ408" i="3"/>
  <c r="DB408" i="3" s="1"/>
  <c r="DA408" i="3"/>
  <c r="DC408" i="3"/>
  <c r="A409" i="3"/>
  <c r="CY409" i="3"/>
  <c r="CZ409" i="3"/>
  <c r="DB409" i="3" s="1"/>
  <c r="DA409" i="3"/>
  <c r="DC409" i="3"/>
  <c r="A410" i="3"/>
  <c r="CY410" i="3"/>
  <c r="CZ410" i="3"/>
  <c r="DB410" i="3" s="1"/>
  <c r="DA410" i="3"/>
  <c r="DC410" i="3"/>
  <c r="A411" i="3"/>
  <c r="CY411" i="3"/>
  <c r="CZ411" i="3"/>
  <c r="DA411" i="3"/>
  <c r="DB411" i="3"/>
  <c r="DC411" i="3"/>
  <c r="A412" i="3"/>
  <c r="CY412" i="3"/>
  <c r="CZ412" i="3"/>
  <c r="DB412" i="3" s="1"/>
  <c r="DA412" i="3"/>
  <c r="DC412" i="3"/>
  <c r="A413" i="3"/>
  <c r="CY413" i="3"/>
  <c r="CZ413" i="3"/>
  <c r="DB413" i="3" s="1"/>
  <c r="DA413" i="3"/>
  <c r="DC413" i="3"/>
  <c r="A414" i="3"/>
  <c r="CY414" i="3"/>
  <c r="CZ414" i="3"/>
  <c r="DA414" i="3"/>
  <c r="DB414" i="3"/>
  <c r="DC414" i="3"/>
  <c r="A415" i="3"/>
  <c r="CY415" i="3"/>
  <c r="CZ415" i="3"/>
  <c r="DB415" i="3" s="1"/>
  <c r="DA415" i="3"/>
  <c r="DC415" i="3"/>
  <c r="A416" i="3"/>
  <c r="CY416" i="3"/>
  <c r="CZ416" i="3"/>
  <c r="DB416" i="3" s="1"/>
  <c r="DA416" i="3"/>
  <c r="DC416" i="3"/>
  <c r="A417" i="3"/>
  <c r="CY417" i="3"/>
  <c r="CZ417" i="3"/>
  <c r="DB417" i="3" s="1"/>
  <c r="DA417" i="3"/>
  <c r="DC417" i="3"/>
  <c r="A418" i="3"/>
  <c r="CY418" i="3"/>
  <c r="CZ418" i="3"/>
  <c r="DB418" i="3" s="1"/>
  <c r="DA418" i="3"/>
  <c r="DC418" i="3"/>
  <c r="A419" i="3"/>
  <c r="CY419" i="3"/>
  <c r="CZ419" i="3"/>
  <c r="DA419" i="3"/>
  <c r="DB419" i="3"/>
  <c r="DC419" i="3"/>
  <c r="A420" i="3"/>
  <c r="CY420" i="3"/>
  <c r="CZ420" i="3"/>
  <c r="DB420" i="3" s="1"/>
  <c r="DA420" i="3"/>
  <c r="DC420" i="3"/>
  <c r="A421" i="3"/>
  <c r="CY421" i="3"/>
  <c r="CZ421" i="3"/>
  <c r="DB421" i="3" s="1"/>
  <c r="DA421" i="3"/>
  <c r="DC421" i="3"/>
  <c r="A422" i="3"/>
  <c r="CY422" i="3"/>
  <c r="CZ422" i="3"/>
  <c r="DA422" i="3"/>
  <c r="DB422" i="3"/>
  <c r="DC422" i="3"/>
  <c r="A423" i="3"/>
  <c r="CY423" i="3"/>
  <c r="CZ423" i="3"/>
  <c r="DB423" i="3" s="1"/>
  <c r="DA423" i="3"/>
  <c r="DC423" i="3"/>
  <c r="A424" i="3"/>
  <c r="CY424" i="3"/>
  <c r="CZ424" i="3"/>
  <c r="DB424" i="3" s="1"/>
  <c r="DA424" i="3"/>
  <c r="DC424" i="3"/>
  <c r="A425" i="3"/>
  <c r="CY425" i="3"/>
  <c r="CZ425" i="3"/>
  <c r="DB425" i="3" s="1"/>
  <c r="DA425" i="3"/>
  <c r="DC425" i="3"/>
  <c r="A426" i="3"/>
  <c r="CY426" i="3"/>
  <c r="CZ426" i="3"/>
  <c r="DB426" i="3" s="1"/>
  <c r="DA426" i="3"/>
  <c r="DC426" i="3"/>
  <c r="A427" i="3"/>
  <c r="CY427" i="3"/>
  <c r="CZ427" i="3"/>
  <c r="DA427" i="3"/>
  <c r="DB427" i="3"/>
  <c r="DC427" i="3"/>
  <c r="A428" i="3"/>
  <c r="CY428" i="3"/>
  <c r="CZ428" i="3"/>
  <c r="DB428" i="3" s="1"/>
  <c r="DA428" i="3"/>
  <c r="DC428" i="3"/>
  <c r="A429" i="3"/>
  <c r="CY429" i="3"/>
  <c r="CZ429" i="3"/>
  <c r="DB429" i="3" s="1"/>
  <c r="DA429" i="3"/>
  <c r="DC429" i="3"/>
  <c r="A430" i="3"/>
  <c r="CY430" i="3"/>
  <c r="CZ430" i="3"/>
  <c r="DA430" i="3"/>
  <c r="DB430" i="3"/>
  <c r="DC430" i="3"/>
  <c r="A431" i="3"/>
  <c r="CY431" i="3"/>
  <c r="CZ431" i="3"/>
  <c r="DB431" i="3" s="1"/>
  <c r="DA431" i="3"/>
  <c r="DC431" i="3"/>
  <c r="A432" i="3"/>
  <c r="CY432" i="3"/>
  <c r="CZ432" i="3"/>
  <c r="DB432" i="3" s="1"/>
  <c r="DA432" i="3"/>
  <c r="DC432" i="3"/>
  <c r="A433" i="3"/>
  <c r="CY433" i="3"/>
  <c r="CZ433" i="3"/>
  <c r="DB433" i="3" s="1"/>
  <c r="DA433" i="3"/>
  <c r="DC433" i="3"/>
  <c r="A434" i="3"/>
  <c r="CY434" i="3"/>
  <c r="CZ434" i="3"/>
  <c r="DB434" i="3" s="1"/>
  <c r="DA434" i="3"/>
  <c r="DC434" i="3"/>
  <c r="A435" i="3"/>
  <c r="CY435" i="3"/>
  <c r="CZ435" i="3"/>
  <c r="DA435" i="3"/>
  <c r="DB435" i="3"/>
  <c r="DC435" i="3"/>
  <c r="A436" i="3"/>
  <c r="CY436" i="3"/>
  <c r="CZ436" i="3"/>
  <c r="DB436" i="3" s="1"/>
  <c r="DA436" i="3"/>
  <c r="DC436" i="3"/>
  <c r="A437" i="3"/>
  <c r="CY437" i="3"/>
  <c r="CZ437" i="3"/>
  <c r="DB437" i="3" s="1"/>
  <c r="DA437" i="3"/>
  <c r="DC437" i="3"/>
  <c r="A438" i="3"/>
  <c r="CY438" i="3"/>
  <c r="CZ438" i="3"/>
  <c r="DA438" i="3"/>
  <c r="DB438" i="3"/>
  <c r="DC438" i="3"/>
  <c r="A439" i="3"/>
  <c r="CY439" i="3"/>
  <c r="CZ439" i="3"/>
  <c r="DB439" i="3" s="1"/>
  <c r="DA439" i="3"/>
  <c r="DC439" i="3"/>
  <c r="A440" i="3"/>
  <c r="CY440" i="3"/>
  <c r="CZ440" i="3"/>
  <c r="DB440" i="3" s="1"/>
  <c r="DA440" i="3"/>
  <c r="DC440" i="3"/>
  <c r="A441" i="3"/>
  <c r="CY441" i="3"/>
  <c r="CZ441" i="3"/>
  <c r="DB441" i="3" s="1"/>
  <c r="DA441" i="3"/>
  <c r="DC441" i="3"/>
  <c r="A442" i="3"/>
  <c r="CY442" i="3"/>
  <c r="CZ442" i="3"/>
  <c r="DB442" i="3" s="1"/>
  <c r="DA442" i="3"/>
  <c r="DC442" i="3"/>
  <c r="A443" i="3"/>
  <c r="CY443" i="3"/>
  <c r="CZ443" i="3"/>
  <c r="DA443" i="3"/>
  <c r="DB443" i="3"/>
  <c r="DC443" i="3"/>
  <c r="A444" i="3"/>
  <c r="CY444" i="3"/>
  <c r="CZ444" i="3"/>
  <c r="DB444" i="3" s="1"/>
  <c r="DA444" i="3"/>
  <c r="DC444" i="3"/>
  <c r="A445" i="3"/>
  <c r="CY445" i="3"/>
  <c r="CZ445" i="3"/>
  <c r="DB445" i="3" s="1"/>
  <c r="DA445" i="3"/>
  <c r="DC445" i="3"/>
  <c r="A446" i="3"/>
  <c r="CY446" i="3"/>
  <c r="CZ446" i="3"/>
  <c r="DA446" i="3"/>
  <c r="DB446" i="3"/>
  <c r="DC446" i="3"/>
  <c r="A447" i="3"/>
  <c r="CY447" i="3"/>
  <c r="CZ447" i="3"/>
  <c r="DB447" i="3" s="1"/>
  <c r="DA447" i="3"/>
  <c r="DC447" i="3"/>
  <c r="A448" i="3"/>
  <c r="CY448" i="3"/>
  <c r="CZ448" i="3"/>
  <c r="DB448" i="3" s="1"/>
  <c r="DA448" i="3"/>
  <c r="DC448" i="3"/>
  <c r="A449" i="3"/>
  <c r="CY449" i="3"/>
  <c r="CZ449" i="3"/>
  <c r="DB449" i="3" s="1"/>
  <c r="DA449" i="3"/>
  <c r="DC449" i="3"/>
  <c r="A450" i="3"/>
  <c r="CY450" i="3"/>
  <c r="CZ450" i="3"/>
  <c r="DB450" i="3" s="1"/>
  <c r="DA450" i="3"/>
  <c r="DC450" i="3"/>
  <c r="A451" i="3"/>
  <c r="CY451" i="3"/>
  <c r="CZ451" i="3"/>
  <c r="DA451" i="3"/>
  <c r="DB451" i="3"/>
  <c r="DC451" i="3"/>
  <c r="A452" i="3"/>
  <c r="CY452" i="3"/>
  <c r="CZ452" i="3"/>
  <c r="DB452" i="3" s="1"/>
  <c r="DA452" i="3"/>
  <c r="DC452" i="3"/>
  <c r="A453" i="3"/>
  <c r="CY453" i="3"/>
  <c r="CZ453" i="3"/>
  <c r="DB453" i="3" s="1"/>
  <c r="DA453" i="3"/>
  <c r="DC453" i="3"/>
  <c r="A454" i="3"/>
  <c r="CY454" i="3"/>
  <c r="CZ454" i="3"/>
  <c r="DA454" i="3"/>
  <c r="DB454" i="3"/>
  <c r="DC454" i="3"/>
  <c r="A455" i="3"/>
  <c r="CY455" i="3"/>
  <c r="CZ455" i="3"/>
  <c r="DB455" i="3" s="1"/>
  <c r="DA455" i="3"/>
  <c r="DC455" i="3"/>
  <c r="A456" i="3"/>
  <c r="CY456" i="3"/>
  <c r="CZ456" i="3"/>
  <c r="DB456" i="3" s="1"/>
  <c r="DA456" i="3"/>
  <c r="DC456" i="3"/>
  <c r="A457" i="3"/>
  <c r="CY457" i="3"/>
  <c r="CZ457" i="3"/>
  <c r="DB457" i="3" s="1"/>
  <c r="DA457" i="3"/>
  <c r="DC457" i="3"/>
  <c r="A458" i="3"/>
  <c r="CY458" i="3"/>
  <c r="CZ458" i="3"/>
  <c r="DB458" i="3" s="1"/>
  <c r="DA458" i="3"/>
  <c r="DC458" i="3"/>
  <c r="A459" i="3"/>
  <c r="CY459" i="3"/>
  <c r="CZ459" i="3"/>
  <c r="DA459" i="3"/>
  <c r="DB459" i="3"/>
  <c r="DC459" i="3"/>
  <c r="A460" i="3"/>
  <c r="CY460" i="3"/>
  <c r="CZ460" i="3"/>
  <c r="DB460" i="3" s="1"/>
  <c r="DA460" i="3"/>
  <c r="DC460" i="3"/>
  <c r="A461" i="3"/>
  <c r="CY461" i="3"/>
  <c r="CZ461" i="3"/>
  <c r="DB461" i="3" s="1"/>
  <c r="DA461" i="3"/>
  <c r="DC461" i="3"/>
  <c r="A462" i="3"/>
  <c r="CY462" i="3"/>
  <c r="CZ462" i="3"/>
  <c r="DA462" i="3"/>
  <c r="DB462" i="3"/>
  <c r="DC462" i="3"/>
  <c r="A463" i="3"/>
  <c r="CY463" i="3"/>
  <c r="CZ463" i="3"/>
  <c r="DB463" i="3" s="1"/>
  <c r="DA463" i="3"/>
  <c r="DC463" i="3"/>
  <c r="A464" i="3"/>
  <c r="CY464" i="3"/>
  <c r="CZ464" i="3"/>
  <c r="DB464" i="3" s="1"/>
  <c r="DA464" i="3"/>
  <c r="DC464" i="3"/>
  <c r="A465" i="3"/>
  <c r="CY465" i="3"/>
  <c r="CZ465" i="3"/>
  <c r="DB465" i="3" s="1"/>
  <c r="DA465" i="3"/>
  <c r="DC465" i="3"/>
  <c r="A466" i="3"/>
  <c r="CY466" i="3"/>
  <c r="CZ466" i="3"/>
  <c r="DB466" i="3" s="1"/>
  <c r="DA466" i="3"/>
  <c r="DC466" i="3"/>
  <c r="A467" i="3"/>
  <c r="CY467" i="3"/>
  <c r="CZ467" i="3"/>
  <c r="DA467" i="3"/>
  <c r="DB467" i="3"/>
  <c r="DC467" i="3"/>
  <c r="A468" i="3"/>
  <c r="CY468" i="3"/>
  <c r="CZ468" i="3"/>
  <c r="DB468" i="3" s="1"/>
  <c r="DA468" i="3"/>
  <c r="DC468" i="3"/>
  <c r="A469" i="3"/>
  <c r="CY469" i="3"/>
  <c r="CZ469" i="3"/>
  <c r="DB469" i="3" s="1"/>
  <c r="DA469" i="3"/>
  <c r="DC469" i="3"/>
  <c r="A470" i="3"/>
  <c r="CY470" i="3"/>
  <c r="CZ470" i="3"/>
  <c r="DA470" i="3"/>
  <c r="DB470" i="3"/>
  <c r="DC470" i="3"/>
  <c r="A471" i="3"/>
  <c r="CY471" i="3"/>
  <c r="CZ471" i="3"/>
  <c r="DB471" i="3" s="1"/>
  <c r="DA471" i="3"/>
  <c r="DC471" i="3"/>
  <c r="A472" i="3"/>
  <c r="CY472" i="3"/>
  <c r="CZ472" i="3"/>
  <c r="DB472" i="3" s="1"/>
  <c r="DA472" i="3"/>
  <c r="DC472" i="3"/>
  <c r="A473" i="3"/>
  <c r="CY473" i="3"/>
  <c r="CZ473" i="3"/>
  <c r="DB473" i="3" s="1"/>
  <c r="DA473" i="3"/>
  <c r="DC473" i="3"/>
  <c r="A474" i="3"/>
  <c r="CY474" i="3"/>
  <c r="CZ474" i="3"/>
  <c r="DB474" i="3" s="1"/>
  <c r="DA474" i="3"/>
  <c r="DC474" i="3"/>
  <c r="A475" i="3"/>
  <c r="CY475" i="3"/>
  <c r="CZ475" i="3"/>
  <c r="DA475" i="3"/>
  <c r="DB475" i="3"/>
  <c r="DC475" i="3"/>
  <c r="A476" i="3"/>
  <c r="CY476" i="3"/>
  <c r="CZ476" i="3"/>
  <c r="DB476" i="3" s="1"/>
  <c r="DA476" i="3"/>
  <c r="DC476" i="3"/>
  <c r="A477" i="3"/>
  <c r="CY477" i="3"/>
  <c r="CZ477" i="3"/>
  <c r="DB477" i="3" s="1"/>
  <c r="DA477" i="3"/>
  <c r="DC477" i="3"/>
  <c r="A478" i="3"/>
  <c r="CY478" i="3"/>
  <c r="CZ478" i="3"/>
  <c r="DA478" i="3"/>
  <c r="DB478" i="3"/>
  <c r="DC478" i="3"/>
  <c r="A479" i="3"/>
  <c r="CY479" i="3"/>
  <c r="CZ479" i="3"/>
  <c r="DB479" i="3" s="1"/>
  <c r="DA479" i="3"/>
  <c r="DC479" i="3"/>
  <c r="A480" i="3"/>
  <c r="CY480" i="3"/>
  <c r="CZ480" i="3"/>
  <c r="DB480" i="3" s="1"/>
  <c r="DA480" i="3"/>
  <c r="DC480" i="3"/>
  <c r="A481" i="3"/>
  <c r="CY481" i="3"/>
  <c r="CZ481" i="3"/>
  <c r="DB481" i="3" s="1"/>
  <c r="DA481" i="3"/>
  <c r="DC481" i="3"/>
  <c r="A482" i="3"/>
  <c r="CY482" i="3"/>
  <c r="CZ482" i="3"/>
  <c r="DB482" i="3" s="1"/>
  <c r="DA482" i="3"/>
  <c r="DC482" i="3"/>
  <c r="A483" i="3"/>
  <c r="CY483" i="3"/>
  <c r="CZ483" i="3"/>
  <c r="DA483" i="3"/>
  <c r="DB483" i="3"/>
  <c r="DC483" i="3"/>
  <c r="A484" i="3"/>
  <c r="CY484" i="3"/>
  <c r="CZ484" i="3"/>
  <c r="DB484" i="3" s="1"/>
  <c r="DA484" i="3"/>
  <c r="DC484" i="3"/>
  <c r="A485" i="3"/>
  <c r="CY485" i="3"/>
  <c r="CZ485" i="3"/>
  <c r="DB485" i="3" s="1"/>
  <c r="DA485" i="3"/>
  <c r="DC485" i="3"/>
  <c r="A486" i="3"/>
  <c r="CY486" i="3"/>
  <c r="CZ486" i="3"/>
  <c r="DA486" i="3"/>
  <c r="DB486" i="3"/>
  <c r="DC486" i="3"/>
  <c r="A487" i="3"/>
  <c r="CY487" i="3"/>
  <c r="CZ487" i="3"/>
  <c r="DB487" i="3" s="1"/>
  <c r="DA487" i="3"/>
  <c r="DC487" i="3"/>
  <c r="A488" i="3"/>
  <c r="CY488" i="3"/>
  <c r="CZ488" i="3"/>
  <c r="DB488" i="3" s="1"/>
  <c r="DA488" i="3"/>
  <c r="DC488" i="3"/>
  <c r="A489" i="3"/>
  <c r="CY489" i="3"/>
  <c r="CZ489" i="3"/>
  <c r="DB489" i="3" s="1"/>
  <c r="DA489" i="3"/>
  <c r="DC489" i="3"/>
  <c r="A490" i="3"/>
  <c r="CY490" i="3"/>
  <c r="CZ490" i="3"/>
  <c r="DB490" i="3" s="1"/>
  <c r="DA490" i="3"/>
  <c r="DC490" i="3"/>
  <c r="A491" i="3"/>
  <c r="CY491" i="3"/>
  <c r="CZ491" i="3"/>
  <c r="DA491" i="3"/>
  <c r="DB491" i="3"/>
  <c r="DC491" i="3"/>
  <c r="A492" i="3"/>
  <c r="CY492" i="3"/>
  <c r="CZ492" i="3"/>
  <c r="DB492" i="3" s="1"/>
  <c r="DA492" i="3"/>
  <c r="DC492" i="3"/>
  <c r="A493" i="3"/>
  <c r="CY493" i="3"/>
  <c r="CZ493" i="3"/>
  <c r="DB493" i="3" s="1"/>
  <c r="DA493" i="3"/>
  <c r="DC493" i="3"/>
  <c r="A494" i="3"/>
  <c r="CY494" i="3"/>
  <c r="CZ494" i="3"/>
  <c r="DA494" i="3"/>
  <c r="DB494" i="3"/>
  <c r="DC494" i="3"/>
  <c r="A495" i="3"/>
  <c r="CY495" i="3"/>
  <c r="CZ495" i="3"/>
  <c r="DB495" i="3" s="1"/>
  <c r="DA495" i="3"/>
  <c r="DC495" i="3"/>
  <c r="A496" i="3"/>
  <c r="CY496" i="3"/>
  <c r="CZ496" i="3"/>
  <c r="DB496" i="3" s="1"/>
  <c r="DA496" i="3"/>
  <c r="DC496" i="3"/>
  <c r="A497" i="3"/>
  <c r="CY497" i="3"/>
  <c r="CZ497" i="3"/>
  <c r="DB497" i="3" s="1"/>
  <c r="DA497" i="3"/>
  <c r="DC497" i="3"/>
  <c r="A498" i="3"/>
  <c r="CY498" i="3"/>
  <c r="CZ498" i="3"/>
  <c r="DB498" i="3" s="1"/>
  <c r="DA498" i="3"/>
  <c r="DC498" i="3"/>
  <c r="A499" i="3"/>
  <c r="CY499" i="3"/>
  <c r="CZ499" i="3"/>
  <c r="DA499" i="3"/>
  <c r="DB499" i="3"/>
  <c r="DC499" i="3"/>
  <c r="A500" i="3"/>
  <c r="CY500" i="3"/>
  <c r="CZ500" i="3"/>
  <c r="DB500" i="3" s="1"/>
  <c r="DA500" i="3"/>
  <c r="DC500" i="3"/>
  <c r="A501" i="3"/>
  <c r="CY501" i="3"/>
  <c r="CZ501" i="3"/>
  <c r="DB501" i="3" s="1"/>
  <c r="DA501" i="3"/>
  <c r="DC501" i="3"/>
  <c r="A502" i="3"/>
  <c r="CY502" i="3"/>
  <c r="CZ502" i="3"/>
  <c r="DA502" i="3"/>
  <c r="DB502" i="3"/>
  <c r="DC502" i="3"/>
  <c r="A503" i="3"/>
  <c r="CY503" i="3"/>
  <c r="CZ503" i="3"/>
  <c r="DB503" i="3" s="1"/>
  <c r="DA503" i="3"/>
  <c r="DC503" i="3"/>
  <c r="A504" i="3"/>
  <c r="CY504" i="3"/>
  <c r="CZ504" i="3"/>
  <c r="DB504" i="3" s="1"/>
  <c r="DA504" i="3"/>
  <c r="DC504" i="3"/>
  <c r="A505" i="3"/>
  <c r="CY505" i="3"/>
  <c r="CZ505" i="3"/>
  <c r="DB505" i="3" s="1"/>
  <c r="DA505" i="3"/>
  <c r="DC505" i="3"/>
  <c r="A506" i="3"/>
  <c r="CY506" i="3"/>
  <c r="CZ506" i="3"/>
  <c r="DB506" i="3" s="1"/>
  <c r="DA506" i="3"/>
  <c r="DC506" i="3"/>
  <c r="A507" i="3"/>
  <c r="CY507" i="3"/>
  <c r="CZ507" i="3"/>
  <c r="DA507" i="3"/>
  <c r="DB507" i="3"/>
  <c r="DC507" i="3"/>
  <c r="A508" i="3"/>
  <c r="CY508" i="3"/>
  <c r="CZ508" i="3"/>
  <c r="DB508" i="3" s="1"/>
  <c r="DA508" i="3"/>
  <c r="DC508" i="3"/>
  <c r="A509" i="3"/>
  <c r="CY509" i="3"/>
  <c r="CZ509" i="3"/>
  <c r="DB509" i="3" s="1"/>
  <c r="DA509" i="3"/>
  <c r="DC509" i="3"/>
  <c r="A510" i="3"/>
  <c r="CY510" i="3"/>
  <c r="CZ510" i="3"/>
  <c r="DA510" i="3"/>
  <c r="DB510" i="3"/>
  <c r="DC510" i="3"/>
  <c r="A511" i="3"/>
  <c r="CY511" i="3"/>
  <c r="CZ511" i="3"/>
  <c r="DB511" i="3" s="1"/>
  <c r="DA511" i="3"/>
  <c r="DC511" i="3"/>
  <c r="A512" i="3"/>
  <c r="CY512" i="3"/>
  <c r="CZ512" i="3"/>
  <c r="DB512" i="3" s="1"/>
  <c r="DA512" i="3"/>
  <c r="DC512" i="3"/>
  <c r="A513" i="3"/>
  <c r="CY513" i="3"/>
  <c r="CZ513" i="3"/>
  <c r="DB513" i="3" s="1"/>
  <c r="DA513" i="3"/>
  <c r="DC513" i="3"/>
  <c r="A514" i="3"/>
  <c r="CY514" i="3"/>
  <c r="CZ514" i="3"/>
  <c r="DB514" i="3" s="1"/>
  <c r="DA514" i="3"/>
  <c r="DC514" i="3"/>
  <c r="A515" i="3"/>
  <c r="CY515" i="3"/>
  <c r="CZ515" i="3"/>
  <c r="DA515" i="3"/>
  <c r="DB515" i="3"/>
  <c r="DC515" i="3"/>
  <c r="A516" i="3"/>
  <c r="CY516" i="3"/>
  <c r="CZ516" i="3"/>
  <c r="DB516" i="3" s="1"/>
  <c r="DA516" i="3"/>
  <c r="DC516" i="3"/>
  <c r="A517" i="3"/>
  <c r="CY517" i="3"/>
  <c r="CZ517" i="3"/>
  <c r="DB517" i="3" s="1"/>
  <c r="DA517" i="3"/>
  <c r="DC517" i="3"/>
  <c r="A518" i="3"/>
  <c r="CY518" i="3"/>
  <c r="CZ518" i="3"/>
  <c r="DA518" i="3"/>
  <c r="DB518" i="3"/>
  <c r="DC518" i="3"/>
  <c r="A519" i="3"/>
  <c r="CY519" i="3"/>
  <c r="CZ519" i="3"/>
  <c r="DB519" i="3" s="1"/>
  <c r="DA519" i="3"/>
  <c r="DC519" i="3"/>
  <c r="A520" i="3"/>
  <c r="CY520" i="3"/>
  <c r="CZ520" i="3"/>
  <c r="DB520" i="3" s="1"/>
  <c r="DA520" i="3"/>
  <c r="DC520" i="3"/>
  <c r="A521" i="3"/>
  <c r="CY521" i="3"/>
  <c r="CZ521" i="3"/>
  <c r="DB521" i="3" s="1"/>
  <c r="DA521" i="3"/>
  <c r="DC521" i="3"/>
  <c r="A522" i="3"/>
  <c r="CY522" i="3"/>
  <c r="CZ522" i="3"/>
  <c r="DB522" i="3" s="1"/>
  <c r="DA522" i="3"/>
  <c r="DC522" i="3"/>
  <c r="A523" i="3"/>
  <c r="CY523" i="3"/>
  <c r="CZ523" i="3"/>
  <c r="DA523" i="3"/>
  <c r="DB523" i="3"/>
  <c r="DC523" i="3"/>
  <c r="A524" i="3"/>
  <c r="CY524" i="3"/>
  <c r="CZ524" i="3"/>
  <c r="DB524" i="3" s="1"/>
  <c r="DA524" i="3"/>
  <c r="DC524" i="3"/>
  <c r="A525" i="3"/>
  <c r="CY525" i="3"/>
  <c r="CZ525" i="3"/>
  <c r="DB525" i="3" s="1"/>
  <c r="DA525" i="3"/>
  <c r="DC525" i="3"/>
  <c r="A526" i="3"/>
  <c r="CY526" i="3"/>
  <c r="CZ526" i="3"/>
  <c r="DA526" i="3"/>
  <c r="DB526" i="3"/>
  <c r="DC526" i="3"/>
  <c r="A527" i="3"/>
  <c r="CY527" i="3"/>
  <c r="CZ527" i="3"/>
  <c r="DB527" i="3" s="1"/>
  <c r="DA527" i="3"/>
  <c r="DC527" i="3"/>
  <c r="A528" i="3"/>
  <c r="CY528" i="3"/>
  <c r="CZ528" i="3"/>
  <c r="DB528" i="3" s="1"/>
  <c r="DA528" i="3"/>
  <c r="DC528" i="3"/>
  <c r="A529" i="3"/>
  <c r="CY529" i="3"/>
  <c r="CZ529" i="3"/>
  <c r="DB529" i="3" s="1"/>
  <c r="DA529" i="3"/>
  <c r="DC529" i="3"/>
  <c r="A530" i="3"/>
  <c r="CY530" i="3"/>
  <c r="CZ530" i="3"/>
  <c r="DB530" i="3" s="1"/>
  <c r="DA530" i="3"/>
  <c r="DC530" i="3"/>
  <c r="A531" i="3"/>
  <c r="CY531" i="3"/>
  <c r="CZ531" i="3"/>
  <c r="DA531" i="3"/>
  <c r="DB531" i="3"/>
  <c r="DC531" i="3"/>
  <c r="A532" i="3"/>
  <c r="CY532" i="3"/>
  <c r="CZ532" i="3"/>
  <c r="DB532" i="3" s="1"/>
  <c r="DA532" i="3"/>
  <c r="DC532" i="3"/>
  <c r="A533" i="3"/>
  <c r="CY533" i="3"/>
  <c r="CZ533" i="3"/>
  <c r="DB533" i="3" s="1"/>
  <c r="DA533" i="3"/>
  <c r="DC533" i="3"/>
  <c r="A534" i="3"/>
  <c r="CY534" i="3"/>
  <c r="CZ534" i="3"/>
  <c r="DA534" i="3"/>
  <c r="DB534" i="3"/>
  <c r="DC534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AE24" i="1"/>
  <c r="CS24" i="1" s="1"/>
  <c r="AF24" i="1"/>
  <c r="CT24" i="1" s="1"/>
  <c r="AG24" i="1"/>
  <c r="CU24" i="1" s="1"/>
  <c r="AH24" i="1"/>
  <c r="AI24" i="1"/>
  <c r="CW24" i="1" s="1"/>
  <c r="AJ24" i="1"/>
  <c r="CX24" i="1" s="1"/>
  <c r="CV24" i="1"/>
  <c r="U24" i="1" s="1"/>
  <c r="FR24" i="1"/>
  <c r="GL24" i="1"/>
  <c r="GO24" i="1"/>
  <c r="GP24" i="1"/>
  <c r="GV24" i="1"/>
  <c r="HC24" i="1" s="1"/>
  <c r="C25" i="1"/>
  <c r="D25" i="1"/>
  <c r="I25" i="1"/>
  <c r="AC25" i="1"/>
  <c r="CQ25" i="1" s="1"/>
  <c r="P25" i="1" s="1"/>
  <c r="U38" i="6" s="1"/>
  <c r="AE25" i="1"/>
  <c r="H31" i="5" s="1"/>
  <c r="R31" i="5" s="1"/>
  <c r="AF25" i="1"/>
  <c r="AG25" i="1"/>
  <c r="AH25" i="1"/>
  <c r="CV25" i="1" s="1"/>
  <c r="U25" i="1" s="1"/>
  <c r="AI25" i="1"/>
  <c r="CW25" i="1" s="1"/>
  <c r="V25" i="1" s="1"/>
  <c r="Z38" i="6" s="1"/>
  <c r="AJ25" i="1"/>
  <c r="CX25" i="1" s="1"/>
  <c r="W25" i="1" s="1"/>
  <c r="CT25" i="1"/>
  <c r="S25" i="1" s="1"/>
  <c r="CU25" i="1"/>
  <c r="T25" i="1" s="1"/>
  <c r="FR25" i="1"/>
  <c r="GL25" i="1"/>
  <c r="GO25" i="1"/>
  <c r="GP25" i="1"/>
  <c r="GV25" i="1"/>
  <c r="HC25" i="1" s="1"/>
  <c r="GX25" i="1" s="1"/>
  <c r="C26" i="1"/>
  <c r="D26" i="1"/>
  <c r="I26" i="1"/>
  <c r="W26" i="1"/>
  <c r="AC26" i="1"/>
  <c r="AE26" i="1"/>
  <c r="CS26" i="1" s="1"/>
  <c r="R26" i="1" s="1"/>
  <c r="AF26" i="1"/>
  <c r="CT26" i="1" s="1"/>
  <c r="S26" i="1" s="1"/>
  <c r="AG26" i="1"/>
  <c r="CU26" i="1" s="1"/>
  <c r="T26" i="1" s="1"/>
  <c r="AH26" i="1"/>
  <c r="AI26" i="1"/>
  <c r="CW26" i="1" s="1"/>
  <c r="V26" i="1" s="1"/>
  <c r="AJ26" i="1"/>
  <c r="CQ26" i="1"/>
  <c r="P26" i="1" s="1"/>
  <c r="CV26" i="1"/>
  <c r="U26" i="1" s="1"/>
  <c r="CX26" i="1"/>
  <c r="FR26" i="1"/>
  <c r="GK26" i="1"/>
  <c r="GL26" i="1"/>
  <c r="GO26" i="1"/>
  <c r="GP26" i="1"/>
  <c r="GV26" i="1"/>
  <c r="HC26" i="1"/>
  <c r="GX26" i="1" s="1"/>
  <c r="C27" i="1"/>
  <c r="D27" i="1"/>
  <c r="I27" i="1"/>
  <c r="AC27" i="1"/>
  <c r="AE27" i="1"/>
  <c r="AF27" i="1"/>
  <c r="AG27" i="1"/>
  <c r="CU27" i="1" s="1"/>
  <c r="T27" i="1" s="1"/>
  <c r="AH27" i="1"/>
  <c r="AI27" i="1"/>
  <c r="CW27" i="1" s="1"/>
  <c r="V27" i="1" s="1"/>
  <c r="Z49" i="6" s="1"/>
  <c r="AJ27" i="1"/>
  <c r="CX27" i="1" s="1"/>
  <c r="W27" i="1" s="1"/>
  <c r="CV27" i="1"/>
  <c r="U27" i="1" s="1"/>
  <c r="FR27" i="1"/>
  <c r="GL27" i="1"/>
  <c r="GO27" i="1"/>
  <c r="GP27" i="1"/>
  <c r="GV27" i="1"/>
  <c r="HC27" i="1"/>
  <c r="GX27" i="1" s="1"/>
  <c r="I28" i="1"/>
  <c r="AC28" i="1"/>
  <c r="CQ28" i="1" s="1"/>
  <c r="AE28" i="1"/>
  <c r="AD28" i="1" s="1"/>
  <c r="CR28" i="1" s="1"/>
  <c r="AF28" i="1"/>
  <c r="CT28" i="1" s="1"/>
  <c r="S28" i="1" s="1"/>
  <c r="AG28" i="1"/>
  <c r="CU28" i="1" s="1"/>
  <c r="AH28" i="1"/>
  <c r="AI28" i="1"/>
  <c r="CW28" i="1" s="1"/>
  <c r="AJ28" i="1"/>
  <c r="CX28" i="1" s="1"/>
  <c r="W28" i="1" s="1"/>
  <c r="CV28" i="1"/>
  <c r="FR28" i="1"/>
  <c r="GL28" i="1"/>
  <c r="GO28" i="1"/>
  <c r="GP28" i="1"/>
  <c r="GV28" i="1"/>
  <c r="HC28" i="1" s="1"/>
  <c r="I29" i="1"/>
  <c r="AC29" i="1"/>
  <c r="AE29" i="1"/>
  <c r="AD29" i="1" s="1"/>
  <c r="CR29" i="1" s="1"/>
  <c r="Q29" i="1" s="1"/>
  <c r="W65" i="6" s="1"/>
  <c r="AF29" i="1"/>
  <c r="AG29" i="1"/>
  <c r="AH29" i="1"/>
  <c r="CV29" i="1" s="1"/>
  <c r="U29" i="1" s="1"/>
  <c r="Y65" i="6" s="1"/>
  <c r="AI29" i="1"/>
  <c r="CW29" i="1" s="1"/>
  <c r="V29" i="1" s="1"/>
  <c r="Z65" i="6" s="1"/>
  <c r="AJ29" i="1"/>
  <c r="CX29" i="1" s="1"/>
  <c r="W29" i="1" s="1"/>
  <c r="CU29" i="1"/>
  <c r="T29" i="1" s="1"/>
  <c r="FR29" i="1"/>
  <c r="GL29" i="1"/>
  <c r="GO29" i="1"/>
  <c r="GP29" i="1"/>
  <c r="GV29" i="1"/>
  <c r="HC29" i="1" s="1"/>
  <c r="GX29" i="1" s="1"/>
  <c r="C30" i="1"/>
  <c r="D30" i="1"/>
  <c r="I30" i="1"/>
  <c r="R30" i="1"/>
  <c r="GK30" i="1" s="1"/>
  <c r="AC30" i="1"/>
  <c r="AE30" i="1"/>
  <c r="AD30" i="1" s="1"/>
  <c r="CR30" i="1" s="1"/>
  <c r="Q30" i="1" s="1"/>
  <c r="AF30" i="1"/>
  <c r="CT30" i="1" s="1"/>
  <c r="AG30" i="1"/>
  <c r="AH30" i="1"/>
  <c r="AI30" i="1"/>
  <c r="CW30" i="1" s="1"/>
  <c r="V30" i="1" s="1"/>
  <c r="AJ30" i="1"/>
  <c r="CX30" i="1" s="1"/>
  <c r="CQ30" i="1"/>
  <c r="CS30" i="1"/>
  <c r="CU30" i="1"/>
  <c r="CV30" i="1"/>
  <c r="FR30" i="1"/>
  <c r="GL30" i="1"/>
  <c r="GO30" i="1"/>
  <c r="GP30" i="1"/>
  <c r="GV30" i="1"/>
  <c r="HC30" i="1" s="1"/>
  <c r="GX30" i="1" s="1"/>
  <c r="C31" i="1"/>
  <c r="D31" i="1"/>
  <c r="I31" i="1"/>
  <c r="AC31" i="1"/>
  <c r="H52" i="5" s="1"/>
  <c r="AE31" i="1"/>
  <c r="AF31" i="1"/>
  <c r="AG31" i="1"/>
  <c r="AH31" i="1"/>
  <c r="CV31" i="1" s="1"/>
  <c r="AI31" i="1"/>
  <c r="CW31" i="1" s="1"/>
  <c r="V31" i="1" s="1"/>
  <c r="Z67" i="6" s="1"/>
  <c r="AJ31" i="1"/>
  <c r="CX31" i="1" s="1"/>
  <c r="CU31" i="1"/>
  <c r="FR31" i="1"/>
  <c r="GL31" i="1"/>
  <c r="GO31" i="1"/>
  <c r="GP31" i="1"/>
  <c r="GV31" i="1"/>
  <c r="HC31" i="1" s="1"/>
  <c r="GX31" i="1"/>
  <c r="AC32" i="1"/>
  <c r="AD32" i="1"/>
  <c r="CR32" i="1" s="1"/>
  <c r="AE32" i="1"/>
  <c r="AF32" i="1"/>
  <c r="CT32" i="1" s="1"/>
  <c r="AG32" i="1"/>
  <c r="CU32" i="1" s="1"/>
  <c r="AH32" i="1"/>
  <c r="CV32" i="1" s="1"/>
  <c r="AI32" i="1"/>
  <c r="AJ32" i="1"/>
  <c r="CX32" i="1" s="1"/>
  <c r="CQ32" i="1"/>
  <c r="CS32" i="1"/>
  <c r="CW32" i="1"/>
  <c r="FR32" i="1"/>
  <c r="GL32" i="1"/>
  <c r="GO32" i="1"/>
  <c r="GP32" i="1"/>
  <c r="GV32" i="1"/>
  <c r="HC32" i="1"/>
  <c r="AB33" i="1"/>
  <c r="G83" i="6" s="1"/>
  <c r="AC33" i="1"/>
  <c r="AE33" i="1"/>
  <c r="AD33" i="1" s="1"/>
  <c r="AF33" i="1"/>
  <c r="AG33" i="1"/>
  <c r="CU33" i="1" s="1"/>
  <c r="AH33" i="1"/>
  <c r="AI33" i="1"/>
  <c r="AJ33" i="1"/>
  <c r="CX33" i="1" s="1"/>
  <c r="CQ33" i="1"/>
  <c r="CR33" i="1"/>
  <c r="CS33" i="1"/>
  <c r="CV33" i="1"/>
  <c r="CW33" i="1"/>
  <c r="FR33" i="1"/>
  <c r="GL33" i="1"/>
  <c r="GO33" i="1"/>
  <c r="GP33" i="1"/>
  <c r="GV33" i="1"/>
  <c r="HC33" i="1" s="1"/>
  <c r="C34" i="1"/>
  <c r="D34" i="1"/>
  <c r="I34" i="1"/>
  <c r="AC34" i="1"/>
  <c r="AE34" i="1"/>
  <c r="AD34" i="1" s="1"/>
  <c r="AF34" i="1"/>
  <c r="CT34" i="1" s="1"/>
  <c r="AG34" i="1"/>
  <c r="CU34" i="1" s="1"/>
  <c r="AH34" i="1"/>
  <c r="CV34" i="1" s="1"/>
  <c r="U34" i="1" s="1"/>
  <c r="AI34" i="1"/>
  <c r="AJ34" i="1"/>
  <c r="CX34" i="1" s="1"/>
  <c r="CR34" i="1"/>
  <c r="Q34" i="1" s="1"/>
  <c r="CS34" i="1"/>
  <c r="R34" i="1" s="1"/>
  <c r="GK34" i="1" s="1"/>
  <c r="CW34" i="1"/>
  <c r="V34" i="1" s="1"/>
  <c r="FR34" i="1"/>
  <c r="GL34" i="1"/>
  <c r="GO34" i="1"/>
  <c r="GP34" i="1"/>
  <c r="GV34" i="1"/>
  <c r="HC34" i="1" s="1"/>
  <c r="GX34" i="1" s="1"/>
  <c r="C35" i="1"/>
  <c r="D35" i="1"/>
  <c r="I35" i="1"/>
  <c r="AC35" i="1"/>
  <c r="AE35" i="1"/>
  <c r="AF35" i="1"/>
  <c r="AG35" i="1"/>
  <c r="AH35" i="1"/>
  <c r="CV35" i="1" s="1"/>
  <c r="U35" i="1" s="1"/>
  <c r="AI35" i="1"/>
  <c r="CW35" i="1" s="1"/>
  <c r="V35" i="1" s="1"/>
  <c r="Z85" i="6" s="1"/>
  <c r="AJ35" i="1"/>
  <c r="CX35" i="1" s="1"/>
  <c r="CQ35" i="1"/>
  <c r="CU35" i="1"/>
  <c r="T35" i="1" s="1"/>
  <c r="FR35" i="1"/>
  <c r="GL35" i="1"/>
  <c r="GO35" i="1"/>
  <c r="GP35" i="1"/>
  <c r="GV35" i="1"/>
  <c r="HC35" i="1" s="1"/>
  <c r="GX35" i="1" s="1"/>
  <c r="I36" i="1"/>
  <c r="AC36" i="1"/>
  <c r="CQ36" i="1" s="1"/>
  <c r="AE36" i="1"/>
  <c r="AF36" i="1"/>
  <c r="AG36" i="1"/>
  <c r="AH36" i="1"/>
  <c r="CV36" i="1" s="1"/>
  <c r="AI36" i="1"/>
  <c r="CW36" i="1" s="1"/>
  <c r="AJ36" i="1"/>
  <c r="CX36" i="1" s="1"/>
  <c r="CT36" i="1"/>
  <c r="CU36" i="1"/>
  <c r="T36" i="1" s="1"/>
  <c r="FR36" i="1"/>
  <c r="GL36" i="1"/>
  <c r="GO36" i="1"/>
  <c r="GP36" i="1"/>
  <c r="GV36" i="1"/>
  <c r="HC36" i="1"/>
  <c r="GX36" i="1" s="1"/>
  <c r="AC37" i="1"/>
  <c r="AE37" i="1"/>
  <c r="AD37" i="1" s="1"/>
  <c r="CR37" i="1" s="1"/>
  <c r="AF37" i="1"/>
  <c r="AG37" i="1"/>
  <c r="AH37" i="1"/>
  <c r="AI37" i="1"/>
  <c r="CW37" i="1" s="1"/>
  <c r="AJ37" i="1"/>
  <c r="CX37" i="1" s="1"/>
  <c r="CQ37" i="1"/>
  <c r="CS37" i="1"/>
  <c r="CU37" i="1"/>
  <c r="CV37" i="1"/>
  <c r="FR37" i="1"/>
  <c r="GL37" i="1"/>
  <c r="GO37" i="1"/>
  <c r="GP37" i="1"/>
  <c r="GV37" i="1"/>
  <c r="HC37" i="1" s="1"/>
  <c r="I38" i="1"/>
  <c r="T38" i="1" s="1"/>
  <c r="AC38" i="1"/>
  <c r="AE38" i="1"/>
  <c r="AF38" i="1"/>
  <c r="AG38" i="1"/>
  <c r="AH38" i="1"/>
  <c r="CV38" i="1" s="1"/>
  <c r="AI38" i="1"/>
  <c r="CW38" i="1" s="1"/>
  <c r="V38" i="1" s="1"/>
  <c r="AJ38" i="1"/>
  <c r="CQ38" i="1"/>
  <c r="CT38" i="1"/>
  <c r="S38" i="1" s="1"/>
  <c r="CU38" i="1"/>
  <c r="CX38" i="1"/>
  <c r="FR38" i="1"/>
  <c r="GL38" i="1"/>
  <c r="GO38" i="1"/>
  <c r="GP38" i="1"/>
  <c r="GV38" i="1"/>
  <c r="HC38" i="1" s="1"/>
  <c r="AC39" i="1"/>
  <c r="AE39" i="1"/>
  <c r="AD39" i="1" s="1"/>
  <c r="AF39" i="1"/>
  <c r="AG39" i="1"/>
  <c r="CU39" i="1" s="1"/>
  <c r="AH39" i="1"/>
  <c r="AI39" i="1"/>
  <c r="CW39" i="1" s="1"/>
  <c r="AJ39" i="1"/>
  <c r="CX39" i="1" s="1"/>
  <c r="CQ39" i="1"/>
  <c r="CS39" i="1"/>
  <c r="CV39" i="1"/>
  <c r="FR39" i="1"/>
  <c r="GL39" i="1"/>
  <c r="GO39" i="1"/>
  <c r="GP39" i="1"/>
  <c r="GV39" i="1"/>
  <c r="HC39" i="1" s="1"/>
  <c r="I40" i="1"/>
  <c r="S40" i="1"/>
  <c r="AC40" i="1"/>
  <c r="AE40" i="1"/>
  <c r="AF40" i="1"/>
  <c r="AG40" i="1"/>
  <c r="AH40" i="1"/>
  <c r="CV40" i="1" s="1"/>
  <c r="U40" i="1" s="1"/>
  <c r="AI40" i="1"/>
  <c r="CW40" i="1" s="1"/>
  <c r="V40" i="1" s="1"/>
  <c r="AJ40" i="1"/>
  <c r="CQ40" i="1"/>
  <c r="P40" i="1" s="1"/>
  <c r="CT40" i="1"/>
  <c r="CU40" i="1"/>
  <c r="T40" i="1" s="1"/>
  <c r="CX40" i="1"/>
  <c r="W40" i="1" s="1"/>
  <c r="FR40" i="1"/>
  <c r="GL40" i="1"/>
  <c r="GO40" i="1"/>
  <c r="GP40" i="1"/>
  <c r="GV40" i="1"/>
  <c r="HC40" i="1"/>
  <c r="GX40" i="1" s="1"/>
  <c r="I41" i="1"/>
  <c r="AC41" i="1"/>
  <c r="AE41" i="1"/>
  <c r="AD41" i="1" s="1"/>
  <c r="AF41" i="1"/>
  <c r="AG41" i="1"/>
  <c r="CU41" i="1" s="1"/>
  <c r="T41" i="1" s="1"/>
  <c r="AH41" i="1"/>
  <c r="CV41" i="1" s="1"/>
  <c r="AI41" i="1"/>
  <c r="CW41" i="1" s="1"/>
  <c r="AJ41" i="1"/>
  <c r="CX41" i="1" s="1"/>
  <c r="CQ41" i="1"/>
  <c r="FR41" i="1"/>
  <c r="GL41" i="1"/>
  <c r="GO41" i="1"/>
  <c r="GP41" i="1"/>
  <c r="GV41" i="1"/>
  <c r="HC41" i="1" s="1"/>
  <c r="GX41" i="1" s="1"/>
  <c r="C42" i="1"/>
  <c r="D42" i="1"/>
  <c r="I42" i="1"/>
  <c r="AC42" i="1"/>
  <c r="CQ42" i="1" s="1"/>
  <c r="AE42" i="1"/>
  <c r="AD42" i="1" s="1"/>
  <c r="AF42" i="1"/>
  <c r="CT42" i="1" s="1"/>
  <c r="AG42" i="1"/>
  <c r="CU42" i="1" s="1"/>
  <c r="T42" i="1" s="1"/>
  <c r="AH42" i="1"/>
  <c r="CV42" i="1" s="1"/>
  <c r="U42" i="1" s="1"/>
  <c r="AI42" i="1"/>
  <c r="CW42" i="1" s="1"/>
  <c r="AJ42" i="1"/>
  <c r="CX42" i="1" s="1"/>
  <c r="CS42" i="1"/>
  <c r="R42" i="1" s="1"/>
  <c r="GK42" i="1" s="1"/>
  <c r="FR42" i="1"/>
  <c r="GL42" i="1"/>
  <c r="GO42" i="1"/>
  <c r="GP42" i="1"/>
  <c r="GV42" i="1"/>
  <c r="HC42" i="1" s="1"/>
  <c r="GX42" i="1" s="1"/>
  <c r="C43" i="1"/>
  <c r="D43" i="1"/>
  <c r="I43" i="1"/>
  <c r="AC43" i="1"/>
  <c r="H74" i="5" s="1"/>
  <c r="AE43" i="1"/>
  <c r="AF43" i="1"/>
  <c r="AG43" i="1"/>
  <c r="AH43" i="1"/>
  <c r="CV43" i="1" s="1"/>
  <c r="U43" i="1" s="1"/>
  <c r="AI43" i="1"/>
  <c r="CW43" i="1" s="1"/>
  <c r="V43" i="1" s="1"/>
  <c r="Z107" i="6" s="1"/>
  <c r="AJ43" i="1"/>
  <c r="CX43" i="1" s="1"/>
  <c r="CU43" i="1"/>
  <c r="T43" i="1" s="1"/>
  <c r="FR43" i="1"/>
  <c r="GL43" i="1"/>
  <c r="GO43" i="1"/>
  <c r="GP43" i="1"/>
  <c r="GV43" i="1"/>
  <c r="HC43" i="1" s="1"/>
  <c r="GX43" i="1" s="1"/>
  <c r="AC44" i="1"/>
  <c r="AE44" i="1"/>
  <c r="AF44" i="1"/>
  <c r="AG44" i="1"/>
  <c r="AH44" i="1"/>
  <c r="CV44" i="1" s="1"/>
  <c r="AI44" i="1"/>
  <c r="CW44" i="1" s="1"/>
  <c r="AJ44" i="1"/>
  <c r="CX44" i="1" s="1"/>
  <c r="CT44" i="1"/>
  <c r="CU44" i="1"/>
  <c r="FR44" i="1"/>
  <c r="GL44" i="1"/>
  <c r="GO44" i="1"/>
  <c r="GP44" i="1"/>
  <c r="GV44" i="1"/>
  <c r="HC44" i="1"/>
  <c r="AC45" i="1"/>
  <c r="AE45" i="1"/>
  <c r="AD45" i="1" s="1"/>
  <c r="AF45" i="1"/>
  <c r="AG45" i="1"/>
  <c r="CU45" i="1" s="1"/>
  <c r="AH45" i="1"/>
  <c r="CV45" i="1" s="1"/>
  <c r="AI45" i="1"/>
  <c r="AJ45" i="1"/>
  <c r="CX45" i="1" s="1"/>
  <c r="CS45" i="1"/>
  <c r="CW45" i="1"/>
  <c r="FR45" i="1"/>
  <c r="GL45" i="1"/>
  <c r="GO45" i="1"/>
  <c r="GP45" i="1"/>
  <c r="GV45" i="1"/>
  <c r="HC45" i="1" s="1"/>
  <c r="C46" i="1"/>
  <c r="D46" i="1"/>
  <c r="AC46" i="1"/>
  <c r="CQ46" i="1" s="1"/>
  <c r="P46" i="1" s="1"/>
  <c r="AE46" i="1"/>
  <c r="AD46" i="1" s="1"/>
  <c r="AF46" i="1"/>
  <c r="AG46" i="1"/>
  <c r="CU46" i="1" s="1"/>
  <c r="T46" i="1" s="1"/>
  <c r="AH46" i="1"/>
  <c r="CV46" i="1" s="1"/>
  <c r="U46" i="1" s="1"/>
  <c r="AI46" i="1"/>
  <c r="CW46" i="1" s="1"/>
  <c r="V46" i="1" s="1"/>
  <c r="AJ46" i="1"/>
  <c r="CX46" i="1" s="1"/>
  <c r="W46" i="1" s="1"/>
  <c r="CS46" i="1"/>
  <c r="R46" i="1" s="1"/>
  <c r="GK46" i="1" s="1"/>
  <c r="CT46" i="1"/>
  <c r="S46" i="1" s="1"/>
  <c r="FR46" i="1"/>
  <c r="GL46" i="1"/>
  <c r="GO46" i="1"/>
  <c r="GP46" i="1"/>
  <c r="GV46" i="1"/>
  <c r="HC46" i="1" s="1"/>
  <c r="GX46" i="1" s="1"/>
  <c r="C47" i="1"/>
  <c r="D47" i="1"/>
  <c r="AC47" i="1"/>
  <c r="AD47" i="1"/>
  <c r="AE47" i="1"/>
  <c r="H83" i="5" s="1"/>
  <c r="R83" i="5" s="1"/>
  <c r="AF47" i="1"/>
  <c r="AG47" i="1"/>
  <c r="CU47" i="1" s="1"/>
  <c r="T47" i="1" s="1"/>
  <c r="AH47" i="1"/>
  <c r="CV47" i="1" s="1"/>
  <c r="U47" i="1" s="1"/>
  <c r="AI47" i="1"/>
  <c r="AJ47" i="1"/>
  <c r="CQ47" i="1"/>
  <c r="P47" i="1" s="1"/>
  <c r="CS47" i="1"/>
  <c r="R47" i="1" s="1"/>
  <c r="CT47" i="1"/>
  <c r="S47" i="1" s="1"/>
  <c r="CW47" i="1"/>
  <c r="V47" i="1" s="1"/>
  <c r="Z125" i="6" s="1"/>
  <c r="CX47" i="1"/>
  <c r="W47" i="1" s="1"/>
  <c r="FR47" i="1"/>
  <c r="GL47" i="1"/>
  <c r="GO47" i="1"/>
  <c r="GP47" i="1"/>
  <c r="GV47" i="1"/>
  <c r="HC47" i="1"/>
  <c r="GX47" i="1" s="1"/>
  <c r="C48" i="1"/>
  <c r="D48" i="1"/>
  <c r="I48" i="1"/>
  <c r="I52" i="1" s="1"/>
  <c r="AC48" i="1"/>
  <c r="AE48" i="1"/>
  <c r="AF48" i="1"/>
  <c r="AG48" i="1"/>
  <c r="AH48" i="1"/>
  <c r="CV48" i="1" s="1"/>
  <c r="U48" i="1" s="1"/>
  <c r="AI48" i="1"/>
  <c r="CW48" i="1" s="1"/>
  <c r="V48" i="1" s="1"/>
  <c r="AJ48" i="1"/>
  <c r="CQ48" i="1"/>
  <c r="P48" i="1" s="1"/>
  <c r="CT48" i="1"/>
  <c r="S48" i="1" s="1"/>
  <c r="CU48" i="1"/>
  <c r="T48" i="1" s="1"/>
  <c r="CX48" i="1"/>
  <c r="W48" i="1" s="1"/>
  <c r="FR48" i="1"/>
  <c r="GL48" i="1"/>
  <c r="GO48" i="1"/>
  <c r="GP48" i="1"/>
  <c r="GV48" i="1"/>
  <c r="HC48" i="1"/>
  <c r="GX48" i="1" s="1"/>
  <c r="C49" i="1"/>
  <c r="D49" i="1"/>
  <c r="I49" i="1"/>
  <c r="V49" i="1"/>
  <c r="Z141" i="6" s="1"/>
  <c r="AC49" i="1"/>
  <c r="H93" i="5" s="1"/>
  <c r="AE49" i="1"/>
  <c r="H92" i="5" s="1"/>
  <c r="R92" i="5" s="1"/>
  <c r="AF49" i="1"/>
  <c r="CT49" i="1" s="1"/>
  <c r="S49" i="1" s="1"/>
  <c r="AG49" i="1"/>
  <c r="CU49" i="1" s="1"/>
  <c r="T49" i="1" s="1"/>
  <c r="AH49" i="1"/>
  <c r="CV49" i="1" s="1"/>
  <c r="U49" i="1" s="1"/>
  <c r="AI49" i="1"/>
  <c r="AJ49" i="1"/>
  <c r="CX49" i="1" s="1"/>
  <c r="W49" i="1" s="1"/>
  <c r="CS49" i="1"/>
  <c r="R49" i="1" s="1"/>
  <c r="CW49" i="1"/>
  <c r="FR49" i="1"/>
  <c r="GL49" i="1"/>
  <c r="GO49" i="1"/>
  <c r="GP49" i="1"/>
  <c r="GV49" i="1"/>
  <c r="HC49" i="1" s="1"/>
  <c r="GX49" i="1" s="1"/>
  <c r="I50" i="1"/>
  <c r="AC50" i="1"/>
  <c r="AE50" i="1"/>
  <c r="AD50" i="1" s="1"/>
  <c r="AF50" i="1"/>
  <c r="CT50" i="1" s="1"/>
  <c r="AG50" i="1"/>
  <c r="AH50" i="1"/>
  <c r="CV50" i="1" s="1"/>
  <c r="U50" i="1" s="1"/>
  <c r="AI50" i="1"/>
  <c r="CW50" i="1" s="1"/>
  <c r="V50" i="1" s="1"/>
  <c r="AJ50" i="1"/>
  <c r="CX50" i="1" s="1"/>
  <c r="CQ50" i="1"/>
  <c r="CS50" i="1"/>
  <c r="R50" i="1" s="1"/>
  <c r="GK50" i="1" s="1"/>
  <c r="CU50" i="1"/>
  <c r="T50" i="1" s="1"/>
  <c r="FR50" i="1"/>
  <c r="GL50" i="1"/>
  <c r="GO50" i="1"/>
  <c r="GP50" i="1"/>
  <c r="GV50" i="1"/>
  <c r="HC50" i="1" s="1"/>
  <c r="GX50" i="1" s="1"/>
  <c r="I51" i="1"/>
  <c r="AC51" i="1"/>
  <c r="AE51" i="1"/>
  <c r="AD51" i="1" s="1"/>
  <c r="CR51" i="1" s="1"/>
  <c r="AF51" i="1"/>
  <c r="CT51" i="1" s="1"/>
  <c r="S51" i="1" s="1"/>
  <c r="V150" i="6" s="1"/>
  <c r="AG51" i="1"/>
  <c r="CU51" i="1" s="1"/>
  <c r="T51" i="1" s="1"/>
  <c r="AH51" i="1"/>
  <c r="CV51" i="1" s="1"/>
  <c r="AI51" i="1"/>
  <c r="AJ51" i="1"/>
  <c r="CX51" i="1" s="1"/>
  <c r="W51" i="1" s="1"/>
  <c r="CS51" i="1"/>
  <c r="R51" i="1" s="1"/>
  <c r="CW51" i="1"/>
  <c r="FR51" i="1"/>
  <c r="GL51" i="1"/>
  <c r="GO51" i="1"/>
  <c r="GP51" i="1"/>
  <c r="GV51" i="1"/>
  <c r="HC51" i="1" s="1"/>
  <c r="GX51" i="1" s="1"/>
  <c r="AC52" i="1"/>
  <c r="AE52" i="1"/>
  <c r="AD52" i="1" s="1"/>
  <c r="AF52" i="1"/>
  <c r="CT52" i="1" s="1"/>
  <c r="S52" i="1" s="1"/>
  <c r="AG52" i="1"/>
  <c r="AH52" i="1"/>
  <c r="AI52" i="1"/>
  <c r="CW52" i="1" s="1"/>
  <c r="V52" i="1" s="1"/>
  <c r="AJ52" i="1"/>
  <c r="CX52" i="1" s="1"/>
  <c r="W52" i="1" s="1"/>
  <c r="CQ52" i="1"/>
  <c r="P52" i="1" s="1"/>
  <c r="CS52" i="1"/>
  <c r="R52" i="1" s="1"/>
  <c r="GK52" i="1" s="1"/>
  <c r="CU52" i="1"/>
  <c r="T52" i="1" s="1"/>
  <c r="CV52" i="1"/>
  <c r="U52" i="1" s="1"/>
  <c r="FR52" i="1"/>
  <c r="GL52" i="1"/>
  <c r="GO52" i="1"/>
  <c r="GP52" i="1"/>
  <c r="GV52" i="1"/>
  <c r="HC52" i="1" s="1"/>
  <c r="GX52" i="1" s="1"/>
  <c r="I53" i="1"/>
  <c r="AC53" i="1"/>
  <c r="AE53" i="1"/>
  <c r="AD53" i="1" s="1"/>
  <c r="AF53" i="1"/>
  <c r="AG53" i="1"/>
  <c r="CU53" i="1" s="1"/>
  <c r="T53" i="1" s="1"/>
  <c r="AH53" i="1"/>
  <c r="CV53" i="1" s="1"/>
  <c r="U53" i="1" s="1"/>
  <c r="Y152" i="6" s="1"/>
  <c r="AI53" i="1"/>
  <c r="CW53" i="1" s="1"/>
  <c r="V53" i="1" s="1"/>
  <c r="Z152" i="6" s="1"/>
  <c r="AJ53" i="1"/>
  <c r="CX53" i="1" s="1"/>
  <c r="W53" i="1" s="1"/>
  <c r="CS53" i="1"/>
  <c r="R53" i="1" s="1"/>
  <c r="FR53" i="1"/>
  <c r="GL53" i="1"/>
  <c r="GO53" i="1"/>
  <c r="GP53" i="1"/>
  <c r="GV53" i="1"/>
  <c r="HC53" i="1" s="1"/>
  <c r="GX53" i="1" s="1"/>
  <c r="C54" i="1"/>
  <c r="D54" i="1"/>
  <c r="I54" i="1"/>
  <c r="AC54" i="1"/>
  <c r="CQ54" i="1" s="1"/>
  <c r="P54" i="1" s="1"/>
  <c r="AE54" i="1"/>
  <c r="AD54" i="1" s="1"/>
  <c r="AF54" i="1"/>
  <c r="CT54" i="1" s="1"/>
  <c r="AG54" i="1"/>
  <c r="CU54" i="1" s="1"/>
  <c r="T54" i="1" s="1"/>
  <c r="AH54" i="1"/>
  <c r="CV54" i="1" s="1"/>
  <c r="U54" i="1" s="1"/>
  <c r="AI54" i="1"/>
  <c r="CW54" i="1" s="1"/>
  <c r="V54" i="1" s="1"/>
  <c r="AJ54" i="1"/>
  <c r="CX54" i="1" s="1"/>
  <c r="CS54" i="1"/>
  <c r="R54" i="1" s="1"/>
  <c r="GK54" i="1" s="1"/>
  <c r="FR54" i="1"/>
  <c r="GL54" i="1"/>
  <c r="GO54" i="1"/>
  <c r="GP54" i="1"/>
  <c r="GV54" i="1"/>
  <c r="HC54" i="1" s="1"/>
  <c r="GX54" i="1" s="1"/>
  <c r="C55" i="1"/>
  <c r="D55" i="1"/>
  <c r="I55" i="1"/>
  <c r="AC55" i="1"/>
  <c r="AE55" i="1"/>
  <c r="AF55" i="1"/>
  <c r="AG55" i="1"/>
  <c r="CU55" i="1" s="1"/>
  <c r="T55" i="1" s="1"/>
  <c r="AH55" i="1"/>
  <c r="CV55" i="1" s="1"/>
  <c r="U55" i="1" s="1"/>
  <c r="AI55" i="1"/>
  <c r="CW55" i="1" s="1"/>
  <c r="V55" i="1" s="1"/>
  <c r="Z154" i="6" s="1"/>
  <c r="AJ55" i="1"/>
  <c r="CX55" i="1" s="1"/>
  <c r="CS55" i="1"/>
  <c r="R55" i="1" s="1"/>
  <c r="FR55" i="1"/>
  <c r="GL55" i="1"/>
  <c r="GO55" i="1"/>
  <c r="GP55" i="1"/>
  <c r="GV55" i="1"/>
  <c r="HC55" i="1" s="1"/>
  <c r="GX55" i="1" s="1"/>
  <c r="C56" i="1"/>
  <c r="D56" i="1"/>
  <c r="I56" i="1"/>
  <c r="AC56" i="1"/>
  <c r="CQ56" i="1" s="1"/>
  <c r="P56" i="1" s="1"/>
  <c r="AE56" i="1"/>
  <c r="AD56" i="1" s="1"/>
  <c r="AF56" i="1"/>
  <c r="CT56" i="1" s="1"/>
  <c r="AG56" i="1"/>
  <c r="CU56" i="1" s="1"/>
  <c r="T56" i="1" s="1"/>
  <c r="AH56" i="1"/>
  <c r="CV56" i="1" s="1"/>
  <c r="U56" i="1" s="1"/>
  <c r="AI56" i="1"/>
  <c r="CW56" i="1" s="1"/>
  <c r="V56" i="1" s="1"/>
  <c r="AJ56" i="1"/>
  <c r="CX56" i="1" s="1"/>
  <c r="CS56" i="1"/>
  <c r="R56" i="1" s="1"/>
  <c r="GK56" i="1" s="1"/>
  <c r="FR56" i="1"/>
  <c r="GL56" i="1"/>
  <c r="GO56" i="1"/>
  <c r="GP56" i="1"/>
  <c r="GV56" i="1"/>
  <c r="HC56" i="1" s="1"/>
  <c r="GX56" i="1" s="1"/>
  <c r="C57" i="1"/>
  <c r="D57" i="1"/>
  <c r="I57" i="1"/>
  <c r="AC57" i="1"/>
  <c r="CQ57" i="1" s="1"/>
  <c r="AE57" i="1"/>
  <c r="AF57" i="1"/>
  <c r="AG57" i="1"/>
  <c r="CU57" i="1" s="1"/>
  <c r="T57" i="1" s="1"/>
  <c r="AH57" i="1"/>
  <c r="CV57" i="1" s="1"/>
  <c r="AI57" i="1"/>
  <c r="CW57" i="1" s="1"/>
  <c r="V57" i="1" s="1"/>
  <c r="Z170" i="6" s="1"/>
  <c r="AJ57" i="1"/>
  <c r="CX57" i="1" s="1"/>
  <c r="CS57" i="1"/>
  <c r="R57" i="1" s="1"/>
  <c r="FR57" i="1"/>
  <c r="GL57" i="1"/>
  <c r="GO57" i="1"/>
  <c r="GP57" i="1"/>
  <c r="GV57" i="1"/>
  <c r="HC57" i="1" s="1"/>
  <c r="GX57" i="1" s="1"/>
  <c r="C58" i="1"/>
  <c r="D58" i="1"/>
  <c r="I58" i="1"/>
  <c r="AC58" i="1"/>
  <c r="CQ58" i="1" s="1"/>
  <c r="AE58" i="1"/>
  <c r="AD58" i="1" s="1"/>
  <c r="AF58" i="1"/>
  <c r="CT58" i="1" s="1"/>
  <c r="AG58" i="1"/>
  <c r="CU58" i="1" s="1"/>
  <c r="T58" i="1" s="1"/>
  <c r="AH58" i="1"/>
  <c r="CV58" i="1" s="1"/>
  <c r="AI58" i="1"/>
  <c r="CW58" i="1" s="1"/>
  <c r="V58" i="1" s="1"/>
  <c r="AJ58" i="1"/>
  <c r="CX58" i="1" s="1"/>
  <c r="CS58" i="1"/>
  <c r="R58" i="1" s="1"/>
  <c r="GK58" i="1" s="1"/>
  <c r="FR58" i="1"/>
  <c r="GL58" i="1"/>
  <c r="GO58" i="1"/>
  <c r="GP58" i="1"/>
  <c r="GV58" i="1"/>
  <c r="HC58" i="1" s="1"/>
  <c r="GX58" i="1" s="1"/>
  <c r="C59" i="1"/>
  <c r="D59" i="1"/>
  <c r="I59" i="1"/>
  <c r="AC59" i="1"/>
  <c r="CQ59" i="1" s="1"/>
  <c r="AE59" i="1"/>
  <c r="AF59" i="1"/>
  <c r="AG59" i="1"/>
  <c r="CU59" i="1" s="1"/>
  <c r="T59" i="1" s="1"/>
  <c r="AH59" i="1"/>
  <c r="CV59" i="1" s="1"/>
  <c r="AI59" i="1"/>
  <c r="CW59" i="1" s="1"/>
  <c r="V59" i="1" s="1"/>
  <c r="Z179" i="6" s="1"/>
  <c r="AJ59" i="1"/>
  <c r="CX59" i="1" s="1"/>
  <c r="CS59" i="1"/>
  <c r="R59" i="1" s="1"/>
  <c r="FR59" i="1"/>
  <c r="GL59" i="1"/>
  <c r="GO59" i="1"/>
  <c r="GP59" i="1"/>
  <c r="GV59" i="1"/>
  <c r="HC59" i="1" s="1"/>
  <c r="GX59" i="1" s="1"/>
  <c r="C60" i="1"/>
  <c r="D60" i="1"/>
  <c r="I60" i="1"/>
  <c r="CX139" i="3" s="1"/>
  <c r="AC60" i="1"/>
  <c r="CQ60" i="1" s="1"/>
  <c r="AE60" i="1"/>
  <c r="AD60" i="1" s="1"/>
  <c r="AF60" i="1"/>
  <c r="CT60" i="1" s="1"/>
  <c r="AG60" i="1"/>
  <c r="CU60" i="1" s="1"/>
  <c r="T60" i="1" s="1"/>
  <c r="AH60" i="1"/>
  <c r="CV60" i="1" s="1"/>
  <c r="AI60" i="1"/>
  <c r="CW60" i="1" s="1"/>
  <c r="V60" i="1" s="1"/>
  <c r="AJ60" i="1"/>
  <c r="CX60" i="1" s="1"/>
  <c r="CS60" i="1"/>
  <c r="R60" i="1" s="1"/>
  <c r="GK60" i="1" s="1"/>
  <c r="FR60" i="1"/>
  <c r="GL60" i="1"/>
  <c r="GO60" i="1"/>
  <c r="GP60" i="1"/>
  <c r="GV60" i="1"/>
  <c r="HC60" i="1" s="1"/>
  <c r="GX60" i="1" s="1"/>
  <c r="C61" i="1"/>
  <c r="D61" i="1"/>
  <c r="I61" i="1"/>
  <c r="AC61" i="1"/>
  <c r="CQ61" i="1" s="1"/>
  <c r="AE61" i="1"/>
  <c r="AD61" i="1" s="1"/>
  <c r="AF61" i="1"/>
  <c r="AG61" i="1"/>
  <c r="AH61" i="1"/>
  <c r="AI61" i="1"/>
  <c r="CW61" i="1" s="1"/>
  <c r="V61" i="1" s="1"/>
  <c r="Z190" i="6" s="1"/>
  <c r="AJ61" i="1"/>
  <c r="CX61" i="1" s="1"/>
  <c r="CU61" i="1"/>
  <c r="CV61" i="1"/>
  <c r="FR61" i="1"/>
  <c r="GL61" i="1"/>
  <c r="GO61" i="1"/>
  <c r="GP61" i="1"/>
  <c r="GV61" i="1"/>
  <c r="HC61" i="1" s="1"/>
  <c r="GX61" i="1" s="1"/>
  <c r="C62" i="1"/>
  <c r="D62" i="1"/>
  <c r="I62" i="1"/>
  <c r="AC62" i="1"/>
  <c r="AE62" i="1"/>
  <c r="AD62" i="1" s="1"/>
  <c r="AF62" i="1"/>
  <c r="CT62" i="1" s="1"/>
  <c r="S62" i="1" s="1"/>
  <c r="AG62" i="1"/>
  <c r="AH62" i="1"/>
  <c r="AI62" i="1"/>
  <c r="CW62" i="1" s="1"/>
  <c r="AJ62" i="1"/>
  <c r="CX62" i="1" s="1"/>
  <c r="W62" i="1" s="1"/>
  <c r="CQ62" i="1"/>
  <c r="CU62" i="1"/>
  <c r="T62" i="1" s="1"/>
  <c r="CV62" i="1"/>
  <c r="FR62" i="1"/>
  <c r="GL62" i="1"/>
  <c r="GO62" i="1"/>
  <c r="GP62" i="1"/>
  <c r="GV62" i="1"/>
  <c r="HC62" i="1" s="1"/>
  <c r="C63" i="1"/>
  <c r="D63" i="1"/>
  <c r="I63" i="1"/>
  <c r="I65" i="1" s="1"/>
  <c r="P63" i="1"/>
  <c r="AC63" i="1"/>
  <c r="AE63" i="1"/>
  <c r="AF63" i="1"/>
  <c r="AG63" i="1"/>
  <c r="AH63" i="1"/>
  <c r="AI63" i="1"/>
  <c r="CW63" i="1" s="1"/>
  <c r="V63" i="1" s="1"/>
  <c r="Z201" i="6" s="1"/>
  <c r="AJ63" i="1"/>
  <c r="CX63" i="1" s="1"/>
  <c r="W63" i="1" s="1"/>
  <c r="CQ63" i="1"/>
  <c r="CU63" i="1"/>
  <c r="CV63" i="1"/>
  <c r="U63" i="1" s="1"/>
  <c r="FR63" i="1"/>
  <c r="GL63" i="1"/>
  <c r="GO63" i="1"/>
  <c r="GP63" i="1"/>
  <c r="GV63" i="1"/>
  <c r="HC63" i="1" s="1"/>
  <c r="GX63" i="1" s="1"/>
  <c r="AC64" i="1"/>
  <c r="AE64" i="1"/>
  <c r="AF64" i="1"/>
  <c r="AG64" i="1"/>
  <c r="AH64" i="1"/>
  <c r="CV64" i="1" s="1"/>
  <c r="AI64" i="1"/>
  <c r="CW64" i="1" s="1"/>
  <c r="AJ64" i="1"/>
  <c r="CT64" i="1"/>
  <c r="CU64" i="1"/>
  <c r="CX64" i="1"/>
  <c r="FR64" i="1"/>
  <c r="GL64" i="1"/>
  <c r="GO64" i="1"/>
  <c r="GP64" i="1"/>
  <c r="GV64" i="1"/>
  <c r="HC64" i="1"/>
  <c r="AC65" i="1"/>
  <c r="AE65" i="1"/>
  <c r="AD65" i="1" s="1"/>
  <c r="AF65" i="1"/>
  <c r="AG65" i="1"/>
  <c r="CU65" i="1" s="1"/>
  <c r="T65" i="1" s="1"/>
  <c r="AH65" i="1"/>
  <c r="CV65" i="1" s="1"/>
  <c r="AI65" i="1"/>
  <c r="AJ65" i="1"/>
  <c r="CX65" i="1" s="1"/>
  <c r="CQ65" i="1"/>
  <c r="CS65" i="1"/>
  <c r="CW65" i="1"/>
  <c r="FR65" i="1"/>
  <c r="GL65" i="1"/>
  <c r="GO65" i="1"/>
  <c r="GP65" i="1"/>
  <c r="GV65" i="1"/>
  <c r="HC65" i="1" s="1"/>
  <c r="C66" i="1"/>
  <c r="D66" i="1"/>
  <c r="I66" i="1"/>
  <c r="AC66" i="1"/>
  <c r="AD66" i="1"/>
  <c r="AB66" i="1" s="1"/>
  <c r="AE66" i="1"/>
  <c r="AF66" i="1"/>
  <c r="CT66" i="1" s="1"/>
  <c r="AG66" i="1"/>
  <c r="CU66" i="1" s="1"/>
  <c r="T66" i="1" s="1"/>
  <c r="AH66" i="1"/>
  <c r="CV66" i="1" s="1"/>
  <c r="U66" i="1" s="1"/>
  <c r="AI66" i="1"/>
  <c r="AJ66" i="1"/>
  <c r="CX66" i="1" s="1"/>
  <c r="CQ66" i="1"/>
  <c r="P66" i="1" s="1"/>
  <c r="CR66" i="1"/>
  <c r="Q66" i="1" s="1"/>
  <c r="CS66" i="1"/>
  <c r="R66" i="1" s="1"/>
  <c r="GK66" i="1" s="1"/>
  <c r="CW66" i="1"/>
  <c r="V66" i="1" s="1"/>
  <c r="FR66" i="1"/>
  <c r="GL66" i="1"/>
  <c r="GO66" i="1"/>
  <c r="GP66" i="1"/>
  <c r="GV66" i="1"/>
  <c r="HC66" i="1" s="1"/>
  <c r="GX66" i="1" s="1"/>
  <c r="C67" i="1"/>
  <c r="D67" i="1"/>
  <c r="I67" i="1"/>
  <c r="U67" i="1"/>
  <c r="AC67" i="1"/>
  <c r="AE67" i="1"/>
  <c r="AF67" i="1"/>
  <c r="AG67" i="1"/>
  <c r="CU67" i="1" s="1"/>
  <c r="T67" i="1" s="1"/>
  <c r="AH67" i="1"/>
  <c r="CV67" i="1" s="1"/>
  <c r="AI67" i="1"/>
  <c r="AJ67" i="1"/>
  <c r="CX67" i="1" s="1"/>
  <c r="CQ67" i="1"/>
  <c r="CS67" i="1"/>
  <c r="CW67" i="1"/>
  <c r="V67" i="1" s="1"/>
  <c r="Z219" i="6" s="1"/>
  <c r="FR67" i="1"/>
  <c r="GL67" i="1"/>
  <c r="GO67" i="1"/>
  <c r="GP67" i="1"/>
  <c r="GV67" i="1"/>
  <c r="HC67" i="1" s="1"/>
  <c r="C68" i="1"/>
  <c r="D68" i="1"/>
  <c r="I68" i="1"/>
  <c r="I72" i="1" s="1"/>
  <c r="V72" i="1" s="1"/>
  <c r="AC68" i="1"/>
  <c r="AE68" i="1"/>
  <c r="AD68" i="1" s="1"/>
  <c r="AF68" i="1"/>
  <c r="CT68" i="1" s="1"/>
  <c r="S68" i="1" s="1"/>
  <c r="AG68" i="1"/>
  <c r="CU68" i="1" s="1"/>
  <c r="T68" i="1" s="1"/>
  <c r="AH68" i="1"/>
  <c r="CV68" i="1" s="1"/>
  <c r="AI68" i="1"/>
  <c r="CW68" i="1" s="1"/>
  <c r="AJ68" i="1"/>
  <c r="CX68" i="1" s="1"/>
  <c r="W68" i="1" s="1"/>
  <c r="CQ68" i="1"/>
  <c r="P68" i="1" s="1"/>
  <c r="CS68" i="1"/>
  <c r="FR68" i="1"/>
  <c r="GL68" i="1"/>
  <c r="GO68" i="1"/>
  <c r="GP68" i="1"/>
  <c r="GV68" i="1"/>
  <c r="HC68" i="1" s="1"/>
  <c r="GX68" i="1"/>
  <c r="C69" i="1"/>
  <c r="D69" i="1"/>
  <c r="I69" i="1"/>
  <c r="I75" i="1" s="1"/>
  <c r="AC69" i="1"/>
  <c r="AE69" i="1"/>
  <c r="AF69" i="1"/>
  <c r="AG69" i="1"/>
  <c r="CU69" i="1" s="1"/>
  <c r="T69" i="1" s="1"/>
  <c r="AH69" i="1"/>
  <c r="CV69" i="1" s="1"/>
  <c r="AI69" i="1"/>
  <c r="CW69" i="1" s="1"/>
  <c r="AJ69" i="1"/>
  <c r="CX69" i="1" s="1"/>
  <c r="CQ69" i="1"/>
  <c r="P69" i="1" s="1"/>
  <c r="CS69" i="1"/>
  <c r="FR69" i="1"/>
  <c r="GL69" i="1"/>
  <c r="GO69" i="1"/>
  <c r="GP69" i="1"/>
  <c r="GV69" i="1"/>
  <c r="HC69" i="1" s="1"/>
  <c r="GX69" i="1"/>
  <c r="AC70" i="1"/>
  <c r="AE70" i="1"/>
  <c r="AD70" i="1" s="1"/>
  <c r="CR70" i="1" s="1"/>
  <c r="AF70" i="1"/>
  <c r="CT70" i="1" s="1"/>
  <c r="AG70" i="1"/>
  <c r="AH70" i="1"/>
  <c r="CV70" i="1" s="1"/>
  <c r="AI70" i="1"/>
  <c r="AJ70" i="1"/>
  <c r="CX70" i="1" s="1"/>
  <c r="CU70" i="1"/>
  <c r="CW70" i="1"/>
  <c r="FR70" i="1"/>
  <c r="GL70" i="1"/>
  <c r="GO70" i="1"/>
  <c r="GP70" i="1"/>
  <c r="GV70" i="1"/>
  <c r="HC70" i="1" s="1"/>
  <c r="I71" i="1"/>
  <c r="AC71" i="1"/>
  <c r="H165" i="5" s="1"/>
  <c r="W165" i="5" s="1"/>
  <c r="AD71" i="1"/>
  <c r="AE71" i="1"/>
  <c r="AF71" i="1"/>
  <c r="AG71" i="1"/>
  <c r="CU71" i="1" s="1"/>
  <c r="AH71" i="1"/>
  <c r="CV71" i="1" s="1"/>
  <c r="AI71" i="1"/>
  <c r="AJ71" i="1"/>
  <c r="CX71" i="1" s="1"/>
  <c r="CQ71" i="1"/>
  <c r="CR71" i="1"/>
  <c r="CS71" i="1"/>
  <c r="CW71" i="1"/>
  <c r="V71" i="1" s="1"/>
  <c r="Z251" i="6" s="1"/>
  <c r="FR71" i="1"/>
  <c r="GL71" i="1"/>
  <c r="GO71" i="1"/>
  <c r="GP71" i="1"/>
  <c r="GV71" i="1"/>
  <c r="HC71" i="1" s="1"/>
  <c r="AC72" i="1"/>
  <c r="CQ72" i="1" s="1"/>
  <c r="AD72" i="1"/>
  <c r="CR72" i="1" s="1"/>
  <c r="AE72" i="1"/>
  <c r="AF72" i="1"/>
  <c r="CT72" i="1" s="1"/>
  <c r="AG72" i="1"/>
  <c r="CU72" i="1" s="1"/>
  <c r="AH72" i="1"/>
  <c r="CV72" i="1" s="1"/>
  <c r="AI72" i="1"/>
  <c r="AJ72" i="1"/>
  <c r="CX72" i="1" s="1"/>
  <c r="CS72" i="1"/>
  <c r="CW72" i="1"/>
  <c r="FR72" i="1"/>
  <c r="GL72" i="1"/>
  <c r="GO72" i="1"/>
  <c r="GP72" i="1"/>
  <c r="GV72" i="1"/>
  <c r="HC72" i="1"/>
  <c r="AC73" i="1"/>
  <c r="AD73" i="1"/>
  <c r="AB73" i="1" s="1"/>
  <c r="G253" i="6" s="1"/>
  <c r="AE73" i="1"/>
  <c r="AF73" i="1"/>
  <c r="AG73" i="1"/>
  <c r="CU73" i="1" s="1"/>
  <c r="AH73" i="1"/>
  <c r="CV73" i="1" s="1"/>
  <c r="AI73" i="1"/>
  <c r="AJ73" i="1"/>
  <c r="CX73" i="1" s="1"/>
  <c r="CQ73" i="1"/>
  <c r="CR73" i="1"/>
  <c r="CS73" i="1"/>
  <c r="CW73" i="1"/>
  <c r="FR73" i="1"/>
  <c r="GL73" i="1"/>
  <c r="GO73" i="1"/>
  <c r="GP73" i="1"/>
  <c r="GV73" i="1"/>
  <c r="HC73" i="1" s="1"/>
  <c r="AC74" i="1"/>
  <c r="AD74" i="1"/>
  <c r="CR74" i="1" s="1"/>
  <c r="AE74" i="1"/>
  <c r="AF74" i="1"/>
  <c r="CT74" i="1" s="1"/>
  <c r="AG74" i="1"/>
  <c r="CU74" i="1" s="1"/>
  <c r="AH74" i="1"/>
  <c r="CV74" i="1" s="1"/>
  <c r="AI74" i="1"/>
  <c r="AJ74" i="1"/>
  <c r="CX74" i="1" s="1"/>
  <c r="CQ74" i="1"/>
  <c r="CS74" i="1"/>
  <c r="CW74" i="1"/>
  <c r="FR74" i="1"/>
  <c r="GL74" i="1"/>
  <c r="GO74" i="1"/>
  <c r="GP74" i="1"/>
  <c r="GV74" i="1"/>
  <c r="HC74" i="1"/>
  <c r="AC75" i="1"/>
  <c r="AE75" i="1"/>
  <c r="AD75" i="1" s="1"/>
  <c r="CR75" i="1" s="1"/>
  <c r="AF75" i="1"/>
  <c r="AG75" i="1"/>
  <c r="CU75" i="1" s="1"/>
  <c r="AH75" i="1"/>
  <c r="CV75" i="1" s="1"/>
  <c r="AI75" i="1"/>
  <c r="CW75" i="1" s="1"/>
  <c r="AJ75" i="1"/>
  <c r="CX75" i="1" s="1"/>
  <c r="CS75" i="1"/>
  <c r="FR75" i="1"/>
  <c r="GL75" i="1"/>
  <c r="GO75" i="1"/>
  <c r="GP75" i="1"/>
  <c r="GV75" i="1"/>
  <c r="HC75" i="1" s="1"/>
  <c r="GX75" i="1"/>
  <c r="C76" i="1"/>
  <c r="D76" i="1"/>
  <c r="I76" i="1"/>
  <c r="P76" i="1"/>
  <c r="AC76" i="1"/>
  <c r="CQ76" i="1" s="1"/>
  <c r="AE76" i="1"/>
  <c r="AD76" i="1" s="1"/>
  <c r="CR76" i="1" s="1"/>
  <c r="Q76" i="1" s="1"/>
  <c r="AF76" i="1"/>
  <c r="CT76" i="1" s="1"/>
  <c r="AG76" i="1"/>
  <c r="AH76" i="1"/>
  <c r="AI76" i="1"/>
  <c r="CW76" i="1" s="1"/>
  <c r="V76" i="1" s="1"/>
  <c r="AJ76" i="1"/>
  <c r="CX76" i="1" s="1"/>
  <c r="CU76" i="1"/>
  <c r="CV76" i="1"/>
  <c r="U76" i="1" s="1"/>
  <c r="FR76" i="1"/>
  <c r="GL76" i="1"/>
  <c r="GO76" i="1"/>
  <c r="GP76" i="1"/>
  <c r="GV76" i="1"/>
  <c r="HC76" i="1" s="1"/>
  <c r="GX76" i="1" s="1"/>
  <c r="C77" i="1"/>
  <c r="D77" i="1"/>
  <c r="I77" i="1"/>
  <c r="AC77" i="1"/>
  <c r="AE77" i="1"/>
  <c r="AF77" i="1"/>
  <c r="AG77" i="1"/>
  <c r="AH77" i="1"/>
  <c r="AI77" i="1"/>
  <c r="CW77" i="1" s="1"/>
  <c r="V77" i="1" s="1"/>
  <c r="Z257" i="6" s="1"/>
  <c r="AJ77" i="1"/>
  <c r="CX77" i="1" s="1"/>
  <c r="CU77" i="1"/>
  <c r="CV77" i="1"/>
  <c r="FR77" i="1"/>
  <c r="GL77" i="1"/>
  <c r="GO77" i="1"/>
  <c r="GP77" i="1"/>
  <c r="GV77" i="1"/>
  <c r="HC77" i="1" s="1"/>
  <c r="GX77" i="1" s="1"/>
  <c r="I78" i="1"/>
  <c r="AC78" i="1"/>
  <c r="AB78" i="1" s="1"/>
  <c r="AD78" i="1"/>
  <c r="CR78" i="1" s="1"/>
  <c r="AE78" i="1"/>
  <c r="AF78" i="1"/>
  <c r="CT78" i="1" s="1"/>
  <c r="S78" i="1" s="1"/>
  <c r="AG78" i="1"/>
  <c r="CU78" i="1" s="1"/>
  <c r="T78" i="1" s="1"/>
  <c r="AH78" i="1"/>
  <c r="CV78" i="1" s="1"/>
  <c r="AI78" i="1"/>
  <c r="AJ78" i="1"/>
  <c r="CX78" i="1" s="1"/>
  <c r="W78" i="1" s="1"/>
  <c r="CQ78" i="1"/>
  <c r="P78" i="1" s="1"/>
  <c r="CS78" i="1"/>
  <c r="CW78" i="1"/>
  <c r="V78" i="1" s="1"/>
  <c r="FR78" i="1"/>
  <c r="GL78" i="1"/>
  <c r="GO78" i="1"/>
  <c r="GP78" i="1"/>
  <c r="GV78" i="1"/>
  <c r="HC78" i="1" s="1"/>
  <c r="GX78" i="1" s="1"/>
  <c r="AC79" i="1"/>
  <c r="AE79" i="1"/>
  <c r="AD79" i="1" s="1"/>
  <c r="AF79" i="1"/>
  <c r="AG79" i="1"/>
  <c r="CU79" i="1" s="1"/>
  <c r="AH79" i="1"/>
  <c r="CV79" i="1" s="1"/>
  <c r="AI79" i="1"/>
  <c r="CW79" i="1" s="1"/>
  <c r="AJ79" i="1"/>
  <c r="CX79" i="1" s="1"/>
  <c r="CQ79" i="1"/>
  <c r="CS79" i="1"/>
  <c r="FR79" i="1"/>
  <c r="GL79" i="1"/>
  <c r="GO79" i="1"/>
  <c r="GP79" i="1"/>
  <c r="GV79" i="1"/>
  <c r="HC79" i="1" s="1"/>
  <c r="I80" i="1"/>
  <c r="AC80" i="1"/>
  <c r="AE80" i="1"/>
  <c r="AF80" i="1"/>
  <c r="AG80" i="1"/>
  <c r="AH80" i="1"/>
  <c r="CV80" i="1" s="1"/>
  <c r="AI80" i="1"/>
  <c r="CW80" i="1" s="1"/>
  <c r="AJ80" i="1"/>
  <c r="CX80" i="1" s="1"/>
  <c r="CT80" i="1"/>
  <c r="CU80" i="1"/>
  <c r="FR80" i="1"/>
  <c r="GL80" i="1"/>
  <c r="GO80" i="1"/>
  <c r="GP80" i="1"/>
  <c r="GV80" i="1"/>
  <c r="HC80" i="1"/>
  <c r="AC81" i="1"/>
  <c r="AE81" i="1"/>
  <c r="AD81" i="1" s="1"/>
  <c r="AF81" i="1"/>
  <c r="AG81" i="1"/>
  <c r="CU81" i="1" s="1"/>
  <c r="AH81" i="1"/>
  <c r="CV81" i="1" s="1"/>
  <c r="AI81" i="1"/>
  <c r="AJ81" i="1"/>
  <c r="CX81" i="1" s="1"/>
  <c r="CS81" i="1"/>
  <c r="CW81" i="1"/>
  <c r="FR81" i="1"/>
  <c r="GL81" i="1"/>
  <c r="GO81" i="1"/>
  <c r="GP81" i="1"/>
  <c r="GV81" i="1"/>
  <c r="HC81" i="1" s="1"/>
  <c r="C82" i="1"/>
  <c r="D82" i="1"/>
  <c r="I82" i="1"/>
  <c r="AC82" i="1"/>
  <c r="AE82" i="1"/>
  <c r="AD82" i="1" s="1"/>
  <c r="AF82" i="1"/>
  <c r="CT82" i="1" s="1"/>
  <c r="AG82" i="1"/>
  <c r="AH82" i="1"/>
  <c r="CV82" i="1" s="1"/>
  <c r="AI82" i="1"/>
  <c r="CW82" i="1" s="1"/>
  <c r="AJ82" i="1"/>
  <c r="CX82" i="1" s="1"/>
  <c r="CQ82" i="1"/>
  <c r="CU82" i="1"/>
  <c r="FR82" i="1"/>
  <c r="GL82" i="1"/>
  <c r="GO82" i="1"/>
  <c r="GP82" i="1"/>
  <c r="GV82" i="1"/>
  <c r="HC82" i="1" s="1"/>
  <c r="GX82" i="1"/>
  <c r="C83" i="1"/>
  <c r="D83" i="1"/>
  <c r="I83" i="1"/>
  <c r="AC83" i="1"/>
  <c r="AE83" i="1"/>
  <c r="AF83" i="1"/>
  <c r="AG83" i="1"/>
  <c r="AH83" i="1"/>
  <c r="CV83" i="1" s="1"/>
  <c r="U83" i="1" s="1"/>
  <c r="AI83" i="1"/>
  <c r="CW83" i="1" s="1"/>
  <c r="V83" i="1" s="1"/>
  <c r="Z277" i="6" s="1"/>
  <c r="AJ83" i="1"/>
  <c r="CQ83" i="1"/>
  <c r="CT83" i="1"/>
  <c r="S83" i="1" s="1"/>
  <c r="CU83" i="1"/>
  <c r="CX83" i="1"/>
  <c r="W83" i="1" s="1"/>
  <c r="FR83" i="1"/>
  <c r="GL83" i="1"/>
  <c r="GO83" i="1"/>
  <c r="GP83" i="1"/>
  <c r="GV83" i="1"/>
  <c r="HC83" i="1" s="1"/>
  <c r="GX83" i="1" s="1"/>
  <c r="C84" i="1"/>
  <c r="D84" i="1"/>
  <c r="I84" i="1"/>
  <c r="AC84" i="1"/>
  <c r="AE84" i="1"/>
  <c r="AF84" i="1"/>
  <c r="AG84" i="1"/>
  <c r="AH84" i="1"/>
  <c r="CV84" i="1" s="1"/>
  <c r="U84" i="1" s="1"/>
  <c r="AI84" i="1"/>
  <c r="CW84" i="1" s="1"/>
  <c r="V84" i="1" s="1"/>
  <c r="AJ84" i="1"/>
  <c r="CQ84" i="1"/>
  <c r="P84" i="1" s="1"/>
  <c r="CT84" i="1"/>
  <c r="S84" i="1" s="1"/>
  <c r="CU84" i="1"/>
  <c r="T84" i="1" s="1"/>
  <c r="CX84" i="1"/>
  <c r="W84" i="1" s="1"/>
  <c r="FR84" i="1"/>
  <c r="GL84" i="1"/>
  <c r="GO84" i="1"/>
  <c r="GP84" i="1"/>
  <c r="GV84" i="1"/>
  <c r="HC84" i="1" s="1"/>
  <c r="GX84" i="1" s="1"/>
  <c r="C85" i="1"/>
  <c r="D85" i="1"/>
  <c r="I85" i="1"/>
  <c r="AC85" i="1"/>
  <c r="AE85" i="1"/>
  <c r="AF85" i="1"/>
  <c r="AG85" i="1"/>
  <c r="AH85" i="1"/>
  <c r="CV85" i="1" s="1"/>
  <c r="AI85" i="1"/>
  <c r="CW85" i="1" s="1"/>
  <c r="AJ85" i="1"/>
  <c r="CX85" i="1" s="1"/>
  <c r="CQ85" i="1"/>
  <c r="CU85" i="1"/>
  <c r="FR85" i="1"/>
  <c r="GL85" i="1"/>
  <c r="GO85" i="1"/>
  <c r="GP85" i="1"/>
  <c r="GV85" i="1"/>
  <c r="HC85" i="1"/>
  <c r="I86" i="1"/>
  <c r="AC86" i="1"/>
  <c r="AE86" i="1"/>
  <c r="AD86" i="1" s="1"/>
  <c r="AF86" i="1"/>
  <c r="CT86" i="1" s="1"/>
  <c r="S86" i="1" s="1"/>
  <c r="AG86" i="1"/>
  <c r="AH86" i="1"/>
  <c r="AI86" i="1"/>
  <c r="CW86" i="1" s="1"/>
  <c r="V86" i="1" s="1"/>
  <c r="AJ86" i="1"/>
  <c r="CX86" i="1" s="1"/>
  <c r="W86" i="1" s="1"/>
  <c r="CQ86" i="1"/>
  <c r="P86" i="1" s="1"/>
  <c r="CU86" i="1"/>
  <c r="T86" i="1" s="1"/>
  <c r="CV86" i="1"/>
  <c r="U86" i="1" s="1"/>
  <c r="FR86" i="1"/>
  <c r="GL86" i="1"/>
  <c r="GO86" i="1"/>
  <c r="GP86" i="1"/>
  <c r="GV86" i="1"/>
  <c r="HC86" i="1" s="1"/>
  <c r="GX86" i="1" s="1"/>
  <c r="AC87" i="1"/>
  <c r="AE87" i="1"/>
  <c r="AD87" i="1" s="1"/>
  <c r="CR87" i="1" s="1"/>
  <c r="AF87" i="1"/>
  <c r="AG87" i="1"/>
  <c r="CU87" i="1" s="1"/>
  <c r="AH87" i="1"/>
  <c r="CV87" i="1" s="1"/>
  <c r="AI87" i="1"/>
  <c r="AJ87" i="1"/>
  <c r="CX87" i="1" s="1"/>
  <c r="CS87" i="1"/>
  <c r="CW87" i="1"/>
  <c r="FR87" i="1"/>
  <c r="GL87" i="1"/>
  <c r="GO87" i="1"/>
  <c r="GP87" i="1"/>
  <c r="GV87" i="1"/>
  <c r="HC87" i="1"/>
  <c r="I88" i="1"/>
  <c r="AC88" i="1"/>
  <c r="AE88" i="1"/>
  <c r="AD88" i="1" s="1"/>
  <c r="AF88" i="1"/>
  <c r="CT88" i="1" s="1"/>
  <c r="AG88" i="1"/>
  <c r="CU88" i="1" s="1"/>
  <c r="T88" i="1" s="1"/>
  <c r="AH88" i="1"/>
  <c r="AI88" i="1"/>
  <c r="AJ88" i="1"/>
  <c r="CX88" i="1" s="1"/>
  <c r="CQ88" i="1"/>
  <c r="P88" i="1" s="1"/>
  <c r="CS88" i="1"/>
  <c r="CV88" i="1"/>
  <c r="CW88" i="1"/>
  <c r="FR88" i="1"/>
  <c r="GL88" i="1"/>
  <c r="GO88" i="1"/>
  <c r="GP88" i="1"/>
  <c r="GV88" i="1"/>
  <c r="HC88" i="1" s="1"/>
  <c r="AC89" i="1"/>
  <c r="AD89" i="1"/>
  <c r="CR89" i="1" s="1"/>
  <c r="AE89" i="1"/>
  <c r="AF89" i="1"/>
  <c r="AG89" i="1"/>
  <c r="CU89" i="1" s="1"/>
  <c r="AH89" i="1"/>
  <c r="CV89" i="1" s="1"/>
  <c r="AI89" i="1"/>
  <c r="AJ89" i="1"/>
  <c r="CQ89" i="1"/>
  <c r="CS89" i="1"/>
  <c r="CT89" i="1"/>
  <c r="CW89" i="1"/>
  <c r="CX89" i="1"/>
  <c r="FR89" i="1"/>
  <c r="GL89" i="1"/>
  <c r="GO89" i="1"/>
  <c r="GP89" i="1"/>
  <c r="GV89" i="1"/>
  <c r="HC89" i="1" s="1"/>
  <c r="I90" i="1"/>
  <c r="AC90" i="1"/>
  <c r="CQ90" i="1" s="1"/>
  <c r="P90" i="1" s="1"/>
  <c r="AE90" i="1"/>
  <c r="AD90" i="1" s="1"/>
  <c r="AF90" i="1"/>
  <c r="CT90" i="1" s="1"/>
  <c r="AG90" i="1"/>
  <c r="CU90" i="1" s="1"/>
  <c r="T90" i="1" s="1"/>
  <c r="AH90" i="1"/>
  <c r="CV90" i="1" s="1"/>
  <c r="U90" i="1" s="1"/>
  <c r="AI90" i="1"/>
  <c r="AJ90" i="1"/>
  <c r="CX90" i="1" s="1"/>
  <c r="CS90" i="1"/>
  <c r="R90" i="1" s="1"/>
  <c r="GK90" i="1" s="1"/>
  <c r="CW90" i="1"/>
  <c r="V90" i="1" s="1"/>
  <c r="FR90" i="1"/>
  <c r="GL90" i="1"/>
  <c r="GO90" i="1"/>
  <c r="GP90" i="1"/>
  <c r="GV90" i="1"/>
  <c r="HC90" i="1" s="1"/>
  <c r="GX90" i="1" s="1"/>
  <c r="AC91" i="1"/>
  <c r="AE91" i="1"/>
  <c r="AF91" i="1"/>
  <c r="AG91" i="1"/>
  <c r="AH91" i="1"/>
  <c r="CV91" i="1" s="1"/>
  <c r="AI91" i="1"/>
  <c r="CW91" i="1" s="1"/>
  <c r="AJ91" i="1"/>
  <c r="CQ91" i="1"/>
  <c r="CT91" i="1"/>
  <c r="CU91" i="1"/>
  <c r="CX91" i="1"/>
  <c r="FR91" i="1"/>
  <c r="GL91" i="1"/>
  <c r="GO91" i="1"/>
  <c r="GP91" i="1"/>
  <c r="GV91" i="1"/>
  <c r="HC91" i="1" s="1"/>
  <c r="C92" i="1"/>
  <c r="D92" i="1"/>
  <c r="I92" i="1"/>
  <c r="AC92" i="1"/>
  <c r="AE92" i="1"/>
  <c r="AD92" i="1" s="1"/>
  <c r="CR92" i="1" s="1"/>
  <c r="AF92" i="1"/>
  <c r="CT92" i="1" s="1"/>
  <c r="AG92" i="1"/>
  <c r="AH92" i="1"/>
  <c r="CV92" i="1" s="1"/>
  <c r="AI92" i="1"/>
  <c r="CW92" i="1" s="1"/>
  <c r="AJ92" i="1"/>
  <c r="CX92" i="1" s="1"/>
  <c r="CQ92" i="1"/>
  <c r="CU92" i="1"/>
  <c r="FR92" i="1"/>
  <c r="GL92" i="1"/>
  <c r="GO92" i="1"/>
  <c r="GP92" i="1"/>
  <c r="GV92" i="1"/>
  <c r="HC92" i="1"/>
  <c r="C93" i="1"/>
  <c r="D93" i="1"/>
  <c r="I93" i="1"/>
  <c r="AC93" i="1"/>
  <c r="CQ93" i="1" s="1"/>
  <c r="P93" i="1" s="1"/>
  <c r="AE93" i="1"/>
  <c r="AD93" i="1" s="1"/>
  <c r="AF93" i="1"/>
  <c r="AG93" i="1"/>
  <c r="CU93" i="1" s="1"/>
  <c r="T93" i="1" s="1"/>
  <c r="AH93" i="1"/>
  <c r="CV93" i="1" s="1"/>
  <c r="AI93" i="1"/>
  <c r="AJ93" i="1"/>
  <c r="CX93" i="1" s="1"/>
  <c r="W93" i="1" s="1"/>
  <c r="CS93" i="1"/>
  <c r="CW93" i="1"/>
  <c r="V93" i="1" s="1"/>
  <c r="Z308" i="6" s="1"/>
  <c r="FR93" i="1"/>
  <c r="GL93" i="1"/>
  <c r="GO93" i="1"/>
  <c r="GP93" i="1"/>
  <c r="GV93" i="1"/>
  <c r="HC93" i="1"/>
  <c r="GX93" i="1" s="1"/>
  <c r="C94" i="1"/>
  <c r="D94" i="1"/>
  <c r="I94" i="1"/>
  <c r="P94" i="1"/>
  <c r="AC94" i="1"/>
  <c r="AE94" i="1"/>
  <c r="AD94" i="1" s="1"/>
  <c r="CR94" i="1" s="1"/>
  <c r="Q94" i="1" s="1"/>
  <c r="AF94" i="1"/>
  <c r="CT94" i="1" s="1"/>
  <c r="S94" i="1" s="1"/>
  <c r="AG94" i="1"/>
  <c r="AH94" i="1"/>
  <c r="CV94" i="1" s="1"/>
  <c r="U94" i="1" s="1"/>
  <c r="AI94" i="1"/>
  <c r="CW94" i="1" s="1"/>
  <c r="V94" i="1" s="1"/>
  <c r="AJ94" i="1"/>
  <c r="CX94" i="1" s="1"/>
  <c r="W94" i="1" s="1"/>
  <c r="CQ94" i="1"/>
  <c r="CU94" i="1"/>
  <c r="T94" i="1" s="1"/>
  <c r="FR94" i="1"/>
  <c r="GL94" i="1"/>
  <c r="GO94" i="1"/>
  <c r="GP94" i="1"/>
  <c r="GV94" i="1"/>
  <c r="HC94" i="1" s="1"/>
  <c r="GX94" i="1" s="1"/>
  <c r="C95" i="1"/>
  <c r="D95" i="1"/>
  <c r="I95" i="1"/>
  <c r="I97" i="1" s="1"/>
  <c r="AC95" i="1"/>
  <c r="AE95" i="1"/>
  <c r="AF95" i="1"/>
  <c r="AG95" i="1"/>
  <c r="AH95" i="1"/>
  <c r="CV95" i="1" s="1"/>
  <c r="AI95" i="1"/>
  <c r="CW95" i="1" s="1"/>
  <c r="V95" i="1" s="1"/>
  <c r="Z317" i="6" s="1"/>
  <c r="AJ95" i="1"/>
  <c r="CX95" i="1" s="1"/>
  <c r="CQ95" i="1"/>
  <c r="P95" i="1" s="1"/>
  <c r="CU95" i="1"/>
  <c r="FR95" i="1"/>
  <c r="GL95" i="1"/>
  <c r="GO95" i="1"/>
  <c r="GP95" i="1"/>
  <c r="GV95" i="1"/>
  <c r="HC95" i="1"/>
  <c r="GX95" i="1" s="1"/>
  <c r="I96" i="1"/>
  <c r="AC96" i="1"/>
  <c r="AD96" i="1"/>
  <c r="CR96" i="1" s="1"/>
  <c r="Q96" i="1" s="1"/>
  <c r="AE96" i="1"/>
  <c r="AF96" i="1"/>
  <c r="CT96" i="1" s="1"/>
  <c r="AG96" i="1"/>
  <c r="CU96" i="1" s="1"/>
  <c r="T96" i="1" s="1"/>
  <c r="AH96" i="1"/>
  <c r="CV96" i="1" s="1"/>
  <c r="U96" i="1" s="1"/>
  <c r="AI96" i="1"/>
  <c r="AJ96" i="1"/>
  <c r="CX96" i="1" s="1"/>
  <c r="CQ96" i="1"/>
  <c r="P96" i="1" s="1"/>
  <c r="CS96" i="1"/>
  <c r="R96" i="1" s="1"/>
  <c r="GK96" i="1" s="1"/>
  <c r="CW96" i="1"/>
  <c r="V96" i="1" s="1"/>
  <c r="FR96" i="1"/>
  <c r="GL96" i="1"/>
  <c r="GO96" i="1"/>
  <c r="GP96" i="1"/>
  <c r="GV96" i="1"/>
  <c r="HC96" i="1" s="1"/>
  <c r="GX96" i="1" s="1"/>
  <c r="AC97" i="1"/>
  <c r="AE97" i="1"/>
  <c r="AF97" i="1"/>
  <c r="AG97" i="1"/>
  <c r="AH97" i="1"/>
  <c r="CV97" i="1" s="1"/>
  <c r="AI97" i="1"/>
  <c r="CW97" i="1" s="1"/>
  <c r="AJ97" i="1"/>
  <c r="CX97" i="1" s="1"/>
  <c r="CQ97" i="1"/>
  <c r="CU97" i="1"/>
  <c r="FR97" i="1"/>
  <c r="GL97" i="1"/>
  <c r="GO97" i="1"/>
  <c r="GP97" i="1"/>
  <c r="GV97" i="1"/>
  <c r="HC97" i="1"/>
  <c r="C98" i="1"/>
  <c r="D98" i="1"/>
  <c r="I98" i="1"/>
  <c r="AC98" i="1"/>
  <c r="AE98" i="1"/>
  <c r="AD98" i="1" s="1"/>
  <c r="AF98" i="1"/>
  <c r="CT98" i="1" s="1"/>
  <c r="S98" i="1" s="1"/>
  <c r="AG98" i="1"/>
  <c r="CU98" i="1" s="1"/>
  <c r="T98" i="1" s="1"/>
  <c r="AH98" i="1"/>
  <c r="CV98" i="1" s="1"/>
  <c r="AI98" i="1"/>
  <c r="AJ98" i="1"/>
  <c r="CX98" i="1" s="1"/>
  <c r="W98" i="1" s="1"/>
  <c r="CQ98" i="1"/>
  <c r="P98" i="1" s="1"/>
  <c r="CS98" i="1"/>
  <c r="CW98" i="1"/>
  <c r="V98" i="1" s="1"/>
  <c r="FR98" i="1"/>
  <c r="GL98" i="1"/>
  <c r="GO98" i="1"/>
  <c r="GP98" i="1"/>
  <c r="GV98" i="1"/>
  <c r="HC98" i="1"/>
  <c r="GX98" i="1" s="1"/>
  <c r="C99" i="1"/>
  <c r="D99" i="1"/>
  <c r="I99" i="1"/>
  <c r="AC99" i="1"/>
  <c r="H229" i="5" s="1"/>
  <c r="AE99" i="1"/>
  <c r="H228" i="5" s="1"/>
  <c r="R228" i="5" s="1"/>
  <c r="AF99" i="1"/>
  <c r="AG99" i="1"/>
  <c r="AH99" i="1"/>
  <c r="CV99" i="1" s="1"/>
  <c r="U99" i="1" s="1"/>
  <c r="AI99" i="1"/>
  <c r="AJ99" i="1"/>
  <c r="CX99" i="1" s="1"/>
  <c r="W99" i="1" s="1"/>
  <c r="CQ99" i="1"/>
  <c r="P99" i="1" s="1"/>
  <c r="CU99" i="1"/>
  <c r="T99" i="1" s="1"/>
  <c r="CW99" i="1"/>
  <c r="V99" i="1" s="1"/>
  <c r="Z328" i="6" s="1"/>
  <c r="FR99" i="1"/>
  <c r="GL99" i="1"/>
  <c r="GO99" i="1"/>
  <c r="GP99" i="1"/>
  <c r="GV99" i="1"/>
  <c r="HC99" i="1"/>
  <c r="GX99" i="1" s="1"/>
  <c r="I100" i="1"/>
  <c r="AC100" i="1"/>
  <c r="AE100" i="1"/>
  <c r="AF100" i="1"/>
  <c r="CT100" i="1" s="1"/>
  <c r="AG100" i="1"/>
  <c r="AH100" i="1"/>
  <c r="CV100" i="1" s="1"/>
  <c r="AI100" i="1"/>
  <c r="CW100" i="1" s="1"/>
  <c r="V100" i="1" s="1"/>
  <c r="AJ100" i="1"/>
  <c r="CX100" i="1" s="1"/>
  <c r="CQ100" i="1"/>
  <c r="CU100" i="1"/>
  <c r="FR100" i="1"/>
  <c r="GL100" i="1"/>
  <c r="GO100" i="1"/>
  <c r="GP100" i="1"/>
  <c r="GV100" i="1"/>
  <c r="HC100" i="1" s="1"/>
  <c r="I101" i="1"/>
  <c r="AC101" i="1"/>
  <c r="AE101" i="1"/>
  <c r="AF101" i="1"/>
  <c r="AG101" i="1"/>
  <c r="CU101" i="1" s="1"/>
  <c r="T101" i="1" s="1"/>
  <c r="AH101" i="1"/>
  <c r="CV101" i="1" s="1"/>
  <c r="AI101" i="1"/>
  <c r="CW101" i="1" s="1"/>
  <c r="V101" i="1" s="1"/>
  <c r="Z337" i="6" s="1"/>
  <c r="AJ101" i="1"/>
  <c r="CQ101" i="1"/>
  <c r="CT101" i="1"/>
  <c r="CX101" i="1"/>
  <c r="FR101" i="1"/>
  <c r="GL101" i="1"/>
  <c r="GO101" i="1"/>
  <c r="GP101" i="1"/>
  <c r="GV101" i="1"/>
  <c r="HC101" i="1" s="1"/>
  <c r="GX101" i="1" s="1"/>
  <c r="C102" i="1"/>
  <c r="D102" i="1"/>
  <c r="I102" i="1"/>
  <c r="AC102" i="1"/>
  <c r="AE102" i="1"/>
  <c r="AF102" i="1"/>
  <c r="AG102" i="1"/>
  <c r="AH102" i="1"/>
  <c r="CV102" i="1" s="1"/>
  <c r="AI102" i="1"/>
  <c r="CW102" i="1" s="1"/>
  <c r="AJ102" i="1"/>
  <c r="CX102" i="1" s="1"/>
  <c r="CQ102" i="1"/>
  <c r="CT102" i="1"/>
  <c r="S102" i="1" s="1"/>
  <c r="CU102" i="1"/>
  <c r="FR102" i="1"/>
  <c r="GL102" i="1"/>
  <c r="GO102" i="1"/>
  <c r="GP102" i="1"/>
  <c r="GV102" i="1"/>
  <c r="HC102" i="1" s="1"/>
  <c r="GX102" i="1" s="1"/>
  <c r="C103" i="1"/>
  <c r="D103" i="1"/>
  <c r="I103" i="1"/>
  <c r="AC103" i="1"/>
  <c r="AE103" i="1"/>
  <c r="AF103" i="1"/>
  <c r="AG103" i="1"/>
  <c r="AH103" i="1"/>
  <c r="CV103" i="1" s="1"/>
  <c r="AI103" i="1"/>
  <c r="CW103" i="1" s="1"/>
  <c r="V103" i="1" s="1"/>
  <c r="Z339" i="6" s="1"/>
  <c r="AJ103" i="1"/>
  <c r="CX103" i="1" s="1"/>
  <c r="CT103" i="1"/>
  <c r="CU103" i="1"/>
  <c r="T103" i="1" s="1"/>
  <c r="FR103" i="1"/>
  <c r="GL103" i="1"/>
  <c r="GO103" i="1"/>
  <c r="GP103" i="1"/>
  <c r="GV103" i="1"/>
  <c r="HC103" i="1"/>
  <c r="C104" i="1"/>
  <c r="D104" i="1"/>
  <c r="I104" i="1"/>
  <c r="AC104" i="1"/>
  <c r="AE104" i="1"/>
  <c r="AD104" i="1" s="1"/>
  <c r="CR104" i="1" s="1"/>
  <c r="AF104" i="1"/>
  <c r="AG104" i="1"/>
  <c r="CU104" i="1" s="1"/>
  <c r="T104" i="1" s="1"/>
  <c r="AH104" i="1"/>
  <c r="CV104" i="1" s="1"/>
  <c r="AI104" i="1"/>
  <c r="AJ104" i="1"/>
  <c r="CX104" i="1" s="1"/>
  <c r="W104" i="1" s="1"/>
  <c r="CQ104" i="1"/>
  <c r="P104" i="1" s="1"/>
  <c r="CS104" i="1"/>
  <c r="R104" i="1" s="1"/>
  <c r="GK104" i="1" s="1"/>
  <c r="CW104" i="1"/>
  <c r="V104" i="1" s="1"/>
  <c r="FR104" i="1"/>
  <c r="GL104" i="1"/>
  <c r="GO104" i="1"/>
  <c r="GP104" i="1"/>
  <c r="GV104" i="1"/>
  <c r="HC104" i="1"/>
  <c r="GX104" i="1" s="1"/>
  <c r="C105" i="1"/>
  <c r="D105" i="1"/>
  <c r="I105" i="1"/>
  <c r="AC105" i="1"/>
  <c r="AD105" i="1"/>
  <c r="CR105" i="1" s="1"/>
  <c r="AE105" i="1"/>
  <c r="AF105" i="1"/>
  <c r="AG105" i="1"/>
  <c r="CU105" i="1" s="1"/>
  <c r="T105" i="1" s="1"/>
  <c r="AH105" i="1"/>
  <c r="CV105" i="1" s="1"/>
  <c r="AI105" i="1"/>
  <c r="AJ105" i="1"/>
  <c r="CX105" i="1" s="1"/>
  <c r="W105" i="1" s="1"/>
  <c r="CQ105" i="1"/>
  <c r="P105" i="1" s="1"/>
  <c r="CS105" i="1"/>
  <c r="R105" i="1" s="1"/>
  <c r="CW105" i="1"/>
  <c r="V105" i="1" s="1"/>
  <c r="Z356" i="6" s="1"/>
  <c r="FR105" i="1"/>
  <c r="GL105" i="1"/>
  <c r="GO105" i="1"/>
  <c r="GP105" i="1"/>
  <c r="GV105" i="1"/>
  <c r="HC105" i="1"/>
  <c r="GX105" i="1" s="1"/>
  <c r="I106" i="1"/>
  <c r="AC106" i="1"/>
  <c r="AE106" i="1"/>
  <c r="AD106" i="1" s="1"/>
  <c r="AF106" i="1"/>
  <c r="CT106" i="1" s="1"/>
  <c r="S106" i="1" s="1"/>
  <c r="AG106" i="1"/>
  <c r="AH106" i="1"/>
  <c r="CV106" i="1" s="1"/>
  <c r="AI106" i="1"/>
  <c r="CW106" i="1" s="1"/>
  <c r="AJ106" i="1"/>
  <c r="CX106" i="1" s="1"/>
  <c r="W106" i="1" s="1"/>
  <c r="CQ106" i="1"/>
  <c r="P106" i="1" s="1"/>
  <c r="CU106" i="1"/>
  <c r="FR106" i="1"/>
  <c r="GL106" i="1"/>
  <c r="GO106" i="1"/>
  <c r="GP106" i="1"/>
  <c r="GV106" i="1"/>
  <c r="HC106" i="1" s="1"/>
  <c r="GX106" i="1" s="1"/>
  <c r="AC107" i="1"/>
  <c r="AE107" i="1"/>
  <c r="AF107" i="1"/>
  <c r="AG107" i="1"/>
  <c r="AH107" i="1"/>
  <c r="CV107" i="1" s="1"/>
  <c r="AI107" i="1"/>
  <c r="CW107" i="1" s="1"/>
  <c r="AJ107" i="1"/>
  <c r="CX107" i="1" s="1"/>
  <c r="CQ107" i="1"/>
  <c r="CT107" i="1"/>
  <c r="CU107" i="1"/>
  <c r="FR107" i="1"/>
  <c r="GL107" i="1"/>
  <c r="GO107" i="1"/>
  <c r="GP107" i="1"/>
  <c r="GV107" i="1"/>
  <c r="HC107" i="1"/>
  <c r="I108" i="1"/>
  <c r="AC108" i="1"/>
  <c r="CQ108" i="1" s="1"/>
  <c r="P108" i="1" s="1"/>
  <c r="AE108" i="1"/>
  <c r="AF108" i="1"/>
  <c r="CT108" i="1" s="1"/>
  <c r="AG108" i="1"/>
  <c r="AH108" i="1"/>
  <c r="CV108" i="1" s="1"/>
  <c r="U108" i="1" s="1"/>
  <c r="AI108" i="1"/>
  <c r="CW108" i="1" s="1"/>
  <c r="V108" i="1" s="1"/>
  <c r="AJ108" i="1"/>
  <c r="CX108" i="1" s="1"/>
  <c r="CU108" i="1"/>
  <c r="T108" i="1" s="1"/>
  <c r="FR108" i="1"/>
  <c r="GL108" i="1"/>
  <c r="GO108" i="1"/>
  <c r="GP108" i="1"/>
  <c r="CD175" i="1" s="1"/>
  <c r="GV108" i="1"/>
  <c r="HC108" i="1" s="1"/>
  <c r="GX108" i="1" s="1"/>
  <c r="I109" i="1"/>
  <c r="V109" i="1"/>
  <c r="Z374" i="6" s="1"/>
  <c r="AC109" i="1"/>
  <c r="AD109" i="1"/>
  <c r="CR109" i="1" s="1"/>
  <c r="AE109" i="1"/>
  <c r="AF109" i="1"/>
  <c r="AG109" i="1"/>
  <c r="CU109" i="1" s="1"/>
  <c r="T109" i="1" s="1"/>
  <c r="AH109" i="1"/>
  <c r="CV109" i="1" s="1"/>
  <c r="AI109" i="1"/>
  <c r="AJ109" i="1"/>
  <c r="CX109" i="1" s="1"/>
  <c r="W109" i="1" s="1"/>
  <c r="CS109" i="1"/>
  <c r="R109" i="1" s="1"/>
  <c r="CW109" i="1"/>
  <c r="FR109" i="1"/>
  <c r="GL109" i="1"/>
  <c r="GO109" i="1"/>
  <c r="GP109" i="1"/>
  <c r="GV109" i="1"/>
  <c r="HC109" i="1" s="1"/>
  <c r="GX109" i="1" s="1"/>
  <c r="C110" i="1"/>
  <c r="D110" i="1"/>
  <c r="I110" i="1"/>
  <c r="AC110" i="1"/>
  <c r="AE110" i="1"/>
  <c r="AD110" i="1" s="1"/>
  <c r="CR110" i="1" s="1"/>
  <c r="AF110" i="1"/>
  <c r="AG110" i="1"/>
  <c r="AH110" i="1"/>
  <c r="CV110" i="1" s="1"/>
  <c r="AI110" i="1"/>
  <c r="CW110" i="1" s="1"/>
  <c r="V110" i="1" s="1"/>
  <c r="AJ110" i="1"/>
  <c r="CX110" i="1" s="1"/>
  <c r="CQ110" i="1"/>
  <c r="CT110" i="1"/>
  <c r="S110" i="1" s="1"/>
  <c r="CU110" i="1"/>
  <c r="T110" i="1" s="1"/>
  <c r="FR110" i="1"/>
  <c r="GL110" i="1"/>
  <c r="GO110" i="1"/>
  <c r="GP110" i="1"/>
  <c r="GV110" i="1"/>
  <c r="HC110" i="1" s="1"/>
  <c r="GX110" i="1"/>
  <c r="C111" i="1"/>
  <c r="D111" i="1"/>
  <c r="I111" i="1"/>
  <c r="AC111" i="1"/>
  <c r="AD111" i="1"/>
  <c r="AE111" i="1"/>
  <c r="H256" i="5" s="1"/>
  <c r="R256" i="5" s="1"/>
  <c r="AF111" i="1"/>
  <c r="AG111" i="1"/>
  <c r="AH111" i="1"/>
  <c r="CV111" i="1" s="1"/>
  <c r="AI111" i="1"/>
  <c r="CW111" i="1" s="1"/>
  <c r="V111" i="1" s="1"/>
  <c r="Z376" i="6" s="1"/>
  <c r="AJ111" i="1"/>
  <c r="CQ111" i="1"/>
  <c r="CS111" i="1"/>
  <c r="R111" i="1" s="1"/>
  <c r="CT111" i="1"/>
  <c r="S111" i="1" s="1"/>
  <c r="CU111" i="1"/>
  <c r="CX111" i="1"/>
  <c r="W111" i="1" s="1"/>
  <c r="FR111" i="1"/>
  <c r="GL111" i="1"/>
  <c r="GO111" i="1"/>
  <c r="GP111" i="1"/>
  <c r="GV111" i="1"/>
  <c r="HC111" i="1" s="1"/>
  <c r="GX111" i="1" s="1"/>
  <c r="C112" i="1"/>
  <c r="D112" i="1"/>
  <c r="I112" i="1"/>
  <c r="AC112" i="1"/>
  <c r="AD112" i="1"/>
  <c r="CR112" i="1" s="1"/>
  <c r="Q112" i="1" s="1"/>
  <c r="AE112" i="1"/>
  <c r="AF112" i="1"/>
  <c r="AG112" i="1"/>
  <c r="AH112" i="1"/>
  <c r="CV112" i="1" s="1"/>
  <c r="U112" i="1" s="1"/>
  <c r="AI112" i="1"/>
  <c r="CW112" i="1" s="1"/>
  <c r="AJ112" i="1"/>
  <c r="CX112" i="1" s="1"/>
  <c r="CQ112" i="1"/>
  <c r="CS112" i="1"/>
  <c r="R112" i="1" s="1"/>
  <c r="CT112" i="1"/>
  <c r="CU112" i="1"/>
  <c r="FR112" i="1"/>
  <c r="GK112" i="1"/>
  <c r="GL112" i="1"/>
  <c r="GO112" i="1"/>
  <c r="GP112" i="1"/>
  <c r="GV112" i="1"/>
  <c r="HC112" i="1" s="1"/>
  <c r="GX112" i="1" s="1"/>
  <c r="C113" i="1"/>
  <c r="D113" i="1"/>
  <c r="I113" i="1"/>
  <c r="AC113" i="1"/>
  <c r="AE113" i="1"/>
  <c r="AD113" i="1" s="1"/>
  <c r="AF113" i="1"/>
  <c r="AG113" i="1"/>
  <c r="AH113" i="1"/>
  <c r="CV113" i="1" s="1"/>
  <c r="AI113" i="1"/>
  <c r="CW113" i="1" s="1"/>
  <c r="AJ113" i="1"/>
  <c r="CX113" i="1" s="1"/>
  <c r="CT113" i="1"/>
  <c r="CU113" i="1"/>
  <c r="FR113" i="1"/>
  <c r="GL113" i="1"/>
  <c r="GO113" i="1"/>
  <c r="GP113" i="1"/>
  <c r="GV113" i="1"/>
  <c r="HC113" i="1"/>
  <c r="GX113" i="1" s="1"/>
  <c r="C114" i="1"/>
  <c r="D114" i="1"/>
  <c r="AC114" i="1"/>
  <c r="CQ114" i="1" s="1"/>
  <c r="P114" i="1" s="1"/>
  <c r="AE114" i="1"/>
  <c r="CS114" i="1" s="1"/>
  <c r="R114" i="1" s="1"/>
  <c r="GK114" i="1" s="1"/>
  <c r="AF114" i="1"/>
  <c r="CT114" i="1" s="1"/>
  <c r="S114" i="1" s="1"/>
  <c r="AG114" i="1"/>
  <c r="AH114" i="1"/>
  <c r="AI114" i="1"/>
  <c r="CW114" i="1" s="1"/>
  <c r="V114" i="1" s="1"/>
  <c r="AJ114" i="1"/>
  <c r="CU114" i="1"/>
  <c r="T114" i="1" s="1"/>
  <c r="CV114" i="1"/>
  <c r="U114" i="1" s="1"/>
  <c r="CX114" i="1"/>
  <c r="W114" i="1" s="1"/>
  <c r="FR114" i="1"/>
  <c r="GL114" i="1"/>
  <c r="GO114" i="1"/>
  <c r="GP114" i="1"/>
  <c r="GV114" i="1"/>
  <c r="HC114" i="1"/>
  <c r="GX114" i="1" s="1"/>
  <c r="C115" i="1"/>
  <c r="D115" i="1"/>
  <c r="AC115" i="1"/>
  <c r="AE115" i="1"/>
  <c r="AF115" i="1"/>
  <c r="AG115" i="1"/>
  <c r="AH115" i="1"/>
  <c r="CV115" i="1" s="1"/>
  <c r="U115" i="1" s="1"/>
  <c r="AI115" i="1"/>
  <c r="CW115" i="1" s="1"/>
  <c r="V115" i="1" s="1"/>
  <c r="Z404" i="6" s="1"/>
  <c r="AJ115" i="1"/>
  <c r="CX115" i="1" s="1"/>
  <c r="W115" i="1" s="1"/>
  <c r="CS115" i="1"/>
  <c r="R115" i="1" s="1"/>
  <c r="CU115" i="1"/>
  <c r="T115" i="1" s="1"/>
  <c r="FR115" i="1"/>
  <c r="GL115" i="1"/>
  <c r="GO115" i="1"/>
  <c r="GP115" i="1"/>
  <c r="GV115" i="1"/>
  <c r="HC115" i="1" s="1"/>
  <c r="GX115" i="1"/>
  <c r="I116" i="1"/>
  <c r="AC116" i="1"/>
  <c r="AE116" i="1"/>
  <c r="AD116" i="1" s="1"/>
  <c r="CR116" i="1" s="1"/>
  <c r="AF116" i="1"/>
  <c r="AG116" i="1"/>
  <c r="AH116" i="1"/>
  <c r="CV116" i="1" s="1"/>
  <c r="AI116" i="1"/>
  <c r="CW116" i="1" s="1"/>
  <c r="V116" i="1" s="1"/>
  <c r="AJ116" i="1"/>
  <c r="CQ116" i="1"/>
  <c r="CT116" i="1"/>
  <c r="S116" i="1" s="1"/>
  <c r="CU116" i="1"/>
  <c r="CX116" i="1"/>
  <c r="FR116" i="1"/>
  <c r="GL116" i="1"/>
  <c r="BZ175" i="1" s="1"/>
  <c r="CG175" i="1" s="1"/>
  <c r="GO116" i="1"/>
  <c r="GP116" i="1"/>
  <c r="GV116" i="1"/>
  <c r="HC116" i="1"/>
  <c r="GX116" i="1" s="1"/>
  <c r="I117" i="1"/>
  <c r="AC117" i="1"/>
  <c r="CQ117" i="1" s="1"/>
  <c r="P117" i="1" s="1"/>
  <c r="U414" i="6" s="1"/>
  <c r="AE117" i="1"/>
  <c r="AD117" i="1" s="1"/>
  <c r="AF117" i="1"/>
  <c r="AG117" i="1"/>
  <c r="AH117" i="1"/>
  <c r="CV117" i="1" s="1"/>
  <c r="U117" i="1" s="1"/>
  <c r="Y414" i="6" s="1"/>
  <c r="AI117" i="1"/>
  <c r="CW117" i="1" s="1"/>
  <c r="V117" i="1" s="1"/>
  <c r="Z414" i="6" s="1"/>
  <c r="AJ117" i="1"/>
  <c r="CX117" i="1" s="1"/>
  <c r="W117" i="1" s="1"/>
  <c r="CU117" i="1"/>
  <c r="T117" i="1" s="1"/>
  <c r="FR117" i="1"/>
  <c r="GL117" i="1"/>
  <c r="GO117" i="1"/>
  <c r="GP117" i="1"/>
  <c r="FV175" i="1" s="1"/>
  <c r="GV117" i="1"/>
  <c r="HC117" i="1" s="1"/>
  <c r="GX117" i="1" s="1"/>
  <c r="C118" i="1"/>
  <c r="D118" i="1"/>
  <c r="I118" i="1"/>
  <c r="CX337" i="3" s="1"/>
  <c r="AC118" i="1"/>
  <c r="CQ118" i="1" s="1"/>
  <c r="P118" i="1" s="1"/>
  <c r="AE118" i="1"/>
  <c r="AD118" i="1" s="1"/>
  <c r="AF118" i="1"/>
  <c r="CT118" i="1" s="1"/>
  <c r="S118" i="1" s="1"/>
  <c r="AG118" i="1"/>
  <c r="AH118" i="1"/>
  <c r="CV118" i="1" s="1"/>
  <c r="U118" i="1" s="1"/>
  <c r="AI118" i="1"/>
  <c r="CW118" i="1" s="1"/>
  <c r="V118" i="1" s="1"/>
  <c r="AJ118" i="1"/>
  <c r="CX118" i="1" s="1"/>
  <c r="W118" i="1" s="1"/>
  <c r="CU118" i="1"/>
  <c r="T118" i="1" s="1"/>
  <c r="FR118" i="1"/>
  <c r="GL118" i="1"/>
  <c r="GO118" i="1"/>
  <c r="GP118" i="1"/>
  <c r="GV118" i="1"/>
  <c r="HC118" i="1" s="1"/>
  <c r="GX118" i="1" s="1"/>
  <c r="C119" i="1"/>
  <c r="D119" i="1"/>
  <c r="I119" i="1"/>
  <c r="AC119" i="1"/>
  <c r="CQ119" i="1" s="1"/>
  <c r="P119" i="1" s="1"/>
  <c r="U416" i="6" s="1"/>
  <c r="AE119" i="1"/>
  <c r="AD119" i="1" s="1"/>
  <c r="AF119" i="1"/>
  <c r="AG119" i="1"/>
  <c r="AH119" i="1"/>
  <c r="CV119" i="1" s="1"/>
  <c r="AI119" i="1"/>
  <c r="CW119" i="1" s="1"/>
  <c r="V119" i="1" s="1"/>
  <c r="Z416" i="6" s="1"/>
  <c r="AJ119" i="1"/>
  <c r="CX119" i="1" s="1"/>
  <c r="W119" i="1" s="1"/>
  <c r="CU119" i="1"/>
  <c r="T119" i="1" s="1"/>
  <c r="FR119" i="1"/>
  <c r="GL119" i="1"/>
  <c r="GO119" i="1"/>
  <c r="GP119" i="1"/>
  <c r="GV119" i="1"/>
  <c r="HC119" i="1" s="1"/>
  <c r="GX119" i="1" s="1"/>
  <c r="C120" i="1"/>
  <c r="D120" i="1"/>
  <c r="AC120" i="1"/>
  <c r="CQ120" i="1" s="1"/>
  <c r="P120" i="1" s="1"/>
  <c r="AE120" i="1"/>
  <c r="AD120" i="1" s="1"/>
  <c r="AF120" i="1"/>
  <c r="CT120" i="1" s="1"/>
  <c r="S120" i="1" s="1"/>
  <c r="AG120" i="1"/>
  <c r="CU120" i="1" s="1"/>
  <c r="T120" i="1" s="1"/>
  <c r="AH120" i="1"/>
  <c r="CV120" i="1" s="1"/>
  <c r="U120" i="1" s="1"/>
  <c r="AI120" i="1"/>
  <c r="AJ120" i="1"/>
  <c r="CX120" i="1" s="1"/>
  <c r="W120" i="1" s="1"/>
  <c r="CR120" i="1"/>
  <c r="Q120" i="1" s="1"/>
  <c r="CS120" i="1"/>
  <c r="R120" i="1" s="1"/>
  <c r="GK120" i="1" s="1"/>
  <c r="CW120" i="1"/>
  <c r="V120" i="1" s="1"/>
  <c r="FR120" i="1"/>
  <c r="GL120" i="1"/>
  <c r="GO120" i="1"/>
  <c r="GP120" i="1"/>
  <c r="GV120" i="1"/>
  <c r="HC120" i="1" s="1"/>
  <c r="GX120" i="1" s="1"/>
  <c r="C121" i="1"/>
  <c r="D121" i="1"/>
  <c r="AC121" i="1"/>
  <c r="AE121" i="1"/>
  <c r="H292" i="5" s="1"/>
  <c r="R292" i="5" s="1"/>
  <c r="AF121" i="1"/>
  <c r="AG121" i="1"/>
  <c r="AH121" i="1"/>
  <c r="CV121" i="1" s="1"/>
  <c r="U121" i="1" s="1"/>
  <c r="AI121" i="1"/>
  <c r="CW121" i="1" s="1"/>
  <c r="V121" i="1" s="1"/>
  <c r="Z427" i="6" s="1"/>
  <c r="AJ121" i="1"/>
  <c r="CX121" i="1" s="1"/>
  <c r="W121" i="1" s="1"/>
  <c r="CU121" i="1"/>
  <c r="T121" i="1" s="1"/>
  <c r="FR121" i="1"/>
  <c r="GL121" i="1"/>
  <c r="GO121" i="1"/>
  <c r="GP121" i="1"/>
  <c r="GV121" i="1"/>
  <c r="HC121" i="1"/>
  <c r="GX121" i="1" s="1"/>
  <c r="O122" i="1"/>
  <c r="P122" i="1"/>
  <c r="Q122" i="1"/>
  <c r="R122" i="1"/>
  <c r="GK122" i="1" s="1"/>
  <c r="S122" i="1"/>
  <c r="T122" i="1"/>
  <c r="U122" i="1"/>
  <c r="V122" i="1"/>
  <c r="W122" i="1"/>
  <c r="X122" i="1"/>
  <c r="Y122" i="1"/>
  <c r="AB122" i="1"/>
  <c r="CP122" i="1" s="1"/>
  <c r="AC122" i="1"/>
  <c r="AD122" i="1"/>
  <c r="AE122" i="1"/>
  <c r="AF122" i="1"/>
  <c r="AG122" i="1"/>
  <c r="AH122" i="1"/>
  <c r="AI122" i="1"/>
  <c r="AJ122" i="1"/>
  <c r="FR122" i="1"/>
  <c r="GL122" i="1"/>
  <c r="GO122" i="1"/>
  <c r="GP122" i="1"/>
  <c r="GV122" i="1"/>
  <c r="GX122" i="1"/>
  <c r="O123" i="1"/>
  <c r="P123" i="1"/>
  <c r="U442" i="6" s="1"/>
  <c r="Q123" i="1"/>
  <c r="W442" i="6" s="1"/>
  <c r="R123" i="1"/>
  <c r="X442" i="6" s="1"/>
  <c r="S123" i="1"/>
  <c r="V442" i="6" s="1"/>
  <c r="T123" i="1"/>
  <c r="U123" i="1"/>
  <c r="V123" i="1"/>
  <c r="Z442" i="6" s="1"/>
  <c r="W123" i="1"/>
  <c r="X123" i="1"/>
  <c r="Y123" i="1"/>
  <c r="AB123" i="1"/>
  <c r="CP123" i="1" s="1"/>
  <c r="AC123" i="1"/>
  <c r="AD123" i="1"/>
  <c r="AE123" i="1"/>
  <c r="AF123" i="1"/>
  <c r="AG123" i="1"/>
  <c r="AH123" i="1"/>
  <c r="AI123" i="1"/>
  <c r="AJ123" i="1"/>
  <c r="FR123" i="1"/>
  <c r="GK123" i="1"/>
  <c r="GL123" i="1"/>
  <c r="GO123" i="1"/>
  <c r="GP123" i="1"/>
  <c r="GV123" i="1"/>
  <c r="GX123" i="1"/>
  <c r="O124" i="1"/>
  <c r="P124" i="1"/>
  <c r="Q124" i="1"/>
  <c r="R124" i="1"/>
  <c r="GK124" i="1" s="1"/>
  <c r="S124" i="1"/>
  <c r="T124" i="1"/>
  <c r="U124" i="1"/>
  <c r="V124" i="1"/>
  <c r="W124" i="1"/>
  <c r="X124" i="1"/>
  <c r="Y124" i="1"/>
  <c r="AB124" i="1"/>
  <c r="AC124" i="1"/>
  <c r="AD124" i="1"/>
  <c r="AE124" i="1"/>
  <c r="AF124" i="1"/>
  <c r="AG124" i="1"/>
  <c r="AH124" i="1"/>
  <c r="AI124" i="1"/>
  <c r="AJ124" i="1"/>
  <c r="CP124" i="1"/>
  <c r="GN124" i="1" s="1"/>
  <c r="FR124" i="1"/>
  <c r="GL124" i="1"/>
  <c r="GO124" i="1"/>
  <c r="GP124" i="1"/>
  <c r="GV124" i="1"/>
  <c r="GX124" i="1"/>
  <c r="O125" i="1"/>
  <c r="P125" i="1"/>
  <c r="U444" i="6" s="1"/>
  <c r="Q125" i="1"/>
  <c r="W444" i="6" s="1"/>
  <c r="R125" i="1"/>
  <c r="X444" i="6" s="1"/>
  <c r="S125" i="1"/>
  <c r="V444" i="6" s="1"/>
  <c r="T125" i="1"/>
  <c r="U125" i="1"/>
  <c r="V125" i="1"/>
  <c r="Z444" i="6" s="1"/>
  <c r="W125" i="1"/>
  <c r="X125" i="1"/>
  <c r="Y125" i="1"/>
  <c r="AB125" i="1"/>
  <c r="AC125" i="1"/>
  <c r="AD125" i="1"/>
  <c r="AE125" i="1"/>
  <c r="AF125" i="1"/>
  <c r="AG125" i="1"/>
  <c r="AH125" i="1"/>
  <c r="AI125" i="1"/>
  <c r="AJ125" i="1"/>
  <c r="CP125" i="1"/>
  <c r="GM125" i="1" s="1"/>
  <c r="FR125" i="1"/>
  <c r="GL125" i="1"/>
  <c r="GO125" i="1"/>
  <c r="GP125" i="1"/>
  <c r="GV125" i="1"/>
  <c r="GX125" i="1"/>
  <c r="C126" i="1"/>
  <c r="D126" i="1"/>
  <c r="I126" i="1"/>
  <c r="I128" i="1" s="1"/>
  <c r="AC126" i="1"/>
  <c r="AE126" i="1"/>
  <c r="AD126" i="1" s="1"/>
  <c r="CR126" i="1" s="1"/>
  <c r="Q126" i="1" s="1"/>
  <c r="AF126" i="1"/>
  <c r="AG126" i="1"/>
  <c r="AH126" i="1"/>
  <c r="CV126" i="1" s="1"/>
  <c r="AI126" i="1"/>
  <c r="CW126" i="1" s="1"/>
  <c r="V126" i="1" s="1"/>
  <c r="AJ126" i="1"/>
  <c r="CX126" i="1" s="1"/>
  <c r="CQ126" i="1"/>
  <c r="CT126" i="1"/>
  <c r="S126" i="1" s="1"/>
  <c r="CU126" i="1"/>
  <c r="FR126" i="1"/>
  <c r="GL126" i="1"/>
  <c r="GN126" i="1"/>
  <c r="GP126" i="1"/>
  <c r="GV126" i="1"/>
  <c r="HC126" i="1" s="1"/>
  <c r="GX126" i="1" s="1"/>
  <c r="C127" i="1"/>
  <c r="D127" i="1"/>
  <c r="I127" i="1"/>
  <c r="AC127" i="1"/>
  <c r="AE127" i="1"/>
  <c r="H306" i="5" s="1"/>
  <c r="R306" i="5" s="1"/>
  <c r="AF127" i="1"/>
  <c r="AG127" i="1"/>
  <c r="AH127" i="1"/>
  <c r="AI127" i="1"/>
  <c r="CW127" i="1" s="1"/>
  <c r="V127" i="1" s="1"/>
  <c r="Z446" i="6" s="1"/>
  <c r="AJ127" i="1"/>
  <c r="CX127" i="1" s="1"/>
  <c r="W127" i="1" s="1"/>
  <c r="CU127" i="1"/>
  <c r="T127" i="1" s="1"/>
  <c r="CV127" i="1"/>
  <c r="FR127" i="1"/>
  <c r="GL127" i="1"/>
  <c r="GN127" i="1"/>
  <c r="GP127" i="1"/>
  <c r="GV127" i="1"/>
  <c r="HC127" i="1" s="1"/>
  <c r="GX127" i="1" s="1"/>
  <c r="AC128" i="1"/>
  <c r="CQ128" i="1" s="1"/>
  <c r="P128" i="1" s="1"/>
  <c r="AE128" i="1"/>
  <c r="AD128" i="1" s="1"/>
  <c r="AF128" i="1"/>
  <c r="CT128" i="1" s="1"/>
  <c r="AG128" i="1"/>
  <c r="AH128" i="1"/>
  <c r="AI128" i="1"/>
  <c r="CW128" i="1" s="1"/>
  <c r="AJ128" i="1"/>
  <c r="CX128" i="1" s="1"/>
  <c r="CU128" i="1"/>
  <c r="CV128" i="1"/>
  <c r="FR128" i="1"/>
  <c r="GL128" i="1"/>
  <c r="GN128" i="1"/>
  <c r="GP128" i="1"/>
  <c r="GV128" i="1"/>
  <c r="HC128" i="1" s="1"/>
  <c r="I129" i="1"/>
  <c r="AC129" i="1"/>
  <c r="AE129" i="1"/>
  <c r="AD129" i="1" s="1"/>
  <c r="CR129" i="1" s="1"/>
  <c r="Q129" i="1" s="1"/>
  <c r="W455" i="6" s="1"/>
  <c r="AF129" i="1"/>
  <c r="AG129" i="1"/>
  <c r="AH129" i="1"/>
  <c r="CV129" i="1" s="1"/>
  <c r="AI129" i="1"/>
  <c r="AJ129" i="1"/>
  <c r="CX129" i="1" s="1"/>
  <c r="W129" i="1" s="1"/>
  <c r="CQ129" i="1"/>
  <c r="CU129" i="1"/>
  <c r="T129" i="1" s="1"/>
  <c r="CW129" i="1"/>
  <c r="FR129" i="1"/>
  <c r="GL129" i="1"/>
  <c r="FR175" i="1" s="1"/>
  <c r="GN129" i="1"/>
  <c r="GP129" i="1"/>
  <c r="GV129" i="1"/>
  <c r="HC129" i="1"/>
  <c r="GX129" i="1" s="1"/>
  <c r="C130" i="1"/>
  <c r="D130" i="1"/>
  <c r="I130" i="1"/>
  <c r="AC130" i="1"/>
  <c r="AB130" i="1" s="1"/>
  <c r="AD130" i="1"/>
  <c r="CR130" i="1" s="1"/>
  <c r="Q130" i="1" s="1"/>
  <c r="AE130" i="1"/>
  <c r="AF130" i="1"/>
  <c r="CT130" i="1" s="1"/>
  <c r="S130" i="1" s="1"/>
  <c r="AG130" i="1"/>
  <c r="CU130" i="1" s="1"/>
  <c r="T130" i="1" s="1"/>
  <c r="AH130" i="1"/>
  <c r="CV130" i="1" s="1"/>
  <c r="U130" i="1" s="1"/>
  <c r="AI130" i="1"/>
  <c r="AJ130" i="1"/>
  <c r="CQ130" i="1"/>
  <c r="P130" i="1" s="1"/>
  <c r="CS130" i="1"/>
  <c r="R130" i="1" s="1"/>
  <c r="GK130" i="1" s="1"/>
  <c r="CW130" i="1"/>
  <c r="V130" i="1" s="1"/>
  <c r="CX130" i="1"/>
  <c r="W130" i="1" s="1"/>
  <c r="FR130" i="1"/>
  <c r="GL130" i="1"/>
  <c r="GO130" i="1"/>
  <c r="GP130" i="1"/>
  <c r="GV130" i="1"/>
  <c r="HC130" i="1"/>
  <c r="GX130" i="1" s="1"/>
  <c r="C131" i="1"/>
  <c r="D131" i="1"/>
  <c r="I131" i="1"/>
  <c r="AC131" i="1"/>
  <c r="AD131" i="1"/>
  <c r="AE131" i="1"/>
  <c r="H317" i="5" s="1"/>
  <c r="R317" i="5" s="1"/>
  <c r="AF131" i="1"/>
  <c r="AG131" i="1"/>
  <c r="CU131" i="1" s="1"/>
  <c r="T131" i="1" s="1"/>
  <c r="AH131" i="1"/>
  <c r="CV131" i="1" s="1"/>
  <c r="U131" i="1" s="1"/>
  <c r="AI131" i="1"/>
  <c r="CW131" i="1" s="1"/>
  <c r="V131" i="1" s="1"/>
  <c r="Z457" i="6" s="1"/>
  <c r="AJ131" i="1"/>
  <c r="CQ131" i="1"/>
  <c r="P131" i="1" s="1"/>
  <c r="CS131" i="1"/>
  <c r="R131" i="1" s="1"/>
  <c r="CT131" i="1"/>
  <c r="S131" i="1" s="1"/>
  <c r="CX131" i="1"/>
  <c r="W131" i="1" s="1"/>
  <c r="FR131" i="1"/>
  <c r="GL131" i="1"/>
  <c r="GO131" i="1"/>
  <c r="GP131" i="1"/>
  <c r="GV131" i="1"/>
  <c r="HC131" i="1" s="1"/>
  <c r="GX131" i="1" s="1"/>
  <c r="C132" i="1"/>
  <c r="D132" i="1"/>
  <c r="I132" i="1"/>
  <c r="AC132" i="1"/>
  <c r="AD132" i="1"/>
  <c r="CR132" i="1" s="1"/>
  <c r="Q132" i="1" s="1"/>
  <c r="AE132" i="1"/>
  <c r="AF132" i="1"/>
  <c r="AG132" i="1"/>
  <c r="CU132" i="1" s="1"/>
  <c r="T132" i="1" s="1"/>
  <c r="AH132" i="1"/>
  <c r="CV132" i="1" s="1"/>
  <c r="U132" i="1" s="1"/>
  <c r="AI132" i="1"/>
  <c r="CW132" i="1" s="1"/>
  <c r="V132" i="1" s="1"/>
  <c r="AJ132" i="1"/>
  <c r="CQ132" i="1"/>
  <c r="CS132" i="1"/>
  <c r="R132" i="1" s="1"/>
  <c r="GK132" i="1" s="1"/>
  <c r="CT132" i="1"/>
  <c r="S132" i="1" s="1"/>
  <c r="CX132" i="1"/>
  <c r="W132" i="1" s="1"/>
  <c r="FR132" i="1"/>
  <c r="GL132" i="1"/>
  <c r="GO132" i="1"/>
  <c r="GP132" i="1"/>
  <c r="GV132" i="1"/>
  <c r="HC132" i="1" s="1"/>
  <c r="GX132" i="1" s="1"/>
  <c r="C133" i="1"/>
  <c r="D133" i="1"/>
  <c r="I133" i="1"/>
  <c r="I135" i="1" s="1"/>
  <c r="AC133" i="1"/>
  <c r="H327" i="5" s="1"/>
  <c r="AD133" i="1"/>
  <c r="AE133" i="1"/>
  <c r="AF133" i="1"/>
  <c r="CT133" i="1" s="1"/>
  <c r="S133" i="1" s="1"/>
  <c r="AG133" i="1"/>
  <c r="CU133" i="1" s="1"/>
  <c r="T133" i="1" s="1"/>
  <c r="AH133" i="1"/>
  <c r="CV133" i="1" s="1"/>
  <c r="U133" i="1" s="1"/>
  <c r="AI133" i="1"/>
  <c r="AJ133" i="1"/>
  <c r="CS133" i="1"/>
  <c r="R133" i="1" s="1"/>
  <c r="CW133" i="1"/>
  <c r="V133" i="1" s="1"/>
  <c r="Z466" i="6" s="1"/>
  <c r="CX133" i="1"/>
  <c r="W133" i="1" s="1"/>
  <c r="FR133" i="1"/>
  <c r="GL133" i="1"/>
  <c r="GO133" i="1"/>
  <c r="GP133" i="1"/>
  <c r="GV133" i="1"/>
  <c r="HC133" i="1"/>
  <c r="I134" i="1"/>
  <c r="AC134" i="1"/>
  <c r="AE134" i="1"/>
  <c r="AD134" i="1" s="1"/>
  <c r="CR134" i="1" s="1"/>
  <c r="AF134" i="1"/>
  <c r="CT134" i="1" s="1"/>
  <c r="AG134" i="1"/>
  <c r="CU134" i="1" s="1"/>
  <c r="AH134" i="1"/>
  <c r="CV134" i="1" s="1"/>
  <c r="AI134" i="1"/>
  <c r="AJ134" i="1"/>
  <c r="CX134" i="1" s="1"/>
  <c r="CQ134" i="1"/>
  <c r="CS134" i="1"/>
  <c r="CW134" i="1"/>
  <c r="FR134" i="1"/>
  <c r="GL134" i="1"/>
  <c r="GO134" i="1"/>
  <c r="GP134" i="1"/>
  <c r="GV134" i="1"/>
  <c r="HC134" i="1" s="1"/>
  <c r="AC135" i="1"/>
  <c r="AE135" i="1"/>
  <c r="AD135" i="1" s="1"/>
  <c r="CR135" i="1" s="1"/>
  <c r="AF135" i="1"/>
  <c r="AG135" i="1"/>
  <c r="AH135" i="1"/>
  <c r="CV135" i="1" s="1"/>
  <c r="AI135" i="1"/>
  <c r="AJ135" i="1"/>
  <c r="CX135" i="1" s="1"/>
  <c r="W135" i="1" s="1"/>
  <c r="CQ135" i="1"/>
  <c r="CU135" i="1"/>
  <c r="CW135" i="1"/>
  <c r="FR135" i="1"/>
  <c r="GL135" i="1"/>
  <c r="GO135" i="1"/>
  <c r="GP135" i="1"/>
  <c r="GV135" i="1"/>
  <c r="HC135" i="1"/>
  <c r="C136" i="1"/>
  <c r="D136" i="1"/>
  <c r="I136" i="1"/>
  <c r="AC136" i="1"/>
  <c r="AE136" i="1"/>
  <c r="AD136" i="1" s="1"/>
  <c r="CR136" i="1" s="1"/>
  <c r="Q136" i="1" s="1"/>
  <c r="AF136" i="1"/>
  <c r="CT136" i="1" s="1"/>
  <c r="S136" i="1" s="1"/>
  <c r="AG136" i="1"/>
  <c r="AH136" i="1"/>
  <c r="CV136" i="1" s="1"/>
  <c r="AI136" i="1"/>
  <c r="AJ136" i="1"/>
  <c r="CX136" i="1" s="1"/>
  <c r="W136" i="1" s="1"/>
  <c r="CQ136" i="1"/>
  <c r="P136" i="1" s="1"/>
  <c r="CU136" i="1"/>
  <c r="T136" i="1" s="1"/>
  <c r="CW136" i="1"/>
  <c r="V136" i="1" s="1"/>
  <c r="FR136" i="1"/>
  <c r="GL136" i="1"/>
  <c r="GO136" i="1"/>
  <c r="GP136" i="1"/>
  <c r="GV136" i="1"/>
  <c r="HC136" i="1" s="1"/>
  <c r="GX136" i="1" s="1"/>
  <c r="C137" i="1"/>
  <c r="D137" i="1"/>
  <c r="I137" i="1"/>
  <c r="AC137" i="1"/>
  <c r="CQ137" i="1" s="1"/>
  <c r="AE137" i="1"/>
  <c r="AD137" i="1" s="1"/>
  <c r="AF137" i="1"/>
  <c r="CT137" i="1" s="1"/>
  <c r="S137" i="1" s="1"/>
  <c r="AG137" i="1"/>
  <c r="CU137" i="1" s="1"/>
  <c r="T137" i="1" s="1"/>
  <c r="AH137" i="1"/>
  <c r="CV137" i="1" s="1"/>
  <c r="AI137" i="1"/>
  <c r="AJ137" i="1"/>
  <c r="CX137" i="1" s="1"/>
  <c r="W137" i="1" s="1"/>
  <c r="CS137" i="1"/>
  <c r="CW137" i="1"/>
  <c r="V137" i="1" s="1"/>
  <c r="Z484" i="6" s="1"/>
  <c r="FR137" i="1"/>
  <c r="GL137" i="1"/>
  <c r="GO137" i="1"/>
  <c r="GP137" i="1"/>
  <c r="GV137" i="1"/>
  <c r="HC137" i="1"/>
  <c r="GX137" i="1" s="1"/>
  <c r="C138" i="1"/>
  <c r="D138" i="1"/>
  <c r="I138" i="1"/>
  <c r="AC138" i="1"/>
  <c r="AD138" i="1"/>
  <c r="CR138" i="1" s="1"/>
  <c r="Q138" i="1" s="1"/>
  <c r="AE138" i="1"/>
  <c r="AF138" i="1"/>
  <c r="AG138" i="1"/>
  <c r="CU138" i="1" s="1"/>
  <c r="AH138" i="1"/>
  <c r="CV138" i="1" s="1"/>
  <c r="U138" i="1" s="1"/>
  <c r="AI138" i="1"/>
  <c r="CW138" i="1" s="1"/>
  <c r="V138" i="1" s="1"/>
  <c r="AJ138" i="1"/>
  <c r="CQ138" i="1"/>
  <c r="P138" i="1" s="1"/>
  <c r="CS138" i="1"/>
  <c r="R138" i="1" s="1"/>
  <c r="GK138" i="1" s="1"/>
  <c r="CT138" i="1"/>
  <c r="S138" i="1" s="1"/>
  <c r="CX138" i="1"/>
  <c r="W138" i="1" s="1"/>
  <c r="FR138" i="1"/>
  <c r="GL138" i="1"/>
  <c r="GO138" i="1"/>
  <c r="GP138" i="1"/>
  <c r="GV138" i="1"/>
  <c r="HC138" i="1"/>
  <c r="C139" i="1"/>
  <c r="D139" i="1"/>
  <c r="I139" i="1"/>
  <c r="AC139" i="1"/>
  <c r="CQ139" i="1" s="1"/>
  <c r="P139" i="1" s="1"/>
  <c r="AD139" i="1"/>
  <c r="AE139" i="1"/>
  <c r="H346" i="5" s="1"/>
  <c r="R346" i="5" s="1"/>
  <c r="AF139" i="1"/>
  <c r="AG139" i="1"/>
  <c r="AH139" i="1"/>
  <c r="CV139" i="1" s="1"/>
  <c r="U139" i="1" s="1"/>
  <c r="AI139" i="1"/>
  <c r="CW139" i="1" s="1"/>
  <c r="V139" i="1" s="1"/>
  <c r="Z493" i="6" s="1"/>
  <c r="AJ139" i="1"/>
  <c r="CT139" i="1"/>
  <c r="S139" i="1" s="1"/>
  <c r="CU139" i="1"/>
  <c r="T139" i="1" s="1"/>
  <c r="CX139" i="1"/>
  <c r="W139" i="1" s="1"/>
  <c r="FR139" i="1"/>
  <c r="GL139" i="1"/>
  <c r="GO139" i="1"/>
  <c r="GP139" i="1"/>
  <c r="GV139" i="1"/>
  <c r="HC139" i="1" s="1"/>
  <c r="GX139" i="1" s="1"/>
  <c r="C140" i="1"/>
  <c r="D140" i="1"/>
  <c r="I140" i="1"/>
  <c r="I144" i="1" s="1"/>
  <c r="P144" i="1" s="1"/>
  <c r="AC140" i="1"/>
  <c r="CQ140" i="1" s="1"/>
  <c r="P140" i="1" s="1"/>
  <c r="AE140" i="1"/>
  <c r="AD140" i="1" s="1"/>
  <c r="CR140" i="1" s="1"/>
  <c r="Q140" i="1" s="1"/>
  <c r="AF140" i="1"/>
  <c r="CT140" i="1" s="1"/>
  <c r="S140" i="1" s="1"/>
  <c r="AG140" i="1"/>
  <c r="CU140" i="1" s="1"/>
  <c r="T140" i="1" s="1"/>
  <c r="AH140" i="1"/>
  <c r="CV140" i="1" s="1"/>
  <c r="AI140" i="1"/>
  <c r="AJ140" i="1"/>
  <c r="CX140" i="1" s="1"/>
  <c r="W140" i="1" s="1"/>
  <c r="CS140" i="1"/>
  <c r="R140" i="1" s="1"/>
  <c r="GK140" i="1" s="1"/>
  <c r="CW140" i="1"/>
  <c r="V140" i="1" s="1"/>
  <c r="FR140" i="1"/>
  <c r="GL140" i="1"/>
  <c r="GO140" i="1"/>
  <c r="GP140" i="1"/>
  <c r="GV140" i="1"/>
  <c r="HC140" i="1"/>
  <c r="GX140" i="1" s="1"/>
  <c r="C141" i="1"/>
  <c r="D141" i="1"/>
  <c r="I141" i="1"/>
  <c r="AC141" i="1"/>
  <c r="AE141" i="1"/>
  <c r="H355" i="5" s="1"/>
  <c r="R355" i="5" s="1"/>
  <c r="AF141" i="1"/>
  <c r="AG141" i="1"/>
  <c r="CU141" i="1" s="1"/>
  <c r="AH141" i="1"/>
  <c r="CV141" i="1" s="1"/>
  <c r="AI141" i="1"/>
  <c r="AJ141" i="1"/>
  <c r="CX141" i="1" s="1"/>
  <c r="W141" i="1" s="1"/>
  <c r="CS141" i="1"/>
  <c r="R141" i="1" s="1"/>
  <c r="CW141" i="1"/>
  <c r="FR141" i="1"/>
  <c r="GL141" i="1"/>
  <c r="GO141" i="1"/>
  <c r="GP141" i="1"/>
  <c r="GV141" i="1"/>
  <c r="HC141" i="1"/>
  <c r="I142" i="1"/>
  <c r="P142" i="1" s="1"/>
  <c r="AC142" i="1"/>
  <c r="AE142" i="1"/>
  <c r="AD142" i="1" s="1"/>
  <c r="CR142" i="1" s="1"/>
  <c r="Q142" i="1" s="1"/>
  <c r="AF142" i="1"/>
  <c r="CT142" i="1" s="1"/>
  <c r="AG142" i="1"/>
  <c r="AH142" i="1"/>
  <c r="CV142" i="1" s="1"/>
  <c r="U142" i="1" s="1"/>
  <c r="AI142" i="1"/>
  <c r="CW142" i="1" s="1"/>
  <c r="V142" i="1" s="1"/>
  <c r="AJ142" i="1"/>
  <c r="CX142" i="1" s="1"/>
  <c r="CQ142" i="1"/>
  <c r="CS142" i="1"/>
  <c r="R142" i="1" s="1"/>
  <c r="GK142" i="1" s="1"/>
  <c r="CU142" i="1"/>
  <c r="FR142" i="1"/>
  <c r="GL142" i="1"/>
  <c r="GO142" i="1"/>
  <c r="GP142" i="1"/>
  <c r="GV142" i="1"/>
  <c r="HC142" i="1" s="1"/>
  <c r="GX142" i="1" s="1"/>
  <c r="AC143" i="1"/>
  <c r="AD143" i="1"/>
  <c r="CR143" i="1" s="1"/>
  <c r="AE143" i="1"/>
  <c r="AF143" i="1"/>
  <c r="AG143" i="1"/>
  <c r="CU143" i="1" s="1"/>
  <c r="AH143" i="1"/>
  <c r="CV143" i="1" s="1"/>
  <c r="AI143" i="1"/>
  <c r="CW143" i="1" s="1"/>
  <c r="AJ143" i="1"/>
  <c r="CQ143" i="1"/>
  <c r="CS143" i="1"/>
  <c r="CT143" i="1"/>
  <c r="CX143" i="1"/>
  <c r="FR143" i="1"/>
  <c r="GL143" i="1"/>
  <c r="GO143" i="1"/>
  <c r="GP143" i="1"/>
  <c r="GV143" i="1"/>
  <c r="HC143" i="1" s="1"/>
  <c r="AC144" i="1"/>
  <c r="AE144" i="1"/>
  <c r="AD144" i="1" s="1"/>
  <c r="AF144" i="1"/>
  <c r="CT144" i="1" s="1"/>
  <c r="AG144" i="1"/>
  <c r="CU144" i="1" s="1"/>
  <c r="AH144" i="1"/>
  <c r="CV144" i="1" s="1"/>
  <c r="AI144" i="1"/>
  <c r="CW144" i="1" s="1"/>
  <c r="AJ144" i="1"/>
  <c r="CX144" i="1" s="1"/>
  <c r="CQ144" i="1"/>
  <c r="CS144" i="1"/>
  <c r="FR144" i="1"/>
  <c r="GL144" i="1"/>
  <c r="GO144" i="1"/>
  <c r="GP144" i="1"/>
  <c r="GV144" i="1"/>
  <c r="HC144" i="1" s="1"/>
  <c r="AC145" i="1"/>
  <c r="AE145" i="1"/>
  <c r="AD145" i="1" s="1"/>
  <c r="CR145" i="1" s="1"/>
  <c r="AF145" i="1"/>
  <c r="CT145" i="1" s="1"/>
  <c r="AG145" i="1"/>
  <c r="CU145" i="1" s="1"/>
  <c r="AH145" i="1"/>
  <c r="CV145" i="1" s="1"/>
  <c r="AI145" i="1"/>
  <c r="AJ145" i="1"/>
  <c r="CX145" i="1" s="1"/>
  <c r="CS145" i="1"/>
  <c r="CW145" i="1"/>
  <c r="FR145" i="1"/>
  <c r="GL145" i="1"/>
  <c r="GO145" i="1"/>
  <c r="GP145" i="1"/>
  <c r="GV145" i="1"/>
  <c r="HC145" i="1"/>
  <c r="I146" i="1"/>
  <c r="P146" i="1" s="1"/>
  <c r="AC146" i="1"/>
  <c r="AD146" i="1"/>
  <c r="AB146" i="1" s="1"/>
  <c r="AE146" i="1"/>
  <c r="AF146" i="1"/>
  <c r="CT146" i="1" s="1"/>
  <c r="AG146" i="1"/>
  <c r="CU146" i="1" s="1"/>
  <c r="T146" i="1" s="1"/>
  <c r="AH146" i="1"/>
  <c r="CV146" i="1" s="1"/>
  <c r="U146" i="1" s="1"/>
  <c r="AI146" i="1"/>
  <c r="CW146" i="1" s="1"/>
  <c r="V146" i="1" s="1"/>
  <c r="AJ146" i="1"/>
  <c r="CX146" i="1" s="1"/>
  <c r="CQ146" i="1"/>
  <c r="CR146" i="1"/>
  <c r="Q146" i="1" s="1"/>
  <c r="CS146" i="1"/>
  <c r="R146" i="1" s="1"/>
  <c r="GK146" i="1" s="1"/>
  <c r="FR146" i="1"/>
  <c r="GL146" i="1"/>
  <c r="GO146" i="1"/>
  <c r="GP146" i="1"/>
  <c r="GV146" i="1"/>
  <c r="HC146" i="1" s="1"/>
  <c r="GX146" i="1" s="1"/>
  <c r="AC147" i="1"/>
  <c r="AE147" i="1"/>
  <c r="AD147" i="1" s="1"/>
  <c r="CR147" i="1" s="1"/>
  <c r="AF147" i="1"/>
  <c r="CT147" i="1" s="1"/>
  <c r="AG147" i="1"/>
  <c r="CU147" i="1" s="1"/>
  <c r="AH147" i="1"/>
  <c r="CV147" i="1" s="1"/>
  <c r="AI147" i="1"/>
  <c r="AJ147" i="1"/>
  <c r="CX147" i="1" s="1"/>
  <c r="CS147" i="1"/>
  <c r="CW147" i="1"/>
  <c r="FR147" i="1"/>
  <c r="GL147" i="1"/>
  <c r="GO147" i="1"/>
  <c r="GP147" i="1"/>
  <c r="GV147" i="1"/>
  <c r="HC147" i="1" s="1"/>
  <c r="C148" i="1"/>
  <c r="D148" i="1"/>
  <c r="I148" i="1"/>
  <c r="I150" i="1" s="1"/>
  <c r="P150" i="1" s="1"/>
  <c r="AC148" i="1"/>
  <c r="CQ148" i="1" s="1"/>
  <c r="AD148" i="1"/>
  <c r="CR148" i="1" s="1"/>
  <c r="AE148" i="1"/>
  <c r="CS148" i="1" s="1"/>
  <c r="R148" i="1" s="1"/>
  <c r="GK148" i="1" s="1"/>
  <c r="AF148" i="1"/>
  <c r="AG148" i="1"/>
  <c r="AH148" i="1"/>
  <c r="CV148" i="1" s="1"/>
  <c r="AI148" i="1"/>
  <c r="CW148" i="1" s="1"/>
  <c r="AJ148" i="1"/>
  <c r="CT148" i="1"/>
  <c r="S148" i="1" s="1"/>
  <c r="CU148" i="1"/>
  <c r="CX148" i="1"/>
  <c r="FR148" i="1"/>
  <c r="GL148" i="1"/>
  <c r="GO148" i="1"/>
  <c r="GP148" i="1"/>
  <c r="GV148" i="1"/>
  <c r="HC148" i="1" s="1"/>
  <c r="C149" i="1"/>
  <c r="D149" i="1"/>
  <c r="I149" i="1"/>
  <c r="AC149" i="1"/>
  <c r="H369" i="5" s="1"/>
  <c r="AD149" i="1"/>
  <c r="AE149" i="1"/>
  <c r="AF149" i="1"/>
  <c r="CT149" i="1" s="1"/>
  <c r="S149" i="1" s="1"/>
  <c r="AG149" i="1"/>
  <c r="CU149" i="1" s="1"/>
  <c r="AH149" i="1"/>
  <c r="CV149" i="1" s="1"/>
  <c r="AI149" i="1"/>
  <c r="AJ149" i="1"/>
  <c r="CS149" i="1"/>
  <c r="R149" i="1" s="1"/>
  <c r="CW149" i="1"/>
  <c r="V149" i="1" s="1"/>
  <c r="Z524" i="6" s="1"/>
  <c r="CX149" i="1"/>
  <c r="W149" i="1" s="1"/>
  <c r="FR149" i="1"/>
  <c r="GL149" i="1"/>
  <c r="GO149" i="1"/>
  <c r="GP149" i="1"/>
  <c r="GV149" i="1"/>
  <c r="GX149" i="1"/>
  <c r="HC149" i="1"/>
  <c r="AC150" i="1"/>
  <c r="CQ150" i="1" s="1"/>
  <c r="AE150" i="1"/>
  <c r="AD150" i="1" s="1"/>
  <c r="AF150" i="1"/>
  <c r="CT150" i="1" s="1"/>
  <c r="AG150" i="1"/>
  <c r="AH150" i="1"/>
  <c r="CV150" i="1" s="1"/>
  <c r="AI150" i="1"/>
  <c r="CW150" i="1" s="1"/>
  <c r="AJ150" i="1"/>
  <c r="CX150" i="1" s="1"/>
  <c r="CS150" i="1"/>
  <c r="CU150" i="1"/>
  <c r="FR150" i="1"/>
  <c r="GL150" i="1"/>
  <c r="GO150" i="1"/>
  <c r="GP150" i="1"/>
  <c r="GV150" i="1"/>
  <c r="HC150" i="1" s="1"/>
  <c r="I151" i="1"/>
  <c r="AC151" i="1"/>
  <c r="AE151" i="1"/>
  <c r="AD151" i="1" s="1"/>
  <c r="CR151" i="1" s="1"/>
  <c r="Q151" i="1" s="1"/>
  <c r="W540" i="6" s="1"/>
  <c r="AF151" i="1"/>
  <c r="CT151" i="1" s="1"/>
  <c r="S151" i="1" s="1"/>
  <c r="AG151" i="1"/>
  <c r="CU151" i="1" s="1"/>
  <c r="T151" i="1" s="1"/>
  <c r="AH151" i="1"/>
  <c r="CV151" i="1" s="1"/>
  <c r="AI151" i="1"/>
  <c r="AJ151" i="1"/>
  <c r="CX151" i="1" s="1"/>
  <c r="W151" i="1" s="1"/>
  <c r="CS151" i="1"/>
  <c r="R151" i="1" s="1"/>
  <c r="CW151" i="1"/>
  <c r="V151" i="1" s="1"/>
  <c r="Z540" i="6" s="1"/>
  <c r="FR151" i="1"/>
  <c r="GL151" i="1"/>
  <c r="GO151" i="1"/>
  <c r="GP151" i="1"/>
  <c r="GV151" i="1"/>
  <c r="HC151" i="1"/>
  <c r="GX151" i="1" s="1"/>
  <c r="I152" i="1"/>
  <c r="AC152" i="1"/>
  <c r="AD152" i="1"/>
  <c r="AE152" i="1"/>
  <c r="AF152" i="1"/>
  <c r="CT152" i="1" s="1"/>
  <c r="AG152" i="1"/>
  <c r="CU152" i="1" s="1"/>
  <c r="T152" i="1" s="1"/>
  <c r="AH152" i="1"/>
  <c r="CV152" i="1" s="1"/>
  <c r="U152" i="1" s="1"/>
  <c r="AI152" i="1"/>
  <c r="AJ152" i="1"/>
  <c r="CX152" i="1" s="1"/>
  <c r="CQ152" i="1"/>
  <c r="CR152" i="1"/>
  <c r="Q152" i="1" s="1"/>
  <c r="CS152" i="1"/>
  <c r="R152" i="1" s="1"/>
  <c r="GK152" i="1" s="1"/>
  <c r="CW152" i="1"/>
  <c r="V152" i="1" s="1"/>
  <c r="FR152" i="1"/>
  <c r="GL152" i="1"/>
  <c r="GO152" i="1"/>
  <c r="GP152" i="1"/>
  <c r="GV152" i="1"/>
  <c r="HC152" i="1" s="1"/>
  <c r="GX152" i="1" s="1"/>
  <c r="AC153" i="1"/>
  <c r="AE153" i="1"/>
  <c r="AD153" i="1" s="1"/>
  <c r="CR153" i="1" s="1"/>
  <c r="AF153" i="1"/>
  <c r="AG153" i="1"/>
  <c r="AH153" i="1"/>
  <c r="CV153" i="1" s="1"/>
  <c r="AI153" i="1"/>
  <c r="CW153" i="1" s="1"/>
  <c r="AJ153" i="1"/>
  <c r="CX153" i="1" s="1"/>
  <c r="CU153" i="1"/>
  <c r="FR153" i="1"/>
  <c r="GL153" i="1"/>
  <c r="GO153" i="1"/>
  <c r="GP153" i="1"/>
  <c r="GV153" i="1"/>
  <c r="HC153" i="1"/>
  <c r="C154" i="1"/>
  <c r="D154" i="1"/>
  <c r="I154" i="1"/>
  <c r="AC154" i="1"/>
  <c r="CQ154" i="1" s="1"/>
  <c r="P154" i="1" s="1"/>
  <c r="AD154" i="1"/>
  <c r="CR154" i="1" s="1"/>
  <c r="AE154" i="1"/>
  <c r="AF154" i="1"/>
  <c r="AG154" i="1"/>
  <c r="CU154" i="1" s="1"/>
  <c r="AH154" i="1"/>
  <c r="CV154" i="1" s="1"/>
  <c r="AI154" i="1"/>
  <c r="AJ154" i="1"/>
  <c r="CS154" i="1"/>
  <c r="R154" i="1" s="1"/>
  <c r="GK154" i="1" s="1"/>
  <c r="CT154" i="1"/>
  <c r="S154" i="1" s="1"/>
  <c r="CW154" i="1"/>
  <c r="CX154" i="1"/>
  <c r="W154" i="1" s="1"/>
  <c r="FR154" i="1"/>
  <c r="GL154" i="1"/>
  <c r="GO154" i="1"/>
  <c r="GP154" i="1"/>
  <c r="GV154" i="1"/>
  <c r="HC154" i="1" s="1"/>
  <c r="C155" i="1"/>
  <c r="D155" i="1"/>
  <c r="I155" i="1"/>
  <c r="AC155" i="1"/>
  <c r="H381" i="5" s="1"/>
  <c r="AE155" i="1"/>
  <c r="AD155" i="1" s="1"/>
  <c r="AF155" i="1"/>
  <c r="AG155" i="1"/>
  <c r="AH155" i="1"/>
  <c r="CV155" i="1" s="1"/>
  <c r="AI155" i="1"/>
  <c r="AJ155" i="1"/>
  <c r="CX155" i="1" s="1"/>
  <c r="W155" i="1" s="1"/>
  <c r="CQ155" i="1"/>
  <c r="P155" i="1" s="1"/>
  <c r="CU155" i="1"/>
  <c r="CW155" i="1"/>
  <c r="V155" i="1" s="1"/>
  <c r="Z544" i="6" s="1"/>
  <c r="FR155" i="1"/>
  <c r="GL155" i="1"/>
  <c r="GO155" i="1"/>
  <c r="GP155" i="1"/>
  <c r="GV155" i="1"/>
  <c r="HC155" i="1" s="1"/>
  <c r="I156" i="1"/>
  <c r="AC156" i="1"/>
  <c r="CQ156" i="1" s="1"/>
  <c r="AE156" i="1"/>
  <c r="AD156" i="1" s="1"/>
  <c r="AF156" i="1"/>
  <c r="CT156" i="1" s="1"/>
  <c r="AG156" i="1"/>
  <c r="AH156" i="1"/>
  <c r="CV156" i="1" s="1"/>
  <c r="AI156" i="1"/>
  <c r="CW156" i="1" s="1"/>
  <c r="V156" i="1" s="1"/>
  <c r="AJ156" i="1"/>
  <c r="CX156" i="1" s="1"/>
  <c r="CS156" i="1"/>
  <c r="R156" i="1" s="1"/>
  <c r="GK156" i="1" s="1"/>
  <c r="CU156" i="1"/>
  <c r="T156" i="1" s="1"/>
  <c r="FR156" i="1"/>
  <c r="GL156" i="1"/>
  <c r="GO156" i="1"/>
  <c r="GP156" i="1"/>
  <c r="GV156" i="1"/>
  <c r="HC156" i="1" s="1"/>
  <c r="GX156" i="1" s="1"/>
  <c r="I157" i="1"/>
  <c r="AC157" i="1"/>
  <c r="AE157" i="1"/>
  <c r="AD157" i="1" s="1"/>
  <c r="CR157" i="1" s="1"/>
  <c r="Q157" i="1" s="1"/>
  <c r="W560" i="6" s="1"/>
  <c r="AF157" i="1"/>
  <c r="CT157" i="1" s="1"/>
  <c r="S157" i="1" s="1"/>
  <c r="AG157" i="1"/>
  <c r="CU157" i="1" s="1"/>
  <c r="T157" i="1" s="1"/>
  <c r="AH157" i="1"/>
  <c r="CV157" i="1" s="1"/>
  <c r="AI157" i="1"/>
  <c r="AJ157" i="1"/>
  <c r="CX157" i="1" s="1"/>
  <c r="W157" i="1" s="1"/>
  <c r="CS157" i="1"/>
  <c r="R157" i="1" s="1"/>
  <c r="CW157" i="1"/>
  <c r="V157" i="1" s="1"/>
  <c r="Z560" i="6" s="1"/>
  <c r="FR157" i="1"/>
  <c r="GL157" i="1"/>
  <c r="GO157" i="1"/>
  <c r="GP157" i="1"/>
  <c r="GV157" i="1"/>
  <c r="HC157" i="1"/>
  <c r="GX157" i="1" s="1"/>
  <c r="AC158" i="1"/>
  <c r="AE158" i="1"/>
  <c r="AD158" i="1" s="1"/>
  <c r="AF158" i="1"/>
  <c r="CT158" i="1" s="1"/>
  <c r="AG158" i="1"/>
  <c r="AH158" i="1"/>
  <c r="CV158" i="1" s="1"/>
  <c r="AI158" i="1"/>
  <c r="AJ158" i="1"/>
  <c r="CX158" i="1" s="1"/>
  <c r="CQ158" i="1"/>
  <c r="CS158" i="1"/>
  <c r="CU158" i="1"/>
  <c r="CW158" i="1"/>
  <c r="FR158" i="1"/>
  <c r="GL158" i="1"/>
  <c r="GO158" i="1"/>
  <c r="GP158" i="1"/>
  <c r="GV158" i="1"/>
  <c r="HC158" i="1" s="1"/>
  <c r="AC159" i="1"/>
  <c r="AD159" i="1"/>
  <c r="CR159" i="1" s="1"/>
  <c r="AE159" i="1"/>
  <c r="CS159" i="1" s="1"/>
  <c r="AF159" i="1"/>
  <c r="AG159" i="1"/>
  <c r="AH159" i="1"/>
  <c r="CV159" i="1" s="1"/>
  <c r="AI159" i="1"/>
  <c r="CW159" i="1" s="1"/>
  <c r="AJ159" i="1"/>
  <c r="CX159" i="1" s="1"/>
  <c r="CT159" i="1"/>
  <c r="CU159" i="1"/>
  <c r="FR159" i="1"/>
  <c r="GL159" i="1"/>
  <c r="GO159" i="1"/>
  <c r="GP159" i="1"/>
  <c r="GV159" i="1"/>
  <c r="HC159" i="1"/>
  <c r="C160" i="1"/>
  <c r="D160" i="1"/>
  <c r="I160" i="1"/>
  <c r="AC160" i="1"/>
  <c r="CQ160" i="1" s="1"/>
  <c r="P160" i="1" s="1"/>
  <c r="AE160" i="1"/>
  <c r="AD160" i="1" s="1"/>
  <c r="CR160" i="1" s="1"/>
  <c r="AF160" i="1"/>
  <c r="AG160" i="1"/>
  <c r="CU160" i="1" s="1"/>
  <c r="AH160" i="1"/>
  <c r="CV160" i="1" s="1"/>
  <c r="AI160" i="1"/>
  <c r="AJ160" i="1"/>
  <c r="CX160" i="1" s="1"/>
  <c r="W160" i="1" s="1"/>
  <c r="CS160" i="1"/>
  <c r="R160" i="1" s="1"/>
  <c r="GK160" i="1" s="1"/>
  <c r="CW160" i="1"/>
  <c r="FR160" i="1"/>
  <c r="GL160" i="1"/>
  <c r="GO160" i="1"/>
  <c r="GP160" i="1"/>
  <c r="GV160" i="1"/>
  <c r="HC160" i="1"/>
  <c r="C161" i="1"/>
  <c r="D161" i="1"/>
  <c r="I161" i="1"/>
  <c r="AC161" i="1"/>
  <c r="H393" i="5" s="1"/>
  <c r="AE161" i="1"/>
  <c r="H392" i="5" s="1"/>
  <c r="R392" i="5" s="1"/>
  <c r="AF161" i="1"/>
  <c r="AG161" i="1"/>
  <c r="AH161" i="1"/>
  <c r="CV161" i="1" s="1"/>
  <c r="U161" i="1" s="1"/>
  <c r="AI161" i="1"/>
  <c r="CW161" i="1" s="1"/>
  <c r="V161" i="1" s="1"/>
  <c r="Z564" i="6" s="1"/>
  <c r="AJ161" i="1"/>
  <c r="CX161" i="1" s="1"/>
  <c r="W161" i="1" s="1"/>
  <c r="CQ161" i="1"/>
  <c r="P161" i="1" s="1"/>
  <c r="CT161" i="1"/>
  <c r="S161" i="1" s="1"/>
  <c r="CU161" i="1"/>
  <c r="FR161" i="1"/>
  <c r="GL161" i="1"/>
  <c r="GO161" i="1"/>
  <c r="GP161" i="1"/>
  <c r="GV161" i="1"/>
  <c r="HC161" i="1" s="1"/>
  <c r="C162" i="1"/>
  <c r="D162" i="1"/>
  <c r="I162" i="1"/>
  <c r="I166" i="1" s="1"/>
  <c r="AC162" i="1"/>
  <c r="CQ162" i="1" s="1"/>
  <c r="AE162" i="1"/>
  <c r="AD162" i="1" s="1"/>
  <c r="CR162" i="1" s="1"/>
  <c r="Q162" i="1" s="1"/>
  <c r="AF162" i="1"/>
  <c r="CT162" i="1" s="1"/>
  <c r="S162" i="1" s="1"/>
  <c r="AG162" i="1"/>
  <c r="AH162" i="1"/>
  <c r="CV162" i="1" s="1"/>
  <c r="AI162" i="1"/>
  <c r="CW162" i="1" s="1"/>
  <c r="V162" i="1" s="1"/>
  <c r="AJ162" i="1"/>
  <c r="CX162" i="1" s="1"/>
  <c r="W162" i="1" s="1"/>
  <c r="CU162" i="1"/>
  <c r="T162" i="1" s="1"/>
  <c r="FR162" i="1"/>
  <c r="GL162" i="1"/>
  <c r="GO162" i="1"/>
  <c r="GP162" i="1"/>
  <c r="GV162" i="1"/>
  <c r="HC162" i="1" s="1"/>
  <c r="GX162" i="1" s="1"/>
  <c r="C163" i="1"/>
  <c r="D163" i="1"/>
  <c r="I163" i="1"/>
  <c r="AC163" i="1"/>
  <c r="AD163" i="1"/>
  <c r="AE163" i="1"/>
  <c r="AF163" i="1"/>
  <c r="AG163" i="1"/>
  <c r="CU163" i="1" s="1"/>
  <c r="T163" i="1" s="1"/>
  <c r="AH163" i="1"/>
  <c r="CV163" i="1" s="1"/>
  <c r="AI163" i="1"/>
  <c r="AJ163" i="1"/>
  <c r="CX163" i="1" s="1"/>
  <c r="CS163" i="1"/>
  <c r="R163" i="1" s="1"/>
  <c r="CW163" i="1"/>
  <c r="FR163" i="1"/>
  <c r="GL163" i="1"/>
  <c r="GO163" i="1"/>
  <c r="GP163" i="1"/>
  <c r="GV163" i="1"/>
  <c r="HC163" i="1" s="1"/>
  <c r="GX163" i="1" s="1"/>
  <c r="AC164" i="1"/>
  <c r="CQ164" i="1" s="1"/>
  <c r="AD164" i="1"/>
  <c r="AE164" i="1"/>
  <c r="AF164" i="1"/>
  <c r="CT164" i="1" s="1"/>
  <c r="AG164" i="1"/>
  <c r="CU164" i="1" s="1"/>
  <c r="AH164" i="1"/>
  <c r="AI164" i="1"/>
  <c r="AJ164" i="1"/>
  <c r="CX164" i="1" s="1"/>
  <c r="CR164" i="1"/>
  <c r="CS164" i="1"/>
  <c r="CV164" i="1"/>
  <c r="CW164" i="1"/>
  <c r="FR164" i="1"/>
  <c r="GL164" i="1"/>
  <c r="GO164" i="1"/>
  <c r="GP164" i="1"/>
  <c r="GV164" i="1"/>
  <c r="HC164" i="1" s="1"/>
  <c r="AC165" i="1"/>
  <c r="AE165" i="1"/>
  <c r="AD165" i="1" s="1"/>
  <c r="CR165" i="1" s="1"/>
  <c r="AF165" i="1"/>
  <c r="AG165" i="1"/>
  <c r="CU165" i="1" s="1"/>
  <c r="AH165" i="1"/>
  <c r="CV165" i="1" s="1"/>
  <c r="AI165" i="1"/>
  <c r="AJ165" i="1"/>
  <c r="CX165" i="1" s="1"/>
  <c r="CS165" i="1"/>
  <c r="CW165" i="1"/>
  <c r="FR165" i="1"/>
  <c r="GL165" i="1"/>
  <c r="GO165" i="1"/>
  <c r="GP165" i="1"/>
  <c r="GV165" i="1"/>
  <c r="HC165" i="1"/>
  <c r="AC166" i="1"/>
  <c r="CQ166" i="1" s="1"/>
  <c r="AD166" i="1"/>
  <c r="AE166" i="1"/>
  <c r="AF166" i="1"/>
  <c r="CT166" i="1" s="1"/>
  <c r="AG166" i="1"/>
  <c r="CU166" i="1" s="1"/>
  <c r="T166" i="1" s="1"/>
  <c r="AH166" i="1"/>
  <c r="AI166" i="1"/>
  <c r="AJ166" i="1"/>
  <c r="CX166" i="1" s="1"/>
  <c r="CR166" i="1"/>
  <c r="CS166" i="1"/>
  <c r="CV166" i="1"/>
  <c r="CW166" i="1"/>
  <c r="FR166" i="1"/>
  <c r="GL166" i="1"/>
  <c r="GO166" i="1"/>
  <c r="GP166" i="1"/>
  <c r="GV166" i="1"/>
  <c r="HC166" i="1" s="1"/>
  <c r="AC167" i="1"/>
  <c r="AD167" i="1"/>
  <c r="CR167" i="1" s="1"/>
  <c r="AE167" i="1"/>
  <c r="AF167" i="1"/>
  <c r="AG167" i="1"/>
  <c r="CU167" i="1" s="1"/>
  <c r="AH167" i="1"/>
  <c r="CV167" i="1" s="1"/>
  <c r="AI167" i="1"/>
  <c r="CW167" i="1" s="1"/>
  <c r="AJ167" i="1"/>
  <c r="CQ167" i="1"/>
  <c r="CS167" i="1"/>
  <c r="CT167" i="1"/>
  <c r="CX167" i="1"/>
  <c r="FR167" i="1"/>
  <c r="GL167" i="1"/>
  <c r="GO167" i="1"/>
  <c r="GP167" i="1"/>
  <c r="GV167" i="1"/>
  <c r="HC167" i="1"/>
  <c r="C168" i="1"/>
  <c r="D168" i="1"/>
  <c r="I168" i="1"/>
  <c r="I172" i="1" s="1"/>
  <c r="AC168" i="1"/>
  <c r="CQ168" i="1" s="1"/>
  <c r="P168" i="1" s="1"/>
  <c r="AD168" i="1"/>
  <c r="CR168" i="1" s="1"/>
  <c r="Q168" i="1" s="1"/>
  <c r="AE168" i="1"/>
  <c r="CS168" i="1" s="1"/>
  <c r="R168" i="1" s="1"/>
  <c r="GK168" i="1" s="1"/>
  <c r="AF168" i="1"/>
  <c r="AG168" i="1"/>
  <c r="AH168" i="1"/>
  <c r="CV168" i="1" s="1"/>
  <c r="U168" i="1" s="1"/>
  <c r="AI168" i="1"/>
  <c r="CW168" i="1" s="1"/>
  <c r="V168" i="1" s="1"/>
  <c r="AJ168" i="1"/>
  <c r="CT168" i="1"/>
  <c r="S168" i="1" s="1"/>
  <c r="CU168" i="1"/>
  <c r="T168" i="1" s="1"/>
  <c r="CX168" i="1"/>
  <c r="W168" i="1" s="1"/>
  <c r="FR168" i="1"/>
  <c r="GL168" i="1"/>
  <c r="GO168" i="1"/>
  <c r="GP168" i="1"/>
  <c r="GV168" i="1"/>
  <c r="HC168" i="1" s="1"/>
  <c r="GX168" i="1" s="1"/>
  <c r="C169" i="1"/>
  <c r="D169" i="1"/>
  <c r="I169" i="1"/>
  <c r="I171" i="1" s="1"/>
  <c r="V169" i="1"/>
  <c r="Z598" i="6" s="1"/>
  <c r="AC169" i="1"/>
  <c r="AE169" i="1"/>
  <c r="AD169" i="1" s="1"/>
  <c r="AF169" i="1"/>
  <c r="AG169" i="1"/>
  <c r="CU169" i="1" s="1"/>
  <c r="T169" i="1" s="1"/>
  <c r="AH169" i="1"/>
  <c r="CV169" i="1" s="1"/>
  <c r="AI169" i="1"/>
  <c r="AJ169" i="1"/>
  <c r="CX169" i="1" s="1"/>
  <c r="W169" i="1" s="1"/>
  <c r="CS169" i="1"/>
  <c r="R169" i="1" s="1"/>
  <c r="CW169" i="1"/>
  <c r="FR169" i="1"/>
  <c r="GL169" i="1"/>
  <c r="GO169" i="1"/>
  <c r="GP169" i="1"/>
  <c r="GV169" i="1"/>
  <c r="HC169" i="1" s="1"/>
  <c r="GX169" i="1" s="1"/>
  <c r="I170" i="1"/>
  <c r="AC170" i="1"/>
  <c r="AD170" i="1"/>
  <c r="AB170" i="1" s="1"/>
  <c r="AE170" i="1"/>
  <c r="AF170" i="1"/>
  <c r="CT170" i="1" s="1"/>
  <c r="AG170" i="1"/>
  <c r="CU170" i="1" s="1"/>
  <c r="T170" i="1" s="1"/>
  <c r="AH170" i="1"/>
  <c r="CV170" i="1" s="1"/>
  <c r="U170" i="1" s="1"/>
  <c r="AI170" i="1"/>
  <c r="AJ170" i="1"/>
  <c r="CX170" i="1" s="1"/>
  <c r="CQ170" i="1"/>
  <c r="CR170" i="1"/>
  <c r="Q170" i="1" s="1"/>
  <c r="CS170" i="1"/>
  <c r="R170" i="1" s="1"/>
  <c r="GK170" i="1" s="1"/>
  <c r="CW170" i="1"/>
  <c r="V170" i="1" s="1"/>
  <c r="FR170" i="1"/>
  <c r="GL170" i="1"/>
  <c r="GO170" i="1"/>
  <c r="GP170" i="1"/>
  <c r="GV170" i="1"/>
  <c r="HC170" i="1" s="1"/>
  <c r="AC171" i="1"/>
  <c r="AD171" i="1"/>
  <c r="CR171" i="1" s="1"/>
  <c r="AE171" i="1"/>
  <c r="AF171" i="1"/>
  <c r="AG171" i="1"/>
  <c r="CU171" i="1" s="1"/>
  <c r="AH171" i="1"/>
  <c r="CV171" i="1" s="1"/>
  <c r="AI171" i="1"/>
  <c r="AJ171" i="1"/>
  <c r="CX171" i="1" s="1"/>
  <c r="CS171" i="1"/>
  <c r="CT171" i="1"/>
  <c r="CW171" i="1"/>
  <c r="FR171" i="1"/>
  <c r="GL171" i="1"/>
  <c r="GO171" i="1"/>
  <c r="GP171" i="1"/>
  <c r="GV171" i="1"/>
  <c r="HC171" i="1" s="1"/>
  <c r="AC172" i="1"/>
  <c r="CQ172" i="1" s="1"/>
  <c r="P172" i="1" s="1"/>
  <c r="AE172" i="1"/>
  <c r="AD172" i="1" s="1"/>
  <c r="AF172" i="1"/>
  <c r="CT172" i="1" s="1"/>
  <c r="AG172" i="1"/>
  <c r="AH172" i="1"/>
  <c r="AI172" i="1"/>
  <c r="CW172" i="1" s="1"/>
  <c r="V172" i="1" s="1"/>
  <c r="AJ172" i="1"/>
  <c r="CX172" i="1" s="1"/>
  <c r="CU172" i="1"/>
  <c r="T172" i="1" s="1"/>
  <c r="CV172" i="1"/>
  <c r="U172" i="1" s="1"/>
  <c r="FR172" i="1"/>
  <c r="GL172" i="1"/>
  <c r="GO172" i="1"/>
  <c r="GP172" i="1"/>
  <c r="GV172" i="1"/>
  <c r="HC172" i="1" s="1"/>
  <c r="AC173" i="1"/>
  <c r="AD173" i="1"/>
  <c r="CR173" i="1" s="1"/>
  <c r="AE173" i="1"/>
  <c r="CS173" i="1" s="1"/>
  <c r="AF173" i="1"/>
  <c r="AG173" i="1"/>
  <c r="CU173" i="1" s="1"/>
  <c r="AH173" i="1"/>
  <c r="CV173" i="1" s="1"/>
  <c r="AI173" i="1"/>
  <c r="AJ173" i="1"/>
  <c r="CT173" i="1"/>
  <c r="CW173" i="1"/>
  <c r="CX173" i="1"/>
  <c r="FR173" i="1"/>
  <c r="GL173" i="1"/>
  <c r="GO173" i="1"/>
  <c r="GP173" i="1"/>
  <c r="GV173" i="1"/>
  <c r="HC173" i="1"/>
  <c r="B175" i="1"/>
  <c r="B22" i="1" s="1"/>
  <c r="C175" i="1"/>
  <c r="C22" i="1" s="1"/>
  <c r="D175" i="1"/>
  <c r="D22" i="1" s="1"/>
  <c r="F175" i="1"/>
  <c r="F22" i="1" s="1"/>
  <c r="G175" i="1"/>
  <c r="BX175" i="1"/>
  <c r="BX22" i="1" s="1"/>
  <c r="BY175" i="1"/>
  <c r="CK175" i="1"/>
  <c r="CK22" i="1" s="1"/>
  <c r="CL175" i="1"/>
  <c r="FP175" i="1"/>
  <c r="FP22" i="1" s="1"/>
  <c r="FQ175" i="1"/>
  <c r="GC175" i="1"/>
  <c r="GC22" i="1" s="1"/>
  <c r="GD175" i="1"/>
  <c r="B207" i="1"/>
  <c r="B18" i="1" s="1"/>
  <c r="C207" i="1"/>
  <c r="C18" i="1" s="1"/>
  <c r="D207" i="1"/>
  <c r="D18" i="1" s="1"/>
  <c r="F207" i="1"/>
  <c r="F18" i="1" s="1"/>
  <c r="G207" i="1"/>
  <c r="V171" i="1" l="1"/>
  <c r="Z614" i="6" s="1"/>
  <c r="F614" i="6"/>
  <c r="E419" i="5"/>
  <c r="T164" i="1"/>
  <c r="CY151" i="1"/>
  <c r="X151" i="1" s="1"/>
  <c r="V540" i="6"/>
  <c r="CY149" i="1"/>
  <c r="X149" i="1" s="1"/>
  <c r="V524" i="6"/>
  <c r="K366" i="5"/>
  <c r="CR137" i="1"/>
  <c r="Q137" i="1" s="1"/>
  <c r="H336" i="5"/>
  <c r="V466" i="6"/>
  <c r="K324" i="5"/>
  <c r="F482" i="6"/>
  <c r="E331" i="5"/>
  <c r="T444" i="6"/>
  <c r="H444" i="6"/>
  <c r="K300" i="5"/>
  <c r="J301" i="5" s="1"/>
  <c r="P301" i="5" s="1"/>
  <c r="U308" i="6"/>
  <c r="K208" i="5"/>
  <c r="U235" i="6"/>
  <c r="K161" i="5"/>
  <c r="CR169" i="1"/>
  <c r="Q169" i="1" s="1"/>
  <c r="H413" i="5"/>
  <c r="V167" i="1"/>
  <c r="Z596" i="6" s="1"/>
  <c r="CY161" i="1"/>
  <c r="X161" i="1" s="1"/>
  <c r="V564" i="6"/>
  <c r="K390" i="5"/>
  <c r="AB158" i="1"/>
  <c r="CR158" i="1"/>
  <c r="Q158" i="1" s="1"/>
  <c r="T150" i="1"/>
  <c r="CY138" i="1"/>
  <c r="X138" i="1" s="1"/>
  <c r="CY136" i="1"/>
  <c r="X136" i="1" s="1"/>
  <c r="Q135" i="1"/>
  <c r="W482" i="6" s="1"/>
  <c r="V128" i="1"/>
  <c r="F326" i="6"/>
  <c r="E222" i="5"/>
  <c r="T171" i="1"/>
  <c r="X560" i="6"/>
  <c r="GK157" i="1"/>
  <c r="T144" i="1"/>
  <c r="CY139" i="1"/>
  <c r="X139" i="1" s="1"/>
  <c r="V493" i="6"/>
  <c r="K344" i="5"/>
  <c r="T135" i="1"/>
  <c r="CR113" i="1"/>
  <c r="Q113" i="1" s="1"/>
  <c r="H265" i="5"/>
  <c r="CY168" i="1"/>
  <c r="X168" i="1" s="1"/>
  <c r="R167" i="1"/>
  <c r="GX171" i="1"/>
  <c r="X598" i="6"/>
  <c r="K414" i="5"/>
  <c r="GK169" i="1"/>
  <c r="X578" i="6"/>
  <c r="K402" i="5"/>
  <c r="GK163" i="1"/>
  <c r="CY157" i="1"/>
  <c r="X157" i="1" s="1"/>
  <c r="V560" i="6"/>
  <c r="CR155" i="1"/>
  <c r="Q155" i="1" s="1"/>
  <c r="H379" i="5"/>
  <c r="X540" i="6"/>
  <c r="GK151" i="1"/>
  <c r="X524" i="6"/>
  <c r="K368" i="5"/>
  <c r="GK149" i="1"/>
  <c r="V484" i="6"/>
  <c r="K335" i="5"/>
  <c r="P135" i="1"/>
  <c r="U482" i="6" s="1"/>
  <c r="GN123" i="1"/>
  <c r="GM123" i="1"/>
  <c r="AB165" i="1"/>
  <c r="G594" i="6" s="1"/>
  <c r="S407" i="5"/>
  <c r="AB160" i="1"/>
  <c r="GX144" i="1"/>
  <c r="AB141" i="1"/>
  <c r="G502" i="6" s="1"/>
  <c r="G513" i="6"/>
  <c r="G515" i="6"/>
  <c r="U351" i="5"/>
  <c r="S351" i="5"/>
  <c r="H353" i="5"/>
  <c r="R353" i="5" s="1"/>
  <c r="CR139" i="1"/>
  <c r="Q139" i="1" s="1"/>
  <c r="H345" i="5"/>
  <c r="C485" i="6"/>
  <c r="F484" i="6"/>
  <c r="E333" i="5"/>
  <c r="C334" i="5"/>
  <c r="Y457" i="6"/>
  <c r="L321" i="5"/>
  <c r="Q321" i="5" s="1"/>
  <c r="L320" i="5"/>
  <c r="U311" i="5"/>
  <c r="S311" i="5"/>
  <c r="T128" i="1"/>
  <c r="F446" i="6"/>
  <c r="C447" i="6"/>
  <c r="C303" i="5"/>
  <c r="E302" i="5"/>
  <c r="Y442" i="6"/>
  <c r="L299" i="5"/>
  <c r="Q299" i="5" s="1"/>
  <c r="EG175" i="1"/>
  <c r="P179" i="1" s="1"/>
  <c r="AO175" i="1"/>
  <c r="S420" i="5"/>
  <c r="U420" i="5"/>
  <c r="I173" i="1"/>
  <c r="W173" i="1" s="1"/>
  <c r="U169" i="1"/>
  <c r="S408" i="5"/>
  <c r="CT165" i="1"/>
  <c r="H402" i="5"/>
  <c r="R402" i="5" s="1"/>
  <c r="CS162" i="1"/>
  <c r="R162" i="1" s="1"/>
  <c r="GK162" i="1" s="1"/>
  <c r="P162" i="1"/>
  <c r="CP162" i="1" s="1"/>
  <c r="O162" i="1" s="1"/>
  <c r="U564" i="6"/>
  <c r="K393" i="5"/>
  <c r="T161" i="1"/>
  <c r="C565" i="6"/>
  <c r="F564" i="6"/>
  <c r="E388" i="5"/>
  <c r="C389" i="5"/>
  <c r="CT160" i="1"/>
  <c r="S160" i="1" s="1"/>
  <c r="AB159" i="1"/>
  <c r="G562" i="6" s="1"/>
  <c r="U157" i="1"/>
  <c r="Y560" i="6" s="1"/>
  <c r="P156" i="1"/>
  <c r="CS155" i="1"/>
  <c r="R155" i="1" s="1"/>
  <c r="U155" i="1"/>
  <c r="T154" i="1"/>
  <c r="CS153" i="1"/>
  <c r="CQ153" i="1"/>
  <c r="U151" i="1"/>
  <c r="Y540" i="6" s="1"/>
  <c r="H368" i="5"/>
  <c r="R368" i="5" s="1"/>
  <c r="AB148" i="1"/>
  <c r="V144" i="1"/>
  <c r="S360" i="5"/>
  <c r="CT141" i="1"/>
  <c r="S141" i="1" s="1"/>
  <c r="AD141" i="1"/>
  <c r="U140" i="1"/>
  <c r="G500" i="6"/>
  <c r="G499" i="6"/>
  <c r="H344" i="5"/>
  <c r="S342" i="5"/>
  <c r="H347" i="5" s="1"/>
  <c r="U342" i="5"/>
  <c r="H348" i="5" s="1"/>
  <c r="C494" i="6"/>
  <c r="F493" i="6"/>
  <c r="C343" i="5"/>
  <c r="E342" i="5"/>
  <c r="U137" i="1"/>
  <c r="CS136" i="1"/>
  <c r="R136" i="1" s="1"/>
  <c r="GK136" i="1" s="1"/>
  <c r="U136" i="1"/>
  <c r="CS135" i="1"/>
  <c r="R135" i="1" s="1"/>
  <c r="U135" i="1"/>
  <c r="Y482" i="6" s="1"/>
  <c r="H326" i="5"/>
  <c r="R326" i="5" s="1"/>
  <c r="G464" i="6"/>
  <c r="G463" i="6"/>
  <c r="S313" i="5"/>
  <c r="H318" i="5" s="1"/>
  <c r="U313" i="5"/>
  <c r="H319" i="5" s="1"/>
  <c r="H315" i="5"/>
  <c r="C458" i="6"/>
  <c r="F457" i="6"/>
  <c r="C314" i="5"/>
  <c r="E313" i="5"/>
  <c r="CS129" i="1"/>
  <c r="R129" i="1" s="1"/>
  <c r="U129" i="1"/>
  <c r="Y455" i="6" s="1"/>
  <c r="CS127" i="1"/>
  <c r="R127" i="1" s="1"/>
  <c r="H307" i="5"/>
  <c r="P126" i="1"/>
  <c r="CP126" i="1" s="1"/>
  <c r="O126" i="1" s="1"/>
  <c r="AB126" i="1"/>
  <c r="GK125" i="1"/>
  <c r="AB444" i="6"/>
  <c r="V300" i="5"/>
  <c r="Y444" i="6"/>
  <c r="L301" i="5"/>
  <c r="Q301" i="5" s="1"/>
  <c r="CS121" i="1"/>
  <c r="R121" i="1" s="1"/>
  <c r="H293" i="5"/>
  <c r="W116" i="1"/>
  <c r="Y404" i="6"/>
  <c r="L281" i="5"/>
  <c r="Q281" i="5" s="1"/>
  <c r="L279" i="5"/>
  <c r="H276" i="5"/>
  <c r="CQ115" i="1"/>
  <c r="P115" i="1" s="1"/>
  <c r="T113" i="1"/>
  <c r="S112" i="1"/>
  <c r="CZ112" i="1" s="1"/>
  <c r="Y112" i="1" s="1"/>
  <c r="V112" i="1"/>
  <c r="C377" i="6"/>
  <c r="F376" i="6"/>
  <c r="E252" i="5"/>
  <c r="C253" i="5"/>
  <c r="AD108" i="1"/>
  <c r="CS108" i="1"/>
  <c r="R108" i="1" s="1"/>
  <c r="GK108" i="1" s="1"/>
  <c r="C340" i="6"/>
  <c r="F339" i="6"/>
  <c r="C236" i="5"/>
  <c r="E235" i="5"/>
  <c r="S101" i="1"/>
  <c r="T100" i="1"/>
  <c r="GX100" i="1"/>
  <c r="P97" i="1"/>
  <c r="U326" i="6" s="1"/>
  <c r="T95" i="1"/>
  <c r="V92" i="1"/>
  <c r="Q92" i="1"/>
  <c r="W87" i="1"/>
  <c r="V85" i="1"/>
  <c r="Z286" i="6" s="1"/>
  <c r="V277" i="6"/>
  <c r="K183" i="5"/>
  <c r="CS82" i="1"/>
  <c r="R82" i="1" s="1"/>
  <c r="GK82" i="1" s="1"/>
  <c r="V80" i="1"/>
  <c r="CS80" i="1"/>
  <c r="R80" i="1" s="1"/>
  <c r="GK80" i="1" s="1"/>
  <c r="AD80" i="1"/>
  <c r="CR80" i="1" s="1"/>
  <c r="Q80" i="1" s="1"/>
  <c r="U77" i="1"/>
  <c r="R75" i="1"/>
  <c r="V65" i="1"/>
  <c r="Z217" i="6" s="1"/>
  <c r="AB65" i="1"/>
  <c r="G217" i="6" s="1"/>
  <c r="CR65" i="1"/>
  <c r="Q65" i="1" s="1"/>
  <c r="W217" i="6" s="1"/>
  <c r="CS64" i="1"/>
  <c r="AD64" i="1"/>
  <c r="CR64" i="1" s="1"/>
  <c r="Y154" i="6"/>
  <c r="L109" i="5"/>
  <c r="Q109" i="5" s="1"/>
  <c r="L108" i="5"/>
  <c r="H105" i="5"/>
  <c r="CQ55" i="1"/>
  <c r="P55" i="1" s="1"/>
  <c r="H98" i="5"/>
  <c r="W98" i="5" s="1"/>
  <c r="CQ53" i="1"/>
  <c r="P53" i="1" s="1"/>
  <c r="U152" i="6" s="1"/>
  <c r="AB52" i="1"/>
  <c r="CR52" i="1"/>
  <c r="Q52" i="1" s="1"/>
  <c r="CQ51" i="1"/>
  <c r="P51" i="1" s="1"/>
  <c r="U150" i="6" s="1"/>
  <c r="H97" i="5"/>
  <c r="W97" i="5" s="1"/>
  <c r="GK47" i="1"/>
  <c r="X125" i="6"/>
  <c r="K83" i="5"/>
  <c r="Y125" i="6"/>
  <c r="L86" i="5"/>
  <c r="L87" i="5"/>
  <c r="Q87" i="5" s="1"/>
  <c r="CR47" i="1"/>
  <c r="Q47" i="1" s="1"/>
  <c r="H82" i="5"/>
  <c r="CS44" i="1"/>
  <c r="AD44" i="1"/>
  <c r="CR44" i="1" s="1"/>
  <c r="AD40" i="1"/>
  <c r="CR40" i="1" s="1"/>
  <c r="Q40" i="1" s="1"/>
  <c r="CS40" i="1"/>
  <c r="R40" i="1" s="1"/>
  <c r="GK40" i="1" s="1"/>
  <c r="V36" i="1"/>
  <c r="CS29" i="1"/>
  <c r="R29" i="1" s="1"/>
  <c r="Y38" i="6"/>
  <c r="L35" i="5"/>
  <c r="Q35" i="5" s="1"/>
  <c r="L34" i="5"/>
  <c r="S173" i="1"/>
  <c r="V616" i="6" s="1"/>
  <c r="R171" i="1"/>
  <c r="CY171" i="1" s="1"/>
  <c r="X171" i="1" s="1"/>
  <c r="F578" i="6"/>
  <c r="C579" i="6"/>
  <c r="E398" i="5"/>
  <c r="C399" i="5"/>
  <c r="S385" i="5"/>
  <c r="U385" i="5"/>
  <c r="F560" i="6"/>
  <c r="E385" i="5"/>
  <c r="U373" i="5"/>
  <c r="S373" i="5"/>
  <c r="R150" i="1"/>
  <c r="GK150" i="1" s="1"/>
  <c r="AB140" i="1"/>
  <c r="Y493" i="6"/>
  <c r="L350" i="5"/>
  <c r="Q350" i="5" s="1"/>
  <c r="L349" i="5"/>
  <c r="GX135" i="1"/>
  <c r="G22" i="1"/>
  <c r="C619" i="6"/>
  <c r="A423" i="5"/>
  <c r="V173" i="1"/>
  <c r="Z616" i="6" s="1"/>
  <c r="S171" i="1"/>
  <c r="V614" i="6" s="1"/>
  <c r="GX170" i="1"/>
  <c r="CQ169" i="1"/>
  <c r="P169" i="1" s="1"/>
  <c r="H415" i="5"/>
  <c r="C599" i="6"/>
  <c r="F598" i="6"/>
  <c r="C411" i="5"/>
  <c r="E410" i="5"/>
  <c r="CQ165" i="1"/>
  <c r="H407" i="5"/>
  <c r="W407" i="5" s="1"/>
  <c r="AB164" i="1"/>
  <c r="U163" i="1"/>
  <c r="CR163" i="1"/>
  <c r="Q163" i="1" s="1"/>
  <c r="H401" i="5"/>
  <c r="G575" i="6"/>
  <c r="G576" i="6"/>
  <c r="U388" i="5"/>
  <c r="H395" i="5" s="1"/>
  <c r="S388" i="5"/>
  <c r="H394" i="5" s="1"/>
  <c r="H390" i="5"/>
  <c r="CQ157" i="1"/>
  <c r="P157" i="1" s="1"/>
  <c r="H385" i="5"/>
  <c r="W385" i="5" s="1"/>
  <c r="U544" i="6"/>
  <c r="K381" i="5"/>
  <c r="T155" i="1"/>
  <c r="C545" i="6"/>
  <c r="F544" i="6"/>
  <c r="E376" i="5"/>
  <c r="C377" i="5"/>
  <c r="AB153" i="1"/>
  <c r="G542" i="6" s="1"/>
  <c r="AB152" i="1"/>
  <c r="P152" i="1"/>
  <c r="CQ151" i="1"/>
  <c r="P151" i="1" s="1"/>
  <c r="H373" i="5"/>
  <c r="W373" i="5" s="1"/>
  <c r="V150" i="1"/>
  <c r="U149" i="1"/>
  <c r="CR149" i="1"/>
  <c r="Q149" i="1" s="1"/>
  <c r="H367" i="5"/>
  <c r="T148" i="1"/>
  <c r="CQ147" i="1"/>
  <c r="CQ145" i="1"/>
  <c r="R144" i="1"/>
  <c r="GK144" i="1" s="1"/>
  <c r="T142" i="1"/>
  <c r="W142" i="1"/>
  <c r="S142" i="1"/>
  <c r="CP142" i="1" s="1"/>
  <c r="O142" i="1" s="1"/>
  <c r="GK141" i="1"/>
  <c r="X502" i="6"/>
  <c r="K355" i="5"/>
  <c r="CQ141" i="1"/>
  <c r="P141" i="1" s="1"/>
  <c r="H356" i="5"/>
  <c r="R137" i="1"/>
  <c r="P137" i="1"/>
  <c r="CP136" i="1"/>
  <c r="O136" i="1" s="1"/>
  <c r="AB136" i="1"/>
  <c r="V135" i="1"/>
  <c r="Z482" i="6" s="1"/>
  <c r="H331" i="5"/>
  <c r="W331" i="5" s="1"/>
  <c r="GX134" i="1"/>
  <c r="R134" i="1"/>
  <c r="GK134" i="1" s="1"/>
  <c r="GK133" i="1"/>
  <c r="X466" i="6"/>
  <c r="K326" i="5"/>
  <c r="Y466" i="6"/>
  <c r="L332" i="5"/>
  <c r="Q332" i="5" s="1"/>
  <c r="L330" i="5"/>
  <c r="CR133" i="1"/>
  <c r="Q133" i="1" s="1"/>
  <c r="H325" i="5"/>
  <c r="C467" i="6"/>
  <c r="F466" i="6"/>
  <c r="E322" i="5"/>
  <c r="C323" i="5"/>
  <c r="V457" i="6"/>
  <c r="K315" i="5"/>
  <c r="V129" i="1"/>
  <c r="Z455" i="6" s="1"/>
  <c r="P129" i="1"/>
  <c r="U455" i="6" s="1"/>
  <c r="AB129" i="1"/>
  <c r="G455" i="6" s="1"/>
  <c r="H311" i="5"/>
  <c r="X311" i="5" s="1"/>
  <c r="U128" i="1"/>
  <c r="W128" i="1"/>
  <c r="S128" i="1"/>
  <c r="G452" i="6"/>
  <c r="G453" i="6"/>
  <c r="S302" i="5"/>
  <c r="H304" i="5"/>
  <c r="R304" i="5" s="1"/>
  <c r="U302" i="5"/>
  <c r="H309" i="5" s="1"/>
  <c r="T126" i="1"/>
  <c r="W126" i="1"/>
  <c r="GN125" i="1"/>
  <c r="AA444" i="6"/>
  <c r="T300" i="5"/>
  <c r="G442" i="6"/>
  <c r="H298" i="5"/>
  <c r="G437" i="6"/>
  <c r="G439" i="6"/>
  <c r="H290" i="5"/>
  <c r="U289" i="5"/>
  <c r="H295" i="5" s="1"/>
  <c r="S289" i="5"/>
  <c r="H294" i="5" s="1"/>
  <c r="CT119" i="1"/>
  <c r="S119" i="1" s="1"/>
  <c r="G422" i="6"/>
  <c r="G426" i="6"/>
  <c r="G424" i="6"/>
  <c r="S282" i="5"/>
  <c r="H285" i="5" s="1"/>
  <c r="H284" i="5"/>
  <c r="U282" i="5"/>
  <c r="H286" i="5" s="1"/>
  <c r="CX338" i="3"/>
  <c r="C417" i="6"/>
  <c r="F416" i="6"/>
  <c r="C283" i="5"/>
  <c r="E282" i="5"/>
  <c r="CT117" i="1"/>
  <c r="S117" i="1" s="1"/>
  <c r="V414" i="6" s="1"/>
  <c r="U280" i="5"/>
  <c r="S280" i="5"/>
  <c r="F414" i="6"/>
  <c r="E280" i="5"/>
  <c r="X404" i="6"/>
  <c r="K275" i="5"/>
  <c r="S113" i="1"/>
  <c r="V376" i="6"/>
  <c r="K254" i="5"/>
  <c r="V107" i="1"/>
  <c r="Z372" i="6" s="1"/>
  <c r="AD107" i="1"/>
  <c r="CR107" i="1" s="1"/>
  <c r="CS107" i="1"/>
  <c r="V102" i="1"/>
  <c r="AD102" i="1"/>
  <c r="CR102" i="1" s="1"/>
  <c r="Q102" i="1" s="1"/>
  <c r="CS102" i="1"/>
  <c r="R102" i="1" s="1"/>
  <c r="GK102" i="1" s="1"/>
  <c r="F337" i="6"/>
  <c r="E233" i="5"/>
  <c r="GX97" i="1"/>
  <c r="U317" i="6"/>
  <c r="K218" i="5"/>
  <c r="C318" i="6"/>
  <c r="F317" i="6"/>
  <c r="E213" i="5"/>
  <c r="C214" i="5"/>
  <c r="T92" i="1"/>
  <c r="GX91" i="1"/>
  <c r="Q87" i="1"/>
  <c r="W302" i="6" s="1"/>
  <c r="T85" i="1"/>
  <c r="AB81" i="1"/>
  <c r="G275" i="6" s="1"/>
  <c r="CR81" i="1"/>
  <c r="T80" i="1"/>
  <c r="I81" i="1"/>
  <c r="V81" i="1" s="1"/>
  <c r="Z275" i="6" s="1"/>
  <c r="C258" i="6"/>
  <c r="F257" i="6"/>
  <c r="E169" i="5"/>
  <c r="C170" i="5"/>
  <c r="I79" i="1"/>
  <c r="P79" i="1" s="1"/>
  <c r="U273" i="6" s="1"/>
  <c r="R65" i="1"/>
  <c r="H144" i="5"/>
  <c r="W144" i="5" s="1"/>
  <c r="U201" i="6"/>
  <c r="K140" i="5"/>
  <c r="GK59" i="1"/>
  <c r="X179" i="6"/>
  <c r="K123" i="5"/>
  <c r="GK57" i="1"/>
  <c r="X170" i="6"/>
  <c r="K114" i="5"/>
  <c r="GK55" i="1"/>
  <c r="X154" i="6"/>
  <c r="K104" i="5"/>
  <c r="GK53" i="1"/>
  <c r="X152" i="6"/>
  <c r="GK51" i="1"/>
  <c r="X150" i="6"/>
  <c r="AD48" i="1"/>
  <c r="CR48" i="1" s="1"/>
  <c r="Q48" i="1" s="1"/>
  <c r="CS48" i="1"/>
  <c r="R48" i="1" s="1"/>
  <c r="GK48" i="1" s="1"/>
  <c r="AB45" i="1"/>
  <c r="G123" i="6" s="1"/>
  <c r="CR45" i="1"/>
  <c r="AD43" i="1"/>
  <c r="CS43" i="1"/>
  <c r="R43" i="1" s="1"/>
  <c r="AD31" i="1"/>
  <c r="H51" i="5"/>
  <c r="R51" i="5" s="1"/>
  <c r="CS31" i="1"/>
  <c r="R31" i="1" s="1"/>
  <c r="CQ171" i="1"/>
  <c r="P171" i="1" s="1"/>
  <c r="U614" i="6" s="1"/>
  <c r="H419" i="5"/>
  <c r="W419" i="5" s="1"/>
  <c r="AB169" i="1"/>
  <c r="G598" i="6" s="1"/>
  <c r="G609" i="6"/>
  <c r="G613" i="6"/>
  <c r="G611" i="6"/>
  <c r="S410" i="5"/>
  <c r="U410" i="5"/>
  <c r="H412" i="5"/>
  <c r="CQ163" i="1"/>
  <c r="P163" i="1" s="1"/>
  <c r="H403" i="5"/>
  <c r="CQ149" i="1"/>
  <c r="P149" i="1" s="1"/>
  <c r="AB147" i="1"/>
  <c r="G522" i="6" s="1"/>
  <c r="G490" i="6"/>
  <c r="G492" i="6"/>
  <c r="G491" i="6"/>
  <c r="U333" i="5"/>
  <c r="H339" i="5" s="1"/>
  <c r="H335" i="5"/>
  <c r="S333" i="5"/>
  <c r="H338" i="5" s="1"/>
  <c r="S331" i="5"/>
  <c r="U331" i="5"/>
  <c r="CR131" i="1"/>
  <c r="Q131" i="1" s="1"/>
  <c r="H316" i="5"/>
  <c r="F455" i="6"/>
  <c r="E311" i="5"/>
  <c r="C388" i="6"/>
  <c r="F387" i="6"/>
  <c r="E262" i="5"/>
  <c r="C263" i="5"/>
  <c r="GK111" i="1"/>
  <c r="X376" i="6"/>
  <c r="K256" i="5"/>
  <c r="CR111" i="1"/>
  <c r="H255" i="5"/>
  <c r="GK109" i="1"/>
  <c r="X374" i="6"/>
  <c r="AB109" i="1"/>
  <c r="G374" i="6" s="1"/>
  <c r="H250" i="5"/>
  <c r="W250" i="5" s="1"/>
  <c r="S107" i="1"/>
  <c r="V372" i="6" s="1"/>
  <c r="U356" i="6"/>
  <c r="K245" i="5"/>
  <c r="AB105" i="1"/>
  <c r="G356" i="6" s="1"/>
  <c r="H245" i="5"/>
  <c r="CS103" i="1"/>
  <c r="R103" i="1" s="1"/>
  <c r="AD103" i="1"/>
  <c r="CR103" i="1" s="1"/>
  <c r="AD100" i="1"/>
  <c r="CR100" i="1" s="1"/>
  <c r="Q100" i="1" s="1"/>
  <c r="CS100" i="1"/>
  <c r="R100" i="1" s="1"/>
  <c r="GK100" i="1" s="1"/>
  <c r="CT99" i="1"/>
  <c r="S99" i="1" s="1"/>
  <c r="G335" i="6"/>
  <c r="G336" i="6"/>
  <c r="G334" i="6"/>
  <c r="S224" i="5"/>
  <c r="H226" i="5"/>
  <c r="U224" i="5"/>
  <c r="V97" i="1"/>
  <c r="Z326" i="6" s="1"/>
  <c r="AD97" i="1"/>
  <c r="CS97" i="1"/>
  <c r="R97" i="1" s="1"/>
  <c r="CR93" i="1"/>
  <c r="Q93" i="1" s="1"/>
  <c r="CP93" i="1" s="1"/>
  <c r="O93" i="1" s="1"/>
  <c r="H206" i="5"/>
  <c r="AB87" i="1"/>
  <c r="G302" i="6" s="1"/>
  <c r="H199" i="5"/>
  <c r="W199" i="5" s="1"/>
  <c r="C287" i="6"/>
  <c r="F286" i="6"/>
  <c r="C191" i="5"/>
  <c r="E190" i="5"/>
  <c r="I89" i="1"/>
  <c r="U89" i="1" s="1"/>
  <c r="Y304" i="6" s="1"/>
  <c r="I87" i="1"/>
  <c r="V87" i="1" s="1"/>
  <c r="Z302" i="6" s="1"/>
  <c r="I91" i="1"/>
  <c r="S91" i="1" s="1"/>
  <c r="Q75" i="1"/>
  <c r="W255" i="6" s="1"/>
  <c r="F255" i="6"/>
  <c r="E167" i="5"/>
  <c r="CT63" i="1"/>
  <c r="S63" i="1" s="1"/>
  <c r="G214" i="6"/>
  <c r="U135" i="5"/>
  <c r="G212" i="6"/>
  <c r="S135" i="5"/>
  <c r="G216" i="6"/>
  <c r="H137" i="5"/>
  <c r="P65" i="1"/>
  <c r="U217" i="6" s="1"/>
  <c r="F217" i="6"/>
  <c r="E144" i="5"/>
  <c r="X141" i="6"/>
  <c r="K92" i="5"/>
  <c r="CY40" i="1"/>
  <c r="X40" i="1" s="1"/>
  <c r="AD38" i="1"/>
  <c r="CR38" i="1" s="1"/>
  <c r="CS38" i="1"/>
  <c r="R38" i="1" s="1"/>
  <c r="GK38" i="1" s="1"/>
  <c r="CT37" i="1"/>
  <c r="CS36" i="1"/>
  <c r="R36" i="1" s="1"/>
  <c r="GK36" i="1" s="1"/>
  <c r="AD36" i="1"/>
  <c r="CR36" i="1" s="1"/>
  <c r="H62" i="5"/>
  <c r="R62" i="5" s="1"/>
  <c r="AD35" i="1"/>
  <c r="AB34" i="1"/>
  <c r="CQ34" i="1"/>
  <c r="P34" i="1" s="1"/>
  <c r="L44" i="5"/>
  <c r="L46" i="5"/>
  <c r="Q46" i="5" s="1"/>
  <c r="Y49" i="6"/>
  <c r="GX173" i="1"/>
  <c r="U173" i="1"/>
  <c r="Y616" i="6" s="1"/>
  <c r="G557" i="6"/>
  <c r="G555" i="6"/>
  <c r="H378" i="5"/>
  <c r="S376" i="5"/>
  <c r="U376" i="5"/>
  <c r="F540" i="6"/>
  <c r="E373" i="5"/>
  <c r="T149" i="1"/>
  <c r="C525" i="6"/>
  <c r="F524" i="6"/>
  <c r="E364" i="5"/>
  <c r="C365" i="5"/>
  <c r="V134" i="1"/>
  <c r="CQ133" i="1"/>
  <c r="P133" i="1" s="1"/>
  <c r="GK131" i="1"/>
  <c r="X457" i="6"/>
  <c r="K317" i="5"/>
  <c r="AB442" i="6"/>
  <c r="V298" i="5"/>
  <c r="T173" i="1"/>
  <c r="AB173" i="1"/>
  <c r="G616" i="6" s="1"/>
  <c r="H420" i="5"/>
  <c r="W420" i="5" s="1"/>
  <c r="W171" i="1"/>
  <c r="AB171" i="1"/>
  <c r="G614" i="6" s="1"/>
  <c r="S419" i="5"/>
  <c r="U419" i="5"/>
  <c r="P170" i="1"/>
  <c r="H414" i="5"/>
  <c r="R414" i="5" s="1"/>
  <c r="CP168" i="1"/>
  <c r="O168" i="1" s="1"/>
  <c r="P167" i="1"/>
  <c r="H408" i="5"/>
  <c r="W408" i="5" s="1"/>
  <c r="I167" i="1"/>
  <c r="W167" i="1" s="1"/>
  <c r="I165" i="1"/>
  <c r="I164" i="1"/>
  <c r="W163" i="1"/>
  <c r="AB163" i="1"/>
  <c r="G578" i="6" s="1"/>
  <c r="G591" i="6"/>
  <c r="G589" i="6"/>
  <c r="U398" i="5"/>
  <c r="H400" i="5"/>
  <c r="S398" i="5"/>
  <c r="V163" i="1"/>
  <c r="Z578" i="6" s="1"/>
  <c r="U162" i="1"/>
  <c r="CS161" i="1"/>
  <c r="R161" i="1" s="1"/>
  <c r="Y564" i="6"/>
  <c r="L397" i="5"/>
  <c r="Q397" i="5" s="1"/>
  <c r="L396" i="5"/>
  <c r="AD161" i="1"/>
  <c r="T160" i="1"/>
  <c r="CQ159" i="1"/>
  <c r="P159" i="1" s="1"/>
  <c r="U562" i="6" s="1"/>
  <c r="CT155" i="1"/>
  <c r="S155" i="1" s="1"/>
  <c r="H380" i="5"/>
  <c r="R380" i="5" s="1"/>
  <c r="AB154" i="1"/>
  <c r="CT153" i="1"/>
  <c r="GX150" i="1"/>
  <c r="G535" i="6"/>
  <c r="G539" i="6"/>
  <c r="G537" i="6"/>
  <c r="U364" i="5"/>
  <c r="H366" i="5"/>
  <c r="S364" i="5"/>
  <c r="W148" i="1"/>
  <c r="P148" i="1"/>
  <c r="T141" i="1"/>
  <c r="C503" i="6"/>
  <c r="F502" i="6"/>
  <c r="E351" i="5"/>
  <c r="C352" i="5"/>
  <c r="CS139" i="1"/>
  <c r="R139" i="1" s="1"/>
  <c r="CP139" i="1"/>
  <c r="O139" i="1" s="1"/>
  <c r="U493" i="6"/>
  <c r="CP138" i="1"/>
  <c r="O138" i="1" s="1"/>
  <c r="T138" i="1"/>
  <c r="H337" i="5"/>
  <c r="R337" i="5" s="1"/>
  <c r="CT135" i="1"/>
  <c r="S135" i="1" s="1"/>
  <c r="V482" i="6" s="1"/>
  <c r="GX133" i="1"/>
  <c r="G477" i="6"/>
  <c r="G479" i="6"/>
  <c r="H324" i="5"/>
  <c r="U322" i="5"/>
  <c r="H329" i="5" s="1"/>
  <c r="S322" i="5"/>
  <c r="P132" i="1"/>
  <c r="CP132" i="1" s="1"/>
  <c r="O132" i="1" s="1"/>
  <c r="AB132" i="1"/>
  <c r="CP131" i="1"/>
  <c r="O131" i="1" s="1"/>
  <c r="U457" i="6"/>
  <c r="AB131" i="1"/>
  <c r="G457" i="6" s="1"/>
  <c r="CT129" i="1"/>
  <c r="S129" i="1" s="1"/>
  <c r="V455" i="6" s="1"/>
  <c r="GX128" i="1"/>
  <c r="CS128" i="1"/>
  <c r="R128" i="1" s="1"/>
  <c r="GK128" i="1" s="1"/>
  <c r="CT127" i="1"/>
  <c r="S127" i="1" s="1"/>
  <c r="AD127" i="1"/>
  <c r="CS126" i="1"/>
  <c r="R126" i="1" s="1"/>
  <c r="GK126" i="1" s="1"/>
  <c r="U126" i="1"/>
  <c r="G444" i="6"/>
  <c r="H300" i="5"/>
  <c r="GM124" i="1"/>
  <c r="AA442" i="6"/>
  <c r="T298" i="5"/>
  <c r="CT121" i="1"/>
  <c r="S121" i="1" s="1"/>
  <c r="Y427" i="6"/>
  <c r="L297" i="5"/>
  <c r="Q297" i="5" s="1"/>
  <c r="L296" i="5"/>
  <c r="AD121" i="1"/>
  <c r="AB121" i="1" s="1"/>
  <c r="CS119" i="1"/>
  <c r="R119" i="1" s="1"/>
  <c r="X416" i="6" s="1"/>
  <c r="U119" i="1"/>
  <c r="CS118" i="1"/>
  <c r="R118" i="1" s="1"/>
  <c r="CS117" i="1"/>
  <c r="R117" i="1" s="1"/>
  <c r="X414" i="6" s="1"/>
  <c r="H280" i="5"/>
  <c r="W280" i="5" s="1"/>
  <c r="CS116" i="1"/>
  <c r="R116" i="1" s="1"/>
  <c r="GK116" i="1" s="1"/>
  <c r="AD115" i="1"/>
  <c r="H274" i="5" s="1"/>
  <c r="H275" i="5"/>
  <c r="R275" i="5" s="1"/>
  <c r="V113" i="1"/>
  <c r="Z387" i="6" s="1"/>
  <c r="H266" i="5"/>
  <c r="R266" i="5" s="1"/>
  <c r="CS113" i="1"/>
  <c r="R113" i="1" s="1"/>
  <c r="CS110" i="1"/>
  <c r="R110" i="1" s="1"/>
  <c r="GK110" i="1" s="1"/>
  <c r="U250" i="5"/>
  <c r="S250" i="5"/>
  <c r="CT109" i="1"/>
  <c r="S109" i="1" s="1"/>
  <c r="V374" i="6" s="1"/>
  <c r="GX107" i="1"/>
  <c r="AD101" i="1"/>
  <c r="CR101" i="1" s="1"/>
  <c r="CS101" i="1"/>
  <c r="R101" i="1" s="1"/>
  <c r="T97" i="1"/>
  <c r="H217" i="5"/>
  <c r="R217" i="5" s="1"/>
  <c r="AD95" i="1"/>
  <c r="H216" i="5" s="1"/>
  <c r="CS95" i="1"/>
  <c r="R95" i="1" s="1"/>
  <c r="AB93" i="1"/>
  <c r="G308" i="6" s="1"/>
  <c r="H208" i="5"/>
  <c r="GX92" i="1"/>
  <c r="W92" i="1"/>
  <c r="S92" i="1"/>
  <c r="V91" i="1"/>
  <c r="Z306" i="6" s="1"/>
  <c r="AD91" i="1"/>
  <c r="CR91" i="1" s="1"/>
  <c r="Q91" i="1" s="1"/>
  <c r="W306" i="6" s="1"/>
  <c r="CS91" i="1"/>
  <c r="R91" i="1" s="1"/>
  <c r="V88" i="1"/>
  <c r="CQ87" i="1"/>
  <c r="P87" i="1" s="1"/>
  <c r="T87" i="1"/>
  <c r="GX85" i="1"/>
  <c r="W85" i="1"/>
  <c r="G299" i="6"/>
  <c r="G297" i="6"/>
  <c r="U190" i="5"/>
  <c r="S190" i="5"/>
  <c r="H192" i="5"/>
  <c r="CT85" i="1"/>
  <c r="S85" i="1" s="1"/>
  <c r="AD84" i="1"/>
  <c r="CR84" i="1" s="1"/>
  <c r="Q84" i="1" s="1"/>
  <c r="CS84" i="1"/>
  <c r="R84" i="1" s="1"/>
  <c r="GK84" i="1" s="1"/>
  <c r="H185" i="5"/>
  <c r="R185" i="5" s="1"/>
  <c r="AD83" i="1"/>
  <c r="CS83" i="1"/>
  <c r="R83" i="1" s="1"/>
  <c r="V82" i="1"/>
  <c r="AB82" i="1"/>
  <c r="CR82" i="1"/>
  <c r="Q82" i="1" s="1"/>
  <c r="CQ81" i="1"/>
  <c r="T81" i="1"/>
  <c r="AD77" i="1"/>
  <c r="H173" i="5"/>
  <c r="R173" i="5" s="1"/>
  <c r="U75" i="1"/>
  <c r="Y255" i="6" s="1"/>
  <c r="H167" i="5"/>
  <c r="W167" i="5" s="1"/>
  <c r="AB75" i="1"/>
  <c r="G255" i="6" s="1"/>
  <c r="CQ75" i="1"/>
  <c r="P75" i="1" s="1"/>
  <c r="U255" i="6" s="1"/>
  <c r="Y219" i="6"/>
  <c r="L155" i="5"/>
  <c r="Q155" i="5" s="1"/>
  <c r="L154" i="5"/>
  <c r="GX65" i="1"/>
  <c r="Y201" i="6"/>
  <c r="L145" i="5"/>
  <c r="Q145" i="5" s="1"/>
  <c r="L143" i="5"/>
  <c r="CY52" i="1"/>
  <c r="X52" i="1" s="1"/>
  <c r="CZ52" i="1"/>
  <c r="Y52" i="1" s="1"/>
  <c r="AB50" i="1"/>
  <c r="CR50" i="1"/>
  <c r="Q50" i="1" s="1"/>
  <c r="GK49" i="1"/>
  <c r="K90" i="5"/>
  <c r="V141" i="6"/>
  <c r="CY47" i="1"/>
  <c r="X47" i="1" s="1"/>
  <c r="V125" i="6"/>
  <c r="K81" i="5"/>
  <c r="CQ45" i="1"/>
  <c r="P45" i="1" s="1"/>
  <c r="U123" i="6" s="1"/>
  <c r="CS35" i="1"/>
  <c r="R35" i="1" s="1"/>
  <c r="G60" i="6"/>
  <c r="G62" i="6"/>
  <c r="H38" i="5"/>
  <c r="S36" i="5"/>
  <c r="U36" i="5"/>
  <c r="CT27" i="1"/>
  <c r="S27" i="1" s="1"/>
  <c r="W24" i="1"/>
  <c r="S24" i="1"/>
  <c r="T116" i="1"/>
  <c r="CT115" i="1"/>
  <c r="S115" i="1" s="1"/>
  <c r="G411" i="6"/>
  <c r="G409" i="6"/>
  <c r="S272" i="5"/>
  <c r="U272" i="5"/>
  <c r="H278" i="5" s="1"/>
  <c r="H273" i="5"/>
  <c r="W113" i="1"/>
  <c r="G401" i="6"/>
  <c r="G399" i="6"/>
  <c r="U262" i="5"/>
  <c r="H269" i="5" s="1"/>
  <c r="S262" i="5"/>
  <c r="H268" i="5" s="1"/>
  <c r="H264" i="5"/>
  <c r="T112" i="1"/>
  <c r="W112" i="1"/>
  <c r="T111" i="1"/>
  <c r="G384" i="6"/>
  <c r="G382" i="6"/>
  <c r="H254" i="5"/>
  <c r="U252" i="5"/>
  <c r="H259" i="5" s="1"/>
  <c r="S252" i="5"/>
  <c r="H258" i="5" s="1"/>
  <c r="W110" i="1"/>
  <c r="AB110" i="1"/>
  <c r="W107" i="1"/>
  <c r="GK105" i="1"/>
  <c r="X356" i="6"/>
  <c r="W103" i="1"/>
  <c r="G353" i="6"/>
  <c r="G351" i="6"/>
  <c r="S235" i="5"/>
  <c r="H238" i="5" s="1"/>
  <c r="H237" i="5"/>
  <c r="U235" i="5"/>
  <c r="H239" i="5" s="1"/>
  <c r="T102" i="1"/>
  <c r="W102" i="1"/>
  <c r="U233" i="5"/>
  <c r="S233" i="5"/>
  <c r="U328" i="6"/>
  <c r="K229" i="5"/>
  <c r="R98" i="1"/>
  <c r="U98" i="1"/>
  <c r="W97" i="1"/>
  <c r="CT97" i="1"/>
  <c r="S97" i="1" s="1"/>
  <c r="U222" i="5"/>
  <c r="S222" i="5"/>
  <c r="W95" i="1"/>
  <c r="CT95" i="1"/>
  <c r="S95" i="1" s="1"/>
  <c r="G323" i="6"/>
  <c r="H215" i="5"/>
  <c r="G324" i="6"/>
  <c r="S213" i="5"/>
  <c r="U213" i="5"/>
  <c r="H220" i="5" s="1"/>
  <c r="R93" i="1"/>
  <c r="U93" i="1"/>
  <c r="P92" i="1"/>
  <c r="CP92" i="1" s="1"/>
  <c r="O92" i="1" s="1"/>
  <c r="AB92" i="1"/>
  <c r="T91" i="1"/>
  <c r="S201" i="5"/>
  <c r="U201" i="5"/>
  <c r="S89" i="1"/>
  <c r="V304" i="6" s="1"/>
  <c r="GX88" i="1"/>
  <c r="R88" i="1"/>
  <c r="GK88" i="1" s="1"/>
  <c r="R87" i="1"/>
  <c r="U87" i="1"/>
  <c r="Y302" i="6" s="1"/>
  <c r="P85" i="1"/>
  <c r="H195" i="5"/>
  <c r="T83" i="1"/>
  <c r="G283" i="6"/>
  <c r="G284" i="6"/>
  <c r="H183" i="5"/>
  <c r="S181" i="5"/>
  <c r="H186" i="5" s="1"/>
  <c r="U181" i="5"/>
  <c r="H187" i="5" s="1"/>
  <c r="T82" i="1"/>
  <c r="W82" i="1"/>
  <c r="S82" i="1"/>
  <c r="CY82" i="1" s="1"/>
  <c r="X82" i="1" s="1"/>
  <c r="W80" i="1"/>
  <c r="R79" i="1"/>
  <c r="U79" i="1"/>
  <c r="Y273" i="6" s="1"/>
  <c r="H178" i="5"/>
  <c r="W178" i="5" s="1"/>
  <c r="R78" i="1"/>
  <c r="GK78" i="1" s="1"/>
  <c r="U78" i="1"/>
  <c r="Q78" i="1"/>
  <c r="CP78" i="1" s="1"/>
  <c r="O78" i="1" s="1"/>
  <c r="W77" i="1"/>
  <c r="CT77" i="1"/>
  <c r="S77" i="1" s="1"/>
  <c r="G272" i="6"/>
  <c r="G270" i="6"/>
  <c r="G268" i="6"/>
  <c r="U169" i="5"/>
  <c r="S169" i="5"/>
  <c r="H171" i="5"/>
  <c r="V75" i="1"/>
  <c r="Z255" i="6" s="1"/>
  <c r="I74" i="1"/>
  <c r="R74" i="1" s="1"/>
  <c r="GK74" i="1" s="1"/>
  <c r="Q71" i="1"/>
  <c r="W251" i="6" s="1"/>
  <c r="U71" i="1"/>
  <c r="Y251" i="6" s="1"/>
  <c r="AB71" i="1"/>
  <c r="G251" i="6" s="1"/>
  <c r="CS70" i="1"/>
  <c r="AB70" i="1"/>
  <c r="R69" i="1"/>
  <c r="U69" i="1"/>
  <c r="H161" i="5"/>
  <c r="R68" i="1"/>
  <c r="GK68" i="1" s="1"/>
  <c r="U68" i="1"/>
  <c r="R67" i="1"/>
  <c r="H151" i="5"/>
  <c r="U65" i="1"/>
  <c r="Y217" i="6" s="1"/>
  <c r="CT61" i="1"/>
  <c r="G199" i="6"/>
  <c r="G198" i="6"/>
  <c r="U128" i="5"/>
  <c r="H132" i="5" s="1"/>
  <c r="S128" i="5"/>
  <c r="H131" i="5" s="1"/>
  <c r="H130" i="5"/>
  <c r="AD59" i="1"/>
  <c r="H122" i="5" s="1"/>
  <c r="H123" i="5"/>
  <c r="R123" i="5" s="1"/>
  <c r="AD57" i="1"/>
  <c r="H113" i="5" s="1"/>
  <c r="H114" i="5"/>
  <c r="R114" i="5" s="1"/>
  <c r="AD55" i="1"/>
  <c r="H103" i="5" s="1"/>
  <c r="H104" i="5"/>
  <c r="R104" i="5" s="1"/>
  <c r="CP52" i="1"/>
  <c r="O52" i="1" s="1"/>
  <c r="P50" i="1"/>
  <c r="Y141" i="6"/>
  <c r="L99" i="5"/>
  <c r="Q99" i="5" s="1"/>
  <c r="L96" i="5"/>
  <c r="AD49" i="1"/>
  <c r="C142" i="6"/>
  <c r="F141" i="6"/>
  <c r="E88" i="5"/>
  <c r="C89" i="5"/>
  <c r="AB46" i="1"/>
  <c r="CT43" i="1"/>
  <c r="G118" i="6"/>
  <c r="H73" i="5"/>
  <c r="G120" i="6"/>
  <c r="U71" i="5"/>
  <c r="S71" i="5"/>
  <c r="P43" i="1"/>
  <c r="C108" i="6"/>
  <c r="F107" i="6"/>
  <c r="E71" i="5"/>
  <c r="C72" i="5"/>
  <c r="V42" i="1"/>
  <c r="CS41" i="1"/>
  <c r="R41" i="1" s="1"/>
  <c r="U41" i="1"/>
  <c r="Y105" i="6" s="1"/>
  <c r="H69" i="5"/>
  <c r="W69" i="5" s="1"/>
  <c r="W36" i="1"/>
  <c r="AB36" i="1"/>
  <c r="CT35" i="1"/>
  <c r="G96" i="6"/>
  <c r="G98" i="6"/>
  <c r="S58" i="5"/>
  <c r="H60" i="5"/>
  <c r="U58" i="5"/>
  <c r="CT31" i="1"/>
  <c r="G82" i="6"/>
  <c r="G80" i="6"/>
  <c r="G78" i="6"/>
  <c r="U47" i="5"/>
  <c r="H49" i="5"/>
  <c r="R49" i="5" s="1"/>
  <c r="S47" i="5"/>
  <c r="U30" i="1"/>
  <c r="P30" i="1"/>
  <c r="AB30" i="1"/>
  <c r="CT29" i="1"/>
  <c r="S29" i="1" s="1"/>
  <c r="V65" i="6" s="1"/>
  <c r="S45" i="5"/>
  <c r="U45" i="5"/>
  <c r="F65" i="6"/>
  <c r="E45" i="5"/>
  <c r="CS28" i="1"/>
  <c r="R28" i="1" s="1"/>
  <c r="GK28" i="1" s="1"/>
  <c r="H41" i="5"/>
  <c r="G44" i="6"/>
  <c r="G46" i="6"/>
  <c r="H29" i="5"/>
  <c r="U27" i="5"/>
  <c r="H33" i="5" s="1"/>
  <c r="S27" i="5"/>
  <c r="H32" i="5" s="1"/>
  <c r="F38" i="6"/>
  <c r="C39" i="6"/>
  <c r="C28" i="5"/>
  <c r="E27" i="5"/>
  <c r="T24" i="1"/>
  <c r="T106" i="1"/>
  <c r="V106" i="1"/>
  <c r="G369" i="6"/>
  <c r="G367" i="6"/>
  <c r="U242" i="5"/>
  <c r="H244" i="5"/>
  <c r="R244" i="5" s="1"/>
  <c r="S242" i="5"/>
  <c r="AB104" i="1"/>
  <c r="GX103" i="1"/>
  <c r="S103" i="1"/>
  <c r="U102" i="1"/>
  <c r="W101" i="1"/>
  <c r="U100" i="1"/>
  <c r="U97" i="1"/>
  <c r="Y326" i="6" s="1"/>
  <c r="U95" i="1"/>
  <c r="G316" i="6"/>
  <c r="G315" i="6"/>
  <c r="G314" i="6"/>
  <c r="U203" i="5"/>
  <c r="H210" i="5" s="1"/>
  <c r="S203" i="5"/>
  <c r="H209" i="5" s="1"/>
  <c r="H205" i="5"/>
  <c r="C309" i="6"/>
  <c r="F308" i="6"/>
  <c r="E203" i="5"/>
  <c r="C204" i="5"/>
  <c r="W91" i="1"/>
  <c r="U91" i="1"/>
  <c r="Y306" i="6" s="1"/>
  <c r="V89" i="1"/>
  <c r="Z304" i="6" s="1"/>
  <c r="AB89" i="1"/>
  <c r="G304" i="6" s="1"/>
  <c r="U88" i="1"/>
  <c r="W88" i="1"/>
  <c r="S88" i="1"/>
  <c r="GX87" i="1"/>
  <c r="U199" i="5"/>
  <c r="S199" i="5"/>
  <c r="H194" i="5"/>
  <c r="R194" i="5" s="1"/>
  <c r="Y277" i="6"/>
  <c r="L189" i="5"/>
  <c r="Q189" i="5" s="1"/>
  <c r="L188" i="5"/>
  <c r="C278" i="6"/>
  <c r="F277" i="6"/>
  <c r="E181" i="5"/>
  <c r="C182" i="5"/>
  <c r="U82" i="1"/>
  <c r="CT81" i="1"/>
  <c r="U179" i="5"/>
  <c r="GX80" i="1"/>
  <c r="S80" i="1"/>
  <c r="GX79" i="1"/>
  <c r="CT79" i="1"/>
  <c r="U178" i="5"/>
  <c r="S178" i="5"/>
  <c r="T77" i="1"/>
  <c r="H174" i="5"/>
  <c r="P74" i="1"/>
  <c r="T72" i="1"/>
  <c r="P72" i="1"/>
  <c r="CT71" i="1"/>
  <c r="U165" i="5"/>
  <c r="S165" i="5"/>
  <c r="R71" i="1"/>
  <c r="F251" i="6"/>
  <c r="E165" i="5"/>
  <c r="CT69" i="1"/>
  <c r="S69" i="1" s="1"/>
  <c r="G246" i="6"/>
  <c r="G248" i="6"/>
  <c r="U156" i="5"/>
  <c r="S156" i="5"/>
  <c r="H158" i="5"/>
  <c r="C236" i="6"/>
  <c r="F235" i="6"/>
  <c r="C157" i="5"/>
  <c r="E156" i="5"/>
  <c r="CT67" i="1"/>
  <c r="G234" i="6"/>
  <c r="G232" i="6"/>
  <c r="G230" i="6"/>
  <c r="H148" i="5"/>
  <c r="S146" i="5"/>
  <c r="H152" i="5" s="1"/>
  <c r="U146" i="5"/>
  <c r="H153" i="5" s="1"/>
  <c r="P67" i="1"/>
  <c r="C220" i="6"/>
  <c r="E146" i="5"/>
  <c r="F219" i="6"/>
  <c r="C147" i="5"/>
  <c r="CT65" i="1"/>
  <c r="U144" i="5"/>
  <c r="S144" i="5"/>
  <c r="AD63" i="1"/>
  <c r="H139" i="5"/>
  <c r="R139" i="5" s="1"/>
  <c r="C202" i="6"/>
  <c r="F201" i="6"/>
  <c r="C136" i="5"/>
  <c r="E135" i="5"/>
  <c r="V62" i="1"/>
  <c r="AB51" i="1"/>
  <c r="G150" i="6" s="1"/>
  <c r="S97" i="5"/>
  <c r="U97" i="5"/>
  <c r="V51" i="1"/>
  <c r="Z150" i="6" s="1"/>
  <c r="F150" i="6"/>
  <c r="E97" i="5"/>
  <c r="G147" i="6"/>
  <c r="U88" i="5"/>
  <c r="G148" i="6"/>
  <c r="H90" i="5"/>
  <c r="S88" i="5"/>
  <c r="CP47" i="1"/>
  <c r="O47" i="1" s="1"/>
  <c r="U125" i="6"/>
  <c r="CT45" i="1"/>
  <c r="Y107" i="6"/>
  <c r="L79" i="5"/>
  <c r="Q79" i="5" s="1"/>
  <c r="L77" i="5"/>
  <c r="CT41" i="1"/>
  <c r="U69" i="5"/>
  <c r="S69" i="5"/>
  <c r="P41" i="1"/>
  <c r="U105" i="6" s="1"/>
  <c r="F105" i="6"/>
  <c r="E69" i="5"/>
  <c r="CT39" i="1"/>
  <c r="W38" i="1"/>
  <c r="S36" i="1"/>
  <c r="CZ36" i="1" s="1"/>
  <c r="Y36" i="1" s="1"/>
  <c r="Y85" i="6"/>
  <c r="L70" i="5"/>
  <c r="Q70" i="5" s="1"/>
  <c r="L66" i="5"/>
  <c r="I37" i="1"/>
  <c r="H67" i="5" s="1"/>
  <c r="W67" i="5" s="1"/>
  <c r="F85" i="6"/>
  <c r="C86" i="6"/>
  <c r="C59" i="5"/>
  <c r="E58" i="5"/>
  <c r="CT33" i="1"/>
  <c r="H45" i="5"/>
  <c r="W45" i="5" s="1"/>
  <c r="CS27" i="1"/>
  <c r="R27" i="1" s="1"/>
  <c r="H40" i="5"/>
  <c r="R40" i="5" s="1"/>
  <c r="K29" i="5"/>
  <c r="V38" i="6"/>
  <c r="V24" i="1"/>
  <c r="R24" i="1"/>
  <c r="GK24" i="1" s="1"/>
  <c r="P116" i="1"/>
  <c r="AB116" i="1"/>
  <c r="AB113" i="1"/>
  <c r="G387" i="6" s="1"/>
  <c r="H267" i="5"/>
  <c r="P112" i="1"/>
  <c r="AB112" i="1"/>
  <c r="P111" i="1"/>
  <c r="AB111" i="1"/>
  <c r="G376" i="6" s="1"/>
  <c r="H257" i="5"/>
  <c r="P110" i="1"/>
  <c r="F374" i="6"/>
  <c r="E250" i="5"/>
  <c r="P107" i="1"/>
  <c r="U372" i="6" s="1"/>
  <c r="AB107" i="1"/>
  <c r="G372" i="6" s="1"/>
  <c r="CS106" i="1"/>
  <c r="R106" i="1" s="1"/>
  <c r="CY106" i="1" s="1"/>
  <c r="X106" i="1" s="1"/>
  <c r="U106" i="1"/>
  <c r="CT105" i="1"/>
  <c r="S105" i="1" s="1"/>
  <c r="I107" i="1"/>
  <c r="S249" i="5" s="1"/>
  <c r="C357" i="6"/>
  <c r="F356" i="6"/>
  <c r="E242" i="5"/>
  <c r="C243" i="5"/>
  <c r="CT104" i="1"/>
  <c r="S104" i="1" s="1"/>
  <c r="AB103" i="1"/>
  <c r="G339" i="6" s="1"/>
  <c r="P102" i="1"/>
  <c r="CP102" i="1" s="1"/>
  <c r="O102" i="1" s="1"/>
  <c r="P101" i="1"/>
  <c r="U337" i="6" s="1"/>
  <c r="AB101" i="1"/>
  <c r="G337" i="6" s="1"/>
  <c r="H233" i="5"/>
  <c r="W233" i="5" s="1"/>
  <c r="P100" i="1"/>
  <c r="CS99" i="1"/>
  <c r="R99" i="1" s="1"/>
  <c r="Y328" i="6"/>
  <c r="L234" i="5"/>
  <c r="Q234" i="5" s="1"/>
  <c r="L232" i="5"/>
  <c r="AD99" i="1"/>
  <c r="C329" i="6"/>
  <c r="F328" i="6"/>
  <c r="C225" i="5"/>
  <c r="E224" i="5"/>
  <c r="H222" i="5"/>
  <c r="W222" i="5" s="1"/>
  <c r="H218" i="5"/>
  <c r="CS94" i="1"/>
  <c r="R94" i="1" s="1"/>
  <c r="GK94" i="1" s="1"/>
  <c r="CT93" i="1"/>
  <c r="S93" i="1" s="1"/>
  <c r="H207" i="5"/>
  <c r="R207" i="5" s="1"/>
  <c r="CS92" i="1"/>
  <c r="R92" i="1" s="1"/>
  <c r="GK92" i="1" s="1"/>
  <c r="U92" i="1"/>
  <c r="P91" i="1"/>
  <c r="U306" i="6" s="1"/>
  <c r="AB91" i="1"/>
  <c r="G306" i="6" s="1"/>
  <c r="H201" i="5"/>
  <c r="W201" i="5" s="1"/>
  <c r="W90" i="1"/>
  <c r="S90" i="1"/>
  <c r="U200" i="5"/>
  <c r="CT87" i="1"/>
  <c r="S87" i="1" s="1"/>
  <c r="V302" i="6" s="1"/>
  <c r="CS86" i="1"/>
  <c r="R86" i="1" s="1"/>
  <c r="GK86" i="1" s="1"/>
  <c r="CS85" i="1"/>
  <c r="R85" i="1" s="1"/>
  <c r="U85" i="1"/>
  <c r="AD85" i="1"/>
  <c r="AB85" i="1" s="1"/>
  <c r="AB84" i="1"/>
  <c r="P83" i="1"/>
  <c r="U277" i="6" s="1"/>
  <c r="AB83" i="1"/>
  <c r="G277" i="6" s="1"/>
  <c r="P82" i="1"/>
  <c r="V79" i="1"/>
  <c r="Z273" i="6" s="1"/>
  <c r="CQ77" i="1"/>
  <c r="P77" i="1" s="1"/>
  <c r="T76" i="1"/>
  <c r="CT75" i="1"/>
  <c r="S167" i="5"/>
  <c r="U167" i="5"/>
  <c r="V74" i="1"/>
  <c r="W74" i="1"/>
  <c r="S74" i="1"/>
  <c r="CT73" i="1"/>
  <c r="GX72" i="1"/>
  <c r="W72" i="1"/>
  <c r="S72" i="1"/>
  <c r="V69" i="1"/>
  <c r="Z235" i="6" s="1"/>
  <c r="AD69" i="1"/>
  <c r="H159" i="5" s="1"/>
  <c r="H160" i="5"/>
  <c r="R160" i="5" s="1"/>
  <c r="V68" i="1"/>
  <c r="AD67" i="1"/>
  <c r="H149" i="5" s="1"/>
  <c r="H150" i="5"/>
  <c r="R150" i="5" s="1"/>
  <c r="AB64" i="1"/>
  <c r="T63" i="1"/>
  <c r="H140" i="5"/>
  <c r="T61" i="1"/>
  <c r="F190" i="6"/>
  <c r="C191" i="6"/>
  <c r="C129" i="5"/>
  <c r="E128" i="5"/>
  <c r="CT59" i="1"/>
  <c r="S59" i="1" s="1"/>
  <c r="G187" i="6"/>
  <c r="S119" i="5"/>
  <c r="H124" i="5" s="1"/>
  <c r="G188" i="6"/>
  <c r="H121" i="5"/>
  <c r="U119" i="5"/>
  <c r="H125" i="5" s="1"/>
  <c r="P59" i="1"/>
  <c r="U179" i="6" s="1"/>
  <c r="F179" i="6"/>
  <c r="C180" i="6"/>
  <c r="C120" i="5"/>
  <c r="E119" i="5"/>
  <c r="P58" i="1"/>
  <c r="CT57" i="1"/>
  <c r="G176" i="6"/>
  <c r="G177" i="6"/>
  <c r="U110" i="5"/>
  <c r="H116" i="5" s="1"/>
  <c r="H112" i="5"/>
  <c r="S110" i="5"/>
  <c r="H115" i="5" s="1"/>
  <c r="P57" i="1"/>
  <c r="U170" i="6" s="1"/>
  <c r="C171" i="6"/>
  <c r="F170" i="6"/>
  <c r="E110" i="5"/>
  <c r="C111" i="5"/>
  <c r="CT55" i="1"/>
  <c r="G165" i="6"/>
  <c r="G167" i="6"/>
  <c r="S100" i="5"/>
  <c r="H106" i="5" s="1"/>
  <c r="U100" i="5"/>
  <c r="H107" i="5" s="1"/>
  <c r="H102" i="5"/>
  <c r="C155" i="6"/>
  <c r="F154" i="6"/>
  <c r="E100" i="5"/>
  <c r="C101" i="5"/>
  <c r="CT53" i="1"/>
  <c r="S53" i="1" s="1"/>
  <c r="V152" i="6" s="1"/>
  <c r="S98" i="5"/>
  <c r="U98" i="5"/>
  <c r="F152" i="6"/>
  <c r="E98" i="5"/>
  <c r="CP48" i="1"/>
  <c r="O48" i="1" s="1"/>
  <c r="AB48" i="1"/>
  <c r="G138" i="6"/>
  <c r="G140" i="6"/>
  <c r="G136" i="6"/>
  <c r="S80" i="5"/>
  <c r="H84" i="5" s="1"/>
  <c r="H81" i="5"/>
  <c r="U80" i="5"/>
  <c r="H85" i="5" s="1"/>
  <c r="AB44" i="1"/>
  <c r="CQ43" i="1"/>
  <c r="P42" i="1"/>
  <c r="V41" i="1"/>
  <c r="Z105" i="6" s="1"/>
  <c r="CP40" i="1"/>
  <c r="O40" i="1" s="1"/>
  <c r="AB40" i="1"/>
  <c r="I39" i="1"/>
  <c r="W39" i="1" s="1"/>
  <c r="P38" i="1"/>
  <c r="P36" i="1"/>
  <c r="P35" i="1"/>
  <c r="H63" i="5"/>
  <c r="CQ31" i="1"/>
  <c r="I33" i="1"/>
  <c r="C68" i="6"/>
  <c r="F67" i="6"/>
  <c r="E47" i="5"/>
  <c r="C48" i="5"/>
  <c r="CQ29" i="1"/>
  <c r="P29" i="1" s="1"/>
  <c r="U65" i="6" s="1"/>
  <c r="AD27" i="1"/>
  <c r="AB27" i="1" s="1"/>
  <c r="C50" i="6"/>
  <c r="F49" i="6"/>
  <c r="E36" i="5"/>
  <c r="C37" i="5"/>
  <c r="GX24" i="1"/>
  <c r="G18" i="1"/>
  <c r="C626" i="6"/>
  <c r="AG626" i="6"/>
  <c r="GD22" i="1"/>
  <c r="EU175" i="1"/>
  <c r="ET175" i="1"/>
  <c r="BZ22" i="1"/>
  <c r="AQ175" i="1"/>
  <c r="GX172" i="1"/>
  <c r="W172" i="1"/>
  <c r="S172" i="1"/>
  <c r="Q166" i="1"/>
  <c r="V166" i="1"/>
  <c r="R166" i="1"/>
  <c r="GK166" i="1" s="1"/>
  <c r="P166" i="1"/>
  <c r="U166" i="1"/>
  <c r="GX166" i="1"/>
  <c r="AB156" i="1"/>
  <c r="CR156" i="1"/>
  <c r="Q156" i="1" s="1"/>
  <c r="AB150" i="1"/>
  <c r="CR150" i="1"/>
  <c r="Q150" i="1" s="1"/>
  <c r="CP140" i="1"/>
  <c r="O140" i="1" s="1"/>
  <c r="FR22" i="1"/>
  <c r="EI175" i="1"/>
  <c r="CG22" i="1"/>
  <c r="AX175" i="1"/>
  <c r="BY22" i="1"/>
  <c r="AP175" i="1"/>
  <c r="CI175" i="1"/>
  <c r="CR172" i="1"/>
  <c r="Q172" i="1" s="1"/>
  <c r="AB172" i="1"/>
  <c r="FQ22" i="1"/>
  <c r="GA175" i="1"/>
  <c r="EH175" i="1"/>
  <c r="CL22" i="1"/>
  <c r="BC175" i="1"/>
  <c r="CD22" i="1"/>
  <c r="AU175" i="1"/>
  <c r="CY154" i="1"/>
  <c r="X154" i="1" s="1"/>
  <c r="FY175" i="1"/>
  <c r="FV22" i="1"/>
  <c r="EM175" i="1"/>
  <c r="EG22" i="1"/>
  <c r="EG207" i="1"/>
  <c r="BB175" i="1"/>
  <c r="CP172" i="1"/>
  <c r="O172" i="1" s="1"/>
  <c r="GX158" i="1"/>
  <c r="CY148" i="1"/>
  <c r="X148" i="1" s="1"/>
  <c r="AB144" i="1"/>
  <c r="CR144" i="1"/>
  <c r="Q144" i="1" s="1"/>
  <c r="CZ140" i="1"/>
  <c r="Y140" i="1" s="1"/>
  <c r="CY140" i="1"/>
  <c r="X140" i="1" s="1"/>
  <c r="W166" i="1"/>
  <c r="AB166" i="1"/>
  <c r="CT163" i="1"/>
  <c r="S163" i="1" s="1"/>
  <c r="CZ160" i="1"/>
  <c r="Y160" i="1" s="1"/>
  <c r="F179" i="1"/>
  <c r="U171" i="1"/>
  <c r="Y614" i="6" s="1"/>
  <c r="Q171" i="1"/>
  <c r="W614" i="6" s="1"/>
  <c r="W170" i="1"/>
  <c r="S170" i="1"/>
  <c r="CX528" i="3"/>
  <c r="CX532" i="3"/>
  <c r="CX526" i="3"/>
  <c r="CX534" i="3"/>
  <c r="CX531" i="3"/>
  <c r="CX533" i="3"/>
  <c r="CX530" i="3"/>
  <c r="CX527" i="3"/>
  <c r="CX529" i="3"/>
  <c r="AB168" i="1"/>
  <c r="U165" i="1"/>
  <c r="Y594" i="6" s="1"/>
  <c r="Q165" i="1"/>
  <c r="W164" i="1"/>
  <c r="S164" i="1"/>
  <c r="CX505" i="3"/>
  <c r="CX509" i="3"/>
  <c r="CX513" i="3"/>
  <c r="CX508" i="3"/>
  <c r="CX512" i="3"/>
  <c r="CX516" i="3"/>
  <c r="CX507" i="3"/>
  <c r="CX511" i="3"/>
  <c r="CX515" i="3"/>
  <c r="CX506" i="3"/>
  <c r="CX510" i="3"/>
  <c r="CX514" i="3"/>
  <c r="AB162" i="1"/>
  <c r="U160" i="1"/>
  <c r="Q160" i="1"/>
  <c r="CP160" i="1" s="1"/>
  <c r="O160" i="1" s="1"/>
  <c r="I159" i="1"/>
  <c r="AB157" i="1"/>
  <c r="G560" i="6" s="1"/>
  <c r="U154" i="1"/>
  <c r="Q154" i="1"/>
  <c r="CP154" i="1" s="1"/>
  <c r="O154" i="1" s="1"/>
  <c r="I153" i="1"/>
  <c r="H374" i="5" s="1"/>
  <c r="W374" i="5" s="1"/>
  <c r="AB151" i="1"/>
  <c r="G540" i="6" s="1"/>
  <c r="U148" i="1"/>
  <c r="Q148" i="1"/>
  <c r="CP148" i="1" s="1"/>
  <c r="O148" i="1" s="1"/>
  <c r="I147" i="1"/>
  <c r="S362" i="5" s="1"/>
  <c r="AB145" i="1"/>
  <c r="G520" i="6" s="1"/>
  <c r="U141" i="1"/>
  <c r="CX411" i="3"/>
  <c r="CX415" i="3"/>
  <c r="CX419" i="3"/>
  <c r="CX414" i="3"/>
  <c r="CX418" i="3"/>
  <c r="CX422" i="3"/>
  <c r="CX413" i="3"/>
  <c r="CX417" i="3"/>
  <c r="CX421" i="3"/>
  <c r="CX412" i="3"/>
  <c r="CX416" i="3"/>
  <c r="CX420" i="3"/>
  <c r="CX424" i="3"/>
  <c r="CX423" i="3"/>
  <c r="AB139" i="1"/>
  <c r="G493" i="6" s="1"/>
  <c r="GK137" i="1"/>
  <c r="AB135" i="1"/>
  <c r="G482" i="6" s="1"/>
  <c r="P134" i="1"/>
  <c r="AB134" i="1"/>
  <c r="AB133" i="1"/>
  <c r="G466" i="6" s="1"/>
  <c r="CY131" i="1"/>
  <c r="X131" i="1" s="1"/>
  <c r="CZ131" i="1"/>
  <c r="Y131" i="1" s="1"/>
  <c r="CY128" i="1"/>
  <c r="X128" i="1" s="1"/>
  <c r="CZ128" i="1"/>
  <c r="Y128" i="1" s="1"/>
  <c r="CP120" i="1"/>
  <c r="O120" i="1" s="1"/>
  <c r="CY119" i="1"/>
  <c r="X119" i="1" s="1"/>
  <c r="CY118" i="1"/>
  <c r="X118" i="1" s="1"/>
  <c r="CY117" i="1"/>
  <c r="X117" i="1" s="1"/>
  <c r="CY114" i="1"/>
  <c r="X114" i="1" s="1"/>
  <c r="CZ114" i="1"/>
  <c r="Y114" i="1" s="1"/>
  <c r="GK106" i="1"/>
  <c r="CZ106" i="1"/>
  <c r="Y106" i="1" s="1"/>
  <c r="CZ104" i="1"/>
  <c r="Y104" i="1" s="1"/>
  <c r="CY104" i="1"/>
  <c r="X104" i="1" s="1"/>
  <c r="CQ173" i="1"/>
  <c r="P173" i="1" s="1"/>
  <c r="CS172" i="1"/>
  <c r="R172" i="1" s="1"/>
  <c r="GK172" i="1" s="1"/>
  <c r="CZ168" i="1"/>
  <c r="Y168" i="1" s="1"/>
  <c r="GM168" i="1" s="1"/>
  <c r="CX517" i="3"/>
  <c r="CX521" i="3"/>
  <c r="CX520" i="3"/>
  <c r="CX524" i="3"/>
  <c r="CX519" i="3"/>
  <c r="CX523" i="3"/>
  <c r="CX525" i="3"/>
  <c r="CX518" i="3"/>
  <c r="CX522" i="3"/>
  <c r="GX167" i="1"/>
  <c r="AB167" i="1"/>
  <c r="G596" i="6" s="1"/>
  <c r="V165" i="1"/>
  <c r="Z594" i="6" s="1"/>
  <c r="CZ162" i="1"/>
  <c r="Y162" i="1" s="1"/>
  <c r="CX493" i="3"/>
  <c r="CX497" i="3"/>
  <c r="CX501" i="3"/>
  <c r="CX496" i="3"/>
  <c r="CX500" i="3"/>
  <c r="CX504" i="3"/>
  <c r="CX495" i="3"/>
  <c r="CX499" i="3"/>
  <c r="CX503" i="3"/>
  <c r="CX494" i="3"/>
  <c r="CX498" i="3"/>
  <c r="CX502" i="3"/>
  <c r="GX161" i="1"/>
  <c r="AB161" i="1"/>
  <c r="G564" i="6" s="1"/>
  <c r="V160" i="1"/>
  <c r="S158" i="1"/>
  <c r="CZ157" i="1"/>
  <c r="Y157" i="1" s="1"/>
  <c r="GX155" i="1"/>
  <c r="AB155" i="1"/>
  <c r="G544" i="6" s="1"/>
  <c r="V154" i="1"/>
  <c r="W152" i="1"/>
  <c r="S152" i="1"/>
  <c r="CZ151" i="1"/>
  <c r="Y151" i="1" s="1"/>
  <c r="AB149" i="1"/>
  <c r="G524" i="6" s="1"/>
  <c r="V148" i="1"/>
  <c r="U147" i="1"/>
  <c r="Y522" i="6" s="1"/>
  <c r="W146" i="1"/>
  <c r="S146" i="1"/>
  <c r="I145" i="1"/>
  <c r="AB143" i="1"/>
  <c r="G518" i="6" s="1"/>
  <c r="V141" i="1"/>
  <c r="Z502" i="6" s="1"/>
  <c r="CZ139" i="1"/>
  <c r="Y139" i="1" s="1"/>
  <c r="CX410" i="3"/>
  <c r="CX409" i="3"/>
  <c r="CX408" i="3"/>
  <c r="GX138" i="1"/>
  <c r="AB138" i="1"/>
  <c r="AB137" i="1"/>
  <c r="G484" i="6" s="1"/>
  <c r="U134" i="1"/>
  <c r="W134" i="1"/>
  <c r="S134" i="1"/>
  <c r="CY132" i="1"/>
  <c r="X132" i="1" s="1"/>
  <c r="GM132" i="1" s="1"/>
  <c r="CZ132" i="1"/>
  <c r="Y132" i="1" s="1"/>
  <c r="CP130" i="1"/>
  <c r="O130" i="1" s="1"/>
  <c r="CR128" i="1"/>
  <c r="Q128" i="1" s="1"/>
  <c r="CP128" i="1" s="1"/>
  <c r="O128" i="1" s="1"/>
  <c r="AB128" i="1"/>
  <c r="CZ126" i="1"/>
  <c r="Y126" i="1" s="1"/>
  <c r="CY126" i="1"/>
  <c r="X126" i="1" s="1"/>
  <c r="GM126" i="1" s="1"/>
  <c r="CR119" i="1"/>
  <c r="Q119" i="1" s="1"/>
  <c r="W416" i="6" s="1"/>
  <c r="AB119" i="1"/>
  <c r="G416" i="6" s="1"/>
  <c r="CR118" i="1"/>
  <c r="Q118" i="1" s="1"/>
  <c r="AB118" i="1"/>
  <c r="CR117" i="1"/>
  <c r="Q117" i="1" s="1"/>
  <c r="W414" i="6" s="1"/>
  <c r="AB117" i="1"/>
  <c r="G414" i="6" s="1"/>
  <c r="CY116" i="1"/>
  <c r="X116" i="1" s="1"/>
  <c r="CY115" i="1"/>
  <c r="X115" i="1" s="1"/>
  <c r="CY111" i="1"/>
  <c r="X111" i="1" s="1"/>
  <c r="CZ109" i="1"/>
  <c r="Y109" i="1" s="1"/>
  <c r="CY109" i="1"/>
  <c r="X109" i="1" s="1"/>
  <c r="GX165" i="1"/>
  <c r="CZ161" i="1"/>
  <c r="Y161" i="1" s="1"/>
  <c r="CX489" i="3"/>
  <c r="CX488" i="3"/>
  <c r="CX492" i="3"/>
  <c r="CX487" i="3"/>
  <c r="CX491" i="3"/>
  <c r="CX490" i="3"/>
  <c r="GX160" i="1"/>
  <c r="CY160" i="1"/>
  <c r="X160" i="1" s="1"/>
  <c r="I158" i="1"/>
  <c r="V158" i="1" s="1"/>
  <c r="W156" i="1"/>
  <c r="S156" i="1"/>
  <c r="U156" i="1"/>
  <c r="CZ155" i="1"/>
  <c r="Y155" i="1" s="1"/>
  <c r="CX473" i="3"/>
  <c r="CX477" i="3"/>
  <c r="CX472" i="3"/>
  <c r="CX476" i="3"/>
  <c r="CX480" i="3"/>
  <c r="CX471" i="3"/>
  <c r="CX475" i="3"/>
  <c r="CX479" i="3"/>
  <c r="CX474" i="3"/>
  <c r="CX478" i="3"/>
  <c r="GX154" i="1"/>
  <c r="W150" i="1"/>
  <c r="S150" i="1"/>
  <c r="CP150" i="1" s="1"/>
  <c r="O150" i="1" s="1"/>
  <c r="U150" i="1"/>
  <c r="CZ149" i="1"/>
  <c r="Y149" i="1" s="1"/>
  <c r="CX453" i="3"/>
  <c r="CX457" i="3"/>
  <c r="CX452" i="3"/>
  <c r="CX456" i="3"/>
  <c r="CX460" i="3"/>
  <c r="CX451" i="3"/>
  <c r="CX455" i="3"/>
  <c r="CX459" i="3"/>
  <c r="CX450" i="3"/>
  <c r="CX454" i="3"/>
  <c r="CX458" i="3"/>
  <c r="GX148" i="1"/>
  <c r="W144" i="1"/>
  <c r="S144" i="1"/>
  <c r="U144" i="1"/>
  <c r="I143" i="1"/>
  <c r="GX141" i="1"/>
  <c r="CZ138" i="1"/>
  <c r="Y138" i="1" s="1"/>
  <c r="CX407" i="3"/>
  <c r="CX406" i="3"/>
  <c r="CX405" i="3"/>
  <c r="CZ137" i="1"/>
  <c r="Y137" i="1" s="1"/>
  <c r="CY135" i="1"/>
  <c r="X135" i="1" s="1"/>
  <c r="CZ135" i="1"/>
  <c r="Y135" i="1" s="1"/>
  <c r="T134" i="1"/>
  <c r="Q134" i="1"/>
  <c r="CY133" i="1"/>
  <c r="X133" i="1" s="1"/>
  <c r="CZ133" i="1"/>
  <c r="Y133" i="1" s="1"/>
  <c r="GN131" i="1"/>
  <c r="CY127" i="1"/>
  <c r="X127" i="1" s="1"/>
  <c r="GN122" i="1"/>
  <c r="GM122" i="1"/>
  <c r="CZ121" i="1"/>
  <c r="Y121" i="1" s="1"/>
  <c r="GK119" i="1"/>
  <c r="CZ119" i="1"/>
  <c r="Y119" i="1" s="1"/>
  <c r="GK118" i="1"/>
  <c r="CZ118" i="1"/>
  <c r="Y118" i="1" s="1"/>
  <c r="AB115" i="1"/>
  <c r="G404" i="6" s="1"/>
  <c r="CR115" i="1"/>
  <c r="Q115" i="1" s="1"/>
  <c r="CZ110" i="1"/>
  <c r="Y110" i="1" s="1"/>
  <c r="CR108" i="1"/>
  <c r="Q108" i="1" s="1"/>
  <c r="AB108" i="1"/>
  <c r="CZ102" i="1"/>
  <c r="Y102" i="1" s="1"/>
  <c r="CY102" i="1"/>
  <c r="X102" i="1" s="1"/>
  <c r="CT169" i="1"/>
  <c r="S169" i="1" s="1"/>
  <c r="S166" i="1"/>
  <c r="CX481" i="3"/>
  <c r="CX485" i="3"/>
  <c r="CX484" i="3"/>
  <c r="CX483" i="3"/>
  <c r="CX482" i="3"/>
  <c r="CX486" i="3"/>
  <c r="CZ154" i="1"/>
  <c r="Y154" i="1" s="1"/>
  <c r="CX461" i="3"/>
  <c r="CX465" i="3"/>
  <c r="CX469" i="3"/>
  <c r="CX464" i="3"/>
  <c r="CX468" i="3"/>
  <c r="CX463" i="3"/>
  <c r="CX467" i="3"/>
  <c r="CX462" i="3"/>
  <c r="CX466" i="3"/>
  <c r="CX470" i="3"/>
  <c r="CZ148" i="1"/>
  <c r="Y148" i="1" s="1"/>
  <c r="CX441" i="3"/>
  <c r="CX445" i="3"/>
  <c r="CX449" i="3"/>
  <c r="CX440" i="3"/>
  <c r="CX444" i="3"/>
  <c r="CX448" i="3"/>
  <c r="CX439" i="3"/>
  <c r="CX443" i="3"/>
  <c r="CX447" i="3"/>
  <c r="CX442" i="3"/>
  <c r="CX446" i="3"/>
  <c r="Q143" i="1"/>
  <c r="W518" i="6" s="1"/>
  <c r="AB142" i="1"/>
  <c r="CZ141" i="1"/>
  <c r="Y141" i="1" s="1"/>
  <c r="CX426" i="3"/>
  <c r="CX430" i="3"/>
  <c r="CX425" i="3"/>
  <c r="CX429" i="3"/>
  <c r="CX433" i="3"/>
  <c r="CX437" i="3"/>
  <c r="CX428" i="3"/>
  <c r="CX432" i="3"/>
  <c r="CX436" i="3"/>
  <c r="CX431" i="3"/>
  <c r="CX435" i="3"/>
  <c r="CX427" i="3"/>
  <c r="CX434" i="3"/>
  <c r="CX438" i="3"/>
  <c r="CP135" i="1"/>
  <c r="O135" i="1" s="1"/>
  <c r="CY130" i="1"/>
  <c r="X130" i="1" s="1"/>
  <c r="CZ130" i="1"/>
  <c r="Y130" i="1" s="1"/>
  <c r="GO126" i="1"/>
  <c r="CY120" i="1"/>
  <c r="X120" i="1" s="1"/>
  <c r="CZ120" i="1"/>
  <c r="Y120" i="1" s="1"/>
  <c r="GK115" i="1"/>
  <c r="CZ115" i="1"/>
  <c r="Y115" i="1" s="1"/>
  <c r="CZ113" i="1"/>
  <c r="Y113" i="1" s="1"/>
  <c r="CY113" i="1"/>
  <c r="X113" i="1" s="1"/>
  <c r="CR106" i="1"/>
  <c r="Q106" i="1" s="1"/>
  <c r="AB106" i="1"/>
  <c r="CZ103" i="1"/>
  <c r="Y103" i="1" s="1"/>
  <c r="CY103" i="1"/>
  <c r="X103" i="1" s="1"/>
  <c r="U127" i="1"/>
  <c r="CQ127" i="1"/>
  <c r="P127" i="1" s="1"/>
  <c r="CX349" i="3"/>
  <c r="CX353" i="3"/>
  <c r="CX357" i="3"/>
  <c r="CX352" i="3"/>
  <c r="CX356" i="3"/>
  <c r="CX351" i="3"/>
  <c r="CX355" i="3"/>
  <c r="CX359" i="3"/>
  <c r="CX350" i="3"/>
  <c r="CX354" i="3"/>
  <c r="CX358" i="3"/>
  <c r="CX361" i="3"/>
  <c r="CX360" i="3"/>
  <c r="CQ121" i="1"/>
  <c r="P121" i="1" s="1"/>
  <c r="AD114" i="1"/>
  <c r="CR114" i="1" s="1"/>
  <c r="Q114" i="1" s="1"/>
  <c r="CP114" i="1" s="1"/>
  <c r="O114" i="1" s="1"/>
  <c r="CQ113" i="1"/>
  <c r="P113" i="1" s="1"/>
  <c r="U113" i="1"/>
  <c r="CX305" i="3"/>
  <c r="CX309" i="3"/>
  <c r="CX308" i="3"/>
  <c r="CX307" i="3"/>
  <c r="CX306" i="3"/>
  <c r="CQ109" i="1"/>
  <c r="P109" i="1" s="1"/>
  <c r="U374" i="6" s="1"/>
  <c r="U109" i="1"/>
  <c r="Y374" i="6" s="1"/>
  <c r="Q109" i="1"/>
  <c r="W374" i="6" s="1"/>
  <c r="W108" i="1"/>
  <c r="S108" i="1"/>
  <c r="CQ103" i="1"/>
  <c r="P103" i="1" s="1"/>
  <c r="U339" i="6" s="1"/>
  <c r="U103" i="1"/>
  <c r="Q103" i="1"/>
  <c r="W339" i="6" s="1"/>
  <c r="CX281" i="3"/>
  <c r="CX282" i="3"/>
  <c r="CY97" i="1"/>
  <c r="X97" i="1" s="1"/>
  <c r="W96" i="1"/>
  <c r="S96" i="1"/>
  <c r="CP96" i="1" s="1"/>
  <c r="O96" i="1" s="1"/>
  <c r="AB96" i="1"/>
  <c r="CZ95" i="1"/>
  <c r="Y95" i="1" s="1"/>
  <c r="CY93" i="1"/>
  <c r="X93" i="1" s="1"/>
  <c r="CZ93" i="1"/>
  <c r="Y93" i="1" s="1"/>
  <c r="CY90" i="1"/>
  <c r="X90" i="1" s="1"/>
  <c r="CZ90" i="1"/>
  <c r="Y90" i="1" s="1"/>
  <c r="CR88" i="1"/>
  <c r="Q88" i="1" s="1"/>
  <c r="CP88" i="1" s="1"/>
  <c r="O88" i="1" s="1"/>
  <c r="AB88" i="1"/>
  <c r="CY87" i="1"/>
  <c r="X87" i="1" s="1"/>
  <c r="CZ87" i="1"/>
  <c r="Y87" i="1" s="1"/>
  <c r="CP84" i="1"/>
  <c r="O84" i="1" s="1"/>
  <c r="CP82" i="1"/>
  <c r="O82" i="1" s="1"/>
  <c r="CR79" i="1"/>
  <c r="Q79" i="1" s="1"/>
  <c r="AB79" i="1"/>
  <c r="G273" i="6" s="1"/>
  <c r="CZ78" i="1"/>
  <c r="Y78" i="1" s="1"/>
  <c r="CY78" i="1"/>
  <c r="X78" i="1" s="1"/>
  <c r="CZ74" i="1"/>
  <c r="Y74" i="1" s="1"/>
  <c r="CY74" i="1"/>
  <c r="X74" i="1" s="1"/>
  <c r="CR69" i="1"/>
  <c r="Q69" i="1" s="1"/>
  <c r="AB69" i="1"/>
  <c r="G235" i="6" s="1"/>
  <c r="CR68" i="1"/>
  <c r="Q68" i="1" s="1"/>
  <c r="AB68" i="1"/>
  <c r="AB67" i="1"/>
  <c r="G219" i="6" s="1"/>
  <c r="CR67" i="1"/>
  <c r="Q67" i="1" s="1"/>
  <c r="CP118" i="1"/>
  <c r="O118" i="1" s="1"/>
  <c r="CZ116" i="1"/>
  <c r="Y116" i="1" s="1"/>
  <c r="AB114" i="1"/>
  <c r="CZ111" i="1"/>
  <c r="Y111" i="1" s="1"/>
  <c r="CX301" i="3"/>
  <c r="CX300" i="3"/>
  <c r="CX304" i="3"/>
  <c r="CX299" i="3"/>
  <c r="CX303" i="3"/>
  <c r="CX302" i="3"/>
  <c r="U107" i="1"/>
  <c r="Y372" i="6" s="1"/>
  <c r="Q107" i="1"/>
  <c r="CP106" i="1"/>
  <c r="O106" i="1" s="1"/>
  <c r="CX289" i="3"/>
  <c r="CX292" i="3"/>
  <c r="CX291" i="3"/>
  <c r="CX290" i="3"/>
  <c r="AB98" i="1"/>
  <c r="CR98" i="1"/>
  <c r="Q98" i="1" s="1"/>
  <c r="CP98" i="1" s="1"/>
  <c r="O98" i="1" s="1"/>
  <c r="CY94" i="1"/>
  <c r="X94" i="1" s="1"/>
  <c r="CZ94" i="1"/>
  <c r="Y94" i="1" s="1"/>
  <c r="CR90" i="1"/>
  <c r="Q90" i="1" s="1"/>
  <c r="CP90" i="1" s="1"/>
  <c r="O90" i="1" s="1"/>
  <c r="AB90" i="1"/>
  <c r="AB120" i="1"/>
  <c r="U116" i="1"/>
  <c r="Q116" i="1"/>
  <c r="CP116" i="1" s="1"/>
  <c r="O116" i="1" s="1"/>
  <c r="U111" i="1"/>
  <c r="Q111" i="1"/>
  <c r="CX293" i="3"/>
  <c r="CX297" i="3"/>
  <c r="CX296" i="3"/>
  <c r="CX295" i="3"/>
  <c r="CX294" i="3"/>
  <c r="CX298" i="3"/>
  <c r="U105" i="1"/>
  <c r="Q105" i="1"/>
  <c r="CX285" i="3"/>
  <c r="CX288" i="3"/>
  <c r="CX287" i="3"/>
  <c r="CX286" i="3"/>
  <c r="U101" i="1"/>
  <c r="Y337" i="6" s="1"/>
  <c r="Q101" i="1"/>
  <c r="CY99" i="1"/>
  <c r="X99" i="1" s="1"/>
  <c r="AB95" i="1"/>
  <c r="G317" i="6" s="1"/>
  <c r="CR95" i="1"/>
  <c r="Q95" i="1" s="1"/>
  <c r="CP94" i="1"/>
  <c r="O94" i="1" s="1"/>
  <c r="CY86" i="1"/>
  <c r="X86" i="1" s="1"/>
  <c r="CZ86" i="1"/>
  <c r="Y86" i="1" s="1"/>
  <c r="R81" i="1"/>
  <c r="CX403" i="3"/>
  <c r="CX402" i="3"/>
  <c r="CX404" i="3"/>
  <c r="CX399" i="3"/>
  <c r="CX401" i="3"/>
  <c r="CX400" i="3"/>
  <c r="CX391" i="3"/>
  <c r="CX395" i="3"/>
  <c r="CX390" i="3"/>
  <c r="CX394" i="3"/>
  <c r="CX398" i="3"/>
  <c r="CX393" i="3"/>
  <c r="CX397" i="3"/>
  <c r="CX392" i="3"/>
  <c r="CX396" i="3"/>
  <c r="CX383" i="3"/>
  <c r="CX387" i="3"/>
  <c r="CX382" i="3"/>
  <c r="CX386" i="3"/>
  <c r="CX381" i="3"/>
  <c r="CX385" i="3"/>
  <c r="CX389" i="3"/>
  <c r="CX384" i="3"/>
  <c r="CX388" i="3"/>
  <c r="CX379" i="3"/>
  <c r="CX378" i="3"/>
  <c r="CX380" i="3"/>
  <c r="CX375" i="3"/>
  <c r="CX377" i="3"/>
  <c r="CX376" i="3"/>
  <c r="CX363" i="3"/>
  <c r="CX367" i="3"/>
  <c r="CX371" i="3"/>
  <c r="CX362" i="3"/>
  <c r="CX366" i="3"/>
  <c r="CX370" i="3"/>
  <c r="CX374" i="3"/>
  <c r="CX365" i="3"/>
  <c r="CX369" i="3"/>
  <c r="CX373" i="3"/>
  <c r="CX364" i="3"/>
  <c r="CX368" i="3"/>
  <c r="CX372" i="3"/>
  <c r="CX313" i="3"/>
  <c r="CX312" i="3"/>
  <c r="CX311" i="3"/>
  <c r="CX310" i="3"/>
  <c r="CX314" i="3"/>
  <c r="U110" i="1"/>
  <c r="Q110" i="1"/>
  <c r="U104" i="1"/>
  <c r="Q104" i="1"/>
  <c r="CP104" i="1" s="1"/>
  <c r="O104" i="1" s="1"/>
  <c r="CX284" i="3"/>
  <c r="CX283" i="3"/>
  <c r="W100" i="1"/>
  <c r="S100" i="1"/>
  <c r="CZ99" i="1"/>
  <c r="Y99" i="1" s="1"/>
  <c r="AB99" i="1"/>
  <c r="G328" i="6" s="1"/>
  <c r="CZ98" i="1"/>
  <c r="Y98" i="1" s="1"/>
  <c r="AB97" i="1"/>
  <c r="G326" i="6" s="1"/>
  <c r="CR97" i="1"/>
  <c r="Q97" i="1" s="1"/>
  <c r="CY95" i="1"/>
  <c r="X95" i="1" s="1"/>
  <c r="AB94" i="1"/>
  <c r="CY88" i="1"/>
  <c r="X88" i="1" s="1"/>
  <c r="CZ88" i="1"/>
  <c r="Y88" i="1" s="1"/>
  <c r="CR86" i="1"/>
  <c r="Q86" i="1" s="1"/>
  <c r="CP86" i="1" s="1"/>
  <c r="O86" i="1" s="1"/>
  <c r="AB86" i="1"/>
  <c r="CY85" i="1"/>
  <c r="X85" i="1" s="1"/>
  <c r="CZ85" i="1"/>
  <c r="Y85" i="1" s="1"/>
  <c r="CZ80" i="1"/>
  <c r="Y80" i="1" s="1"/>
  <c r="CY80" i="1"/>
  <c r="X80" i="1" s="1"/>
  <c r="CX211" i="3"/>
  <c r="CX210" i="3"/>
  <c r="CX214" i="3"/>
  <c r="CX213" i="3"/>
  <c r="CX212" i="3"/>
  <c r="CX207" i="3"/>
  <c r="CX206" i="3"/>
  <c r="CX205" i="3"/>
  <c r="CX209" i="3"/>
  <c r="CX208" i="3"/>
  <c r="CQ80" i="1"/>
  <c r="P80" i="1" s="1"/>
  <c r="U80" i="1"/>
  <c r="W79" i="1"/>
  <c r="S79" i="1"/>
  <c r="V273" i="6" s="1"/>
  <c r="AB77" i="1"/>
  <c r="G257" i="6" s="1"/>
  <c r="W76" i="1"/>
  <c r="S76" i="1"/>
  <c r="U74" i="1"/>
  <c r="Q74" i="1"/>
  <c r="CP74" i="1" s="1"/>
  <c r="O74" i="1" s="1"/>
  <c r="R72" i="1"/>
  <c r="GK72" i="1" s="1"/>
  <c r="CQ70" i="1"/>
  <c r="P70" i="1" s="1"/>
  <c r="W69" i="1"/>
  <c r="CX169" i="3"/>
  <c r="CX173" i="3"/>
  <c r="CX177" i="3"/>
  <c r="CX171" i="3"/>
  <c r="CX168" i="3"/>
  <c r="CX170" i="3"/>
  <c r="CX176" i="3"/>
  <c r="CX178" i="3"/>
  <c r="CX167" i="3"/>
  <c r="CX175" i="3"/>
  <c r="CX172" i="3"/>
  <c r="CX174" i="3"/>
  <c r="I70" i="1"/>
  <c r="R70" i="1" s="1"/>
  <c r="GK70" i="1" s="1"/>
  <c r="CQ64" i="1"/>
  <c r="CX149" i="3"/>
  <c r="CX147" i="3"/>
  <c r="CX152" i="3"/>
  <c r="CX151" i="3"/>
  <c r="CX148" i="3"/>
  <c r="CX150" i="3"/>
  <c r="AB60" i="1"/>
  <c r="CR60" i="1"/>
  <c r="Q60" i="1" s="1"/>
  <c r="CP76" i="1"/>
  <c r="O76" i="1" s="1"/>
  <c r="CX161" i="3"/>
  <c r="CX165" i="3"/>
  <c r="CX163" i="3"/>
  <c r="CX160" i="3"/>
  <c r="CX162" i="3"/>
  <c r="CX164" i="3"/>
  <c r="CX166" i="3"/>
  <c r="AB61" i="1"/>
  <c r="G190" i="6" s="1"/>
  <c r="CR61" i="1"/>
  <c r="Q61" i="1" s="1"/>
  <c r="W190" i="6" s="1"/>
  <c r="CX140" i="3"/>
  <c r="P61" i="1"/>
  <c r="U190" i="6" s="1"/>
  <c r="U61" i="1"/>
  <c r="AB59" i="1"/>
  <c r="G179" i="6" s="1"/>
  <c r="AB58" i="1"/>
  <c r="CR58" i="1"/>
  <c r="Q58" i="1" s="1"/>
  <c r="AB57" i="1"/>
  <c r="G170" i="6" s="1"/>
  <c r="CR57" i="1"/>
  <c r="Q57" i="1" s="1"/>
  <c r="AB56" i="1"/>
  <c r="CR56" i="1"/>
  <c r="Q56" i="1" s="1"/>
  <c r="AB55" i="1"/>
  <c r="G154" i="6" s="1"/>
  <c r="AB54" i="1"/>
  <c r="CR54" i="1"/>
  <c r="Q54" i="1" s="1"/>
  <c r="AB53" i="1"/>
  <c r="G152" i="6" s="1"/>
  <c r="CR53" i="1"/>
  <c r="Q53" i="1" s="1"/>
  <c r="W152" i="6" s="1"/>
  <c r="GM52" i="1"/>
  <c r="GN52" i="1"/>
  <c r="CZ51" i="1"/>
  <c r="Y51" i="1" s="1"/>
  <c r="CY51" i="1"/>
  <c r="X51" i="1" s="1"/>
  <c r="CS76" i="1"/>
  <c r="R76" i="1" s="1"/>
  <c r="GK76" i="1" s="1"/>
  <c r="CX191" i="3"/>
  <c r="CX195" i="3"/>
  <c r="CX194" i="3"/>
  <c r="CX193" i="3"/>
  <c r="CX197" i="3"/>
  <c r="CX192" i="3"/>
  <c r="CX196" i="3"/>
  <c r="T75" i="1"/>
  <c r="AB74" i="1"/>
  <c r="AB72" i="1"/>
  <c r="GX71" i="1"/>
  <c r="P71" i="1"/>
  <c r="U251" i="6" s="1"/>
  <c r="T71" i="1"/>
  <c r="S70" i="1"/>
  <c r="W67" i="1"/>
  <c r="S67" i="1"/>
  <c r="CX153" i="3"/>
  <c r="CX157" i="3"/>
  <c r="CX155" i="3"/>
  <c r="CX154" i="3"/>
  <c r="CX159" i="3"/>
  <c r="CX156" i="3"/>
  <c r="CX158" i="3"/>
  <c r="CS63" i="1"/>
  <c r="R63" i="1" s="1"/>
  <c r="AB62" i="1"/>
  <c r="CR62" i="1"/>
  <c r="Q62" i="1" s="1"/>
  <c r="CX141" i="3"/>
  <c r="CX145" i="3"/>
  <c r="CX144" i="3"/>
  <c r="CX146" i="3"/>
  <c r="CX143" i="3"/>
  <c r="CX142" i="3"/>
  <c r="P62" i="1"/>
  <c r="U62" i="1"/>
  <c r="I64" i="1"/>
  <c r="CS61" i="1"/>
  <c r="R61" i="1" s="1"/>
  <c r="CX277" i="3"/>
  <c r="CX276" i="3"/>
  <c r="CX280" i="3"/>
  <c r="CX275" i="3"/>
  <c r="CX279" i="3"/>
  <c r="CX278" i="3"/>
  <c r="CX269" i="3"/>
  <c r="CX273" i="3"/>
  <c r="CX272" i="3"/>
  <c r="CX271" i="3"/>
  <c r="CX270" i="3"/>
  <c r="CX274" i="3"/>
  <c r="CX257" i="3"/>
  <c r="CX261" i="3"/>
  <c r="CX265" i="3"/>
  <c r="CX260" i="3"/>
  <c r="CX264" i="3"/>
  <c r="CX268" i="3"/>
  <c r="CX259" i="3"/>
  <c r="CX263" i="3"/>
  <c r="CX267" i="3"/>
  <c r="CX258" i="3"/>
  <c r="CX262" i="3"/>
  <c r="CX266" i="3"/>
  <c r="CX245" i="3"/>
  <c r="CX249" i="3"/>
  <c r="CX253" i="3"/>
  <c r="CX248" i="3"/>
  <c r="CX252" i="3"/>
  <c r="CX256" i="3"/>
  <c r="CX247" i="3"/>
  <c r="CX251" i="3"/>
  <c r="CX255" i="3"/>
  <c r="CX246" i="3"/>
  <c r="CX250" i="3"/>
  <c r="CX254" i="3"/>
  <c r="CX243" i="3"/>
  <c r="CX241" i="3"/>
  <c r="CX240" i="3"/>
  <c r="CX244" i="3"/>
  <c r="CX242" i="3"/>
  <c r="CX235" i="3"/>
  <c r="CX239" i="3"/>
  <c r="CX237" i="3"/>
  <c r="CX236" i="3"/>
  <c r="CX238" i="3"/>
  <c r="CX227" i="3"/>
  <c r="CX231" i="3"/>
  <c r="CX226" i="3"/>
  <c r="CX225" i="3"/>
  <c r="CX229" i="3"/>
  <c r="CX233" i="3"/>
  <c r="CX228" i="3"/>
  <c r="CX232" i="3"/>
  <c r="CX234" i="3"/>
  <c r="CX230" i="3"/>
  <c r="CX215" i="3"/>
  <c r="CX219" i="3"/>
  <c r="CX223" i="3"/>
  <c r="CX218" i="3"/>
  <c r="CX222" i="3"/>
  <c r="CX217" i="3"/>
  <c r="CX221" i="3"/>
  <c r="CX216" i="3"/>
  <c r="CX220" i="3"/>
  <c r="CX224" i="3"/>
  <c r="CZ82" i="1"/>
  <c r="Y82" i="1" s="1"/>
  <c r="W81" i="1"/>
  <c r="CS77" i="1"/>
  <c r="R77" i="1" s="1"/>
  <c r="CX199" i="3"/>
  <c r="CX203" i="3"/>
  <c r="CX198" i="3"/>
  <c r="CX202" i="3"/>
  <c r="CX201" i="3"/>
  <c r="CX200" i="3"/>
  <c r="CX204" i="3"/>
  <c r="AB76" i="1"/>
  <c r="W75" i="1"/>
  <c r="S75" i="1"/>
  <c r="V255" i="6" s="1"/>
  <c r="GX74" i="1"/>
  <c r="CX181" i="3"/>
  <c r="CX185" i="3"/>
  <c r="CX179" i="3"/>
  <c r="CX187" i="3"/>
  <c r="CX184" i="3"/>
  <c r="CX186" i="3"/>
  <c r="CX190" i="3"/>
  <c r="CX183" i="3"/>
  <c r="CX189" i="3"/>
  <c r="CX180" i="3"/>
  <c r="CX182" i="3"/>
  <c r="CX188" i="3"/>
  <c r="I73" i="1"/>
  <c r="H166" i="5" s="1"/>
  <c r="W166" i="5" s="1"/>
  <c r="CP68" i="1"/>
  <c r="O68" i="1" s="1"/>
  <c r="GX67" i="1"/>
  <c r="W66" i="1"/>
  <c r="S66" i="1"/>
  <c r="AB63" i="1"/>
  <c r="G201" i="6" s="1"/>
  <c r="GX62" i="1"/>
  <c r="CS62" i="1"/>
  <c r="R62" i="1" s="1"/>
  <c r="GK62" i="1" s="1"/>
  <c r="U72" i="1"/>
  <c r="Q72" i="1"/>
  <c r="CP72" i="1" s="1"/>
  <c r="O72" i="1" s="1"/>
  <c r="W71" i="1"/>
  <c r="S71" i="1"/>
  <c r="V251" i="6" s="1"/>
  <c r="CR41" i="1"/>
  <c r="Q41" i="1" s="1"/>
  <c r="W105" i="6" s="1"/>
  <c r="AB41" i="1"/>
  <c r="G105" i="6" s="1"/>
  <c r="AB39" i="1"/>
  <c r="G103" i="6" s="1"/>
  <c r="CR39" i="1"/>
  <c r="Q33" i="1"/>
  <c r="W83" i="6" s="1"/>
  <c r="R33" i="1"/>
  <c r="W65" i="1"/>
  <c r="S65" i="1"/>
  <c r="CP53" i="1"/>
  <c r="O53" i="1" s="1"/>
  <c r="AB49" i="1"/>
  <c r="G141" i="6" s="1"/>
  <c r="CQ49" i="1"/>
  <c r="P49" i="1" s="1"/>
  <c r="CR42" i="1"/>
  <c r="Q42" i="1" s="1"/>
  <c r="AB42" i="1"/>
  <c r="CY38" i="1"/>
  <c r="X38" i="1" s="1"/>
  <c r="CY29" i="1"/>
  <c r="X29" i="1" s="1"/>
  <c r="CZ29" i="1"/>
  <c r="Y29" i="1" s="1"/>
  <c r="W61" i="1"/>
  <c r="S61" i="1"/>
  <c r="W60" i="1"/>
  <c r="S60" i="1"/>
  <c r="U60" i="1"/>
  <c r="P60" i="1"/>
  <c r="CP60" i="1" s="1"/>
  <c r="O60" i="1" s="1"/>
  <c r="W59" i="1"/>
  <c r="U59" i="1"/>
  <c r="W58" i="1"/>
  <c r="S58" i="1"/>
  <c r="U58" i="1"/>
  <c r="W57" i="1"/>
  <c r="S57" i="1"/>
  <c r="U57" i="1"/>
  <c r="W56" i="1"/>
  <c r="S56" i="1"/>
  <c r="CP56" i="1" s="1"/>
  <c r="O56" i="1" s="1"/>
  <c r="W55" i="1"/>
  <c r="S55" i="1"/>
  <c r="W54" i="1"/>
  <c r="S54" i="1"/>
  <c r="CY46" i="1"/>
  <c r="X46" i="1" s="1"/>
  <c r="CZ46" i="1"/>
  <c r="Y46" i="1" s="1"/>
  <c r="CR43" i="1"/>
  <c r="Q43" i="1" s="1"/>
  <c r="AB43" i="1"/>
  <c r="G107" i="6" s="1"/>
  <c r="T37" i="1"/>
  <c r="CY28" i="1"/>
  <c r="X28" i="1" s="1"/>
  <c r="CZ28" i="1"/>
  <c r="Y28" i="1" s="1"/>
  <c r="CX138" i="3"/>
  <c r="CX137" i="3"/>
  <c r="CX136" i="3"/>
  <c r="CX134" i="3"/>
  <c r="CX133" i="3"/>
  <c r="CX135" i="3"/>
  <c r="CX130" i="3"/>
  <c r="CX131" i="3"/>
  <c r="CX132" i="3"/>
  <c r="CX129" i="3"/>
  <c r="CX127" i="3"/>
  <c r="CX128" i="3"/>
  <c r="CX122" i="3"/>
  <c r="CX126" i="3"/>
  <c r="CX125" i="3"/>
  <c r="CX123" i="3"/>
  <c r="CX124" i="3"/>
  <c r="CX118" i="3"/>
  <c r="CX117" i="3"/>
  <c r="CX121" i="3"/>
  <c r="CX119" i="3"/>
  <c r="CX120" i="3"/>
  <c r="CZ49" i="1"/>
  <c r="Y49" i="1" s="1"/>
  <c r="CY49" i="1"/>
  <c r="X49" i="1" s="1"/>
  <c r="GN47" i="1"/>
  <c r="Q37" i="1"/>
  <c r="W101" i="6" s="1"/>
  <c r="U51" i="1"/>
  <c r="Y150" i="6" s="1"/>
  <c r="Q51" i="1"/>
  <c r="W50" i="1"/>
  <c r="S50" i="1"/>
  <c r="CX111" i="3"/>
  <c r="CX110" i="3"/>
  <c r="CX114" i="3"/>
  <c r="CX109" i="3"/>
  <c r="CX113" i="3"/>
  <c r="CX115" i="3"/>
  <c r="CX112" i="3"/>
  <c r="CX116" i="3"/>
  <c r="CR46" i="1"/>
  <c r="Q46" i="1" s="1"/>
  <c r="CP46" i="1" s="1"/>
  <c r="O46" i="1" s="1"/>
  <c r="I44" i="1"/>
  <c r="T44" i="1" s="1"/>
  <c r="U36" i="1"/>
  <c r="Q36" i="1"/>
  <c r="W35" i="1"/>
  <c r="S35" i="1"/>
  <c r="T34" i="1"/>
  <c r="W34" i="1"/>
  <c r="S34" i="1"/>
  <c r="CP34" i="1" s="1"/>
  <c r="O34" i="1" s="1"/>
  <c r="P31" i="1"/>
  <c r="AB31" i="1"/>
  <c r="G67" i="6" s="1"/>
  <c r="T30" i="1"/>
  <c r="W30" i="1"/>
  <c r="S30" i="1"/>
  <c r="GX28" i="1"/>
  <c r="U28" i="1"/>
  <c r="V28" i="1"/>
  <c r="Q28" i="1"/>
  <c r="CQ27" i="1"/>
  <c r="P27" i="1" s="1"/>
  <c r="AD26" i="1"/>
  <c r="CR26" i="1" s="1"/>
  <c r="Q26" i="1" s="1"/>
  <c r="CP26" i="1" s="1"/>
  <c r="O26" i="1" s="1"/>
  <c r="CZ26" i="1"/>
  <c r="Y26" i="1" s="1"/>
  <c r="CY26" i="1"/>
  <c r="X26" i="1" s="1"/>
  <c r="CX103" i="3"/>
  <c r="CX107" i="3"/>
  <c r="CX102" i="3"/>
  <c r="CX106" i="3"/>
  <c r="CX101" i="3"/>
  <c r="CX105" i="3"/>
  <c r="CX108" i="3"/>
  <c r="CX104" i="3"/>
  <c r="AB47" i="1"/>
  <c r="G125" i="6" s="1"/>
  <c r="I45" i="1"/>
  <c r="H78" i="5" s="1"/>
  <c r="W78" i="5" s="1"/>
  <c r="CQ44" i="1"/>
  <c r="P44" i="1" s="1"/>
  <c r="U44" i="1"/>
  <c r="Q44" i="1"/>
  <c r="W43" i="1"/>
  <c r="S43" i="1"/>
  <c r="W42" i="1"/>
  <c r="S42" i="1"/>
  <c r="W41" i="1"/>
  <c r="S41" i="1"/>
  <c r="V105" i="6" s="1"/>
  <c r="CZ40" i="1"/>
  <c r="Y40" i="1" s="1"/>
  <c r="GX38" i="1"/>
  <c r="AB38" i="1"/>
  <c r="CX52" i="3"/>
  <c r="CX56" i="3"/>
  <c r="CX51" i="3"/>
  <c r="CX55" i="3"/>
  <c r="CX54" i="3"/>
  <c r="CX58" i="3"/>
  <c r="CX53" i="3"/>
  <c r="CX57" i="3"/>
  <c r="CX44" i="3"/>
  <c r="CX48" i="3"/>
  <c r="CX43" i="3"/>
  <c r="CX47" i="3"/>
  <c r="CX46" i="3"/>
  <c r="CX50" i="3"/>
  <c r="CX45" i="3"/>
  <c r="CX49" i="3"/>
  <c r="T31" i="1"/>
  <c r="W31" i="1"/>
  <c r="S31" i="1"/>
  <c r="CX32" i="3"/>
  <c r="CX31" i="3"/>
  <c r="CX35" i="3"/>
  <c r="CX30" i="3"/>
  <c r="CX34" i="3"/>
  <c r="CX29" i="3"/>
  <c r="CX33" i="3"/>
  <c r="I32" i="1"/>
  <c r="R32" i="1" s="1"/>
  <c r="CZ47" i="1"/>
  <c r="Y47" i="1" s="1"/>
  <c r="CX64" i="3"/>
  <c r="CX63" i="3"/>
  <c r="CX62" i="3"/>
  <c r="CX60" i="3"/>
  <c r="CX59" i="3"/>
  <c r="CX61" i="3"/>
  <c r="CZ38" i="1"/>
  <c r="Y38" i="1" s="1"/>
  <c r="P33" i="1"/>
  <c r="U83" i="6" s="1"/>
  <c r="CX36" i="3"/>
  <c r="CX40" i="3"/>
  <c r="CX39" i="3"/>
  <c r="CX38" i="3"/>
  <c r="CX42" i="3"/>
  <c r="CX37" i="3"/>
  <c r="CX41" i="3"/>
  <c r="CQ24" i="1"/>
  <c r="P24" i="1" s="1"/>
  <c r="U38" i="1"/>
  <c r="Q38" i="1"/>
  <c r="CP38" i="1" s="1"/>
  <c r="O38" i="1" s="1"/>
  <c r="AB37" i="1"/>
  <c r="G101" i="6" s="1"/>
  <c r="T33" i="1"/>
  <c r="W33" i="1"/>
  <c r="S33" i="1"/>
  <c r="V83" i="6" s="1"/>
  <c r="AB32" i="1"/>
  <c r="U31" i="1"/>
  <c r="CP30" i="1"/>
  <c r="O30" i="1" s="1"/>
  <c r="CS25" i="1"/>
  <c r="R25" i="1" s="1"/>
  <c r="AD25" i="1"/>
  <c r="AB29" i="1"/>
  <c r="G65" i="6" s="1"/>
  <c r="T28" i="1"/>
  <c r="AB28" i="1"/>
  <c r="AB25" i="1"/>
  <c r="G38" i="6" s="1"/>
  <c r="AD24" i="1"/>
  <c r="CR24" i="1" s="1"/>
  <c r="Q24" i="1" s="1"/>
  <c r="P28" i="1"/>
  <c r="CP28" i="1" s="1"/>
  <c r="O28" i="1" s="1"/>
  <c r="AB26" i="1"/>
  <c r="CX20" i="3"/>
  <c r="CX24" i="3"/>
  <c r="CX28" i="3"/>
  <c r="CX19" i="3"/>
  <c r="CX23" i="3"/>
  <c r="CX27" i="3"/>
  <c r="CX18" i="3"/>
  <c r="CX22" i="3"/>
  <c r="CX26" i="3"/>
  <c r="CX21" i="3"/>
  <c r="CX25" i="3"/>
  <c r="CX8" i="3"/>
  <c r="CX12" i="3"/>
  <c r="CX16" i="3"/>
  <c r="CX7" i="3"/>
  <c r="CX11" i="3"/>
  <c r="CX15" i="3"/>
  <c r="CX10" i="3"/>
  <c r="CX14" i="3"/>
  <c r="CX9" i="3"/>
  <c r="CX13" i="3"/>
  <c r="CX17" i="3"/>
  <c r="CX4" i="3"/>
  <c r="CX6" i="3"/>
  <c r="CX5" i="3"/>
  <c r="CX3" i="3"/>
  <c r="CX2" i="3"/>
  <c r="CX1" i="3"/>
  <c r="H94" i="5" l="1"/>
  <c r="H308" i="5"/>
  <c r="H328" i="5"/>
  <c r="H231" i="5"/>
  <c r="H42" i="5"/>
  <c r="V306" i="6"/>
  <c r="CP91" i="1"/>
  <c r="O91" i="1" s="1"/>
  <c r="CZ91" i="1"/>
  <c r="Y91" i="1" s="1"/>
  <c r="CY91" i="1"/>
  <c r="X91" i="1" s="1"/>
  <c r="G49" i="6"/>
  <c r="G64" i="6"/>
  <c r="V179" i="6"/>
  <c r="K121" i="5"/>
  <c r="G286" i="6"/>
  <c r="G301" i="6"/>
  <c r="V235" i="6"/>
  <c r="K158" i="5"/>
  <c r="GM78" i="1"/>
  <c r="GN78" i="1"/>
  <c r="T308" i="6"/>
  <c r="H316" i="6"/>
  <c r="H308" i="6"/>
  <c r="W387" i="6"/>
  <c r="K265" i="5"/>
  <c r="G427" i="6"/>
  <c r="G441" i="6"/>
  <c r="AA614" i="6"/>
  <c r="T419" i="5"/>
  <c r="CZ25" i="1"/>
  <c r="Y25" i="1" s="1"/>
  <c r="X38" i="6"/>
  <c r="K31" i="5"/>
  <c r="CP51" i="1"/>
  <c r="O51" i="1" s="1"/>
  <c r="W150" i="6"/>
  <c r="Y170" i="6"/>
  <c r="L118" i="5"/>
  <c r="Q118" i="5" s="1"/>
  <c r="L117" i="5"/>
  <c r="CP67" i="1"/>
  <c r="O67" i="1" s="1"/>
  <c r="K148" i="5"/>
  <c r="V219" i="6"/>
  <c r="GK81" i="1"/>
  <c r="X275" i="6"/>
  <c r="CP105" i="1"/>
  <c r="O105" i="1" s="1"/>
  <c r="W356" i="6"/>
  <c r="U387" i="6"/>
  <c r="K267" i="5"/>
  <c r="H353" i="6"/>
  <c r="AB339" i="6"/>
  <c r="V235" i="5"/>
  <c r="K239" i="5" s="1"/>
  <c r="AA446" i="6"/>
  <c r="H452" i="6"/>
  <c r="T302" i="5"/>
  <c r="U145" i="1"/>
  <c r="Y520" i="6" s="1"/>
  <c r="F520" i="6"/>
  <c r="E361" i="5"/>
  <c r="H463" i="6"/>
  <c r="AA457" i="6"/>
  <c r="T313" i="5"/>
  <c r="K318" i="5" s="1"/>
  <c r="F562" i="6"/>
  <c r="E386" i="5"/>
  <c r="U257" i="6"/>
  <c r="K174" i="5"/>
  <c r="S39" i="1"/>
  <c r="S78" i="5"/>
  <c r="R273" i="5"/>
  <c r="V427" i="6"/>
  <c r="K290" i="5"/>
  <c r="R324" i="5"/>
  <c r="W332" i="5"/>
  <c r="G332" i="5"/>
  <c r="O332" i="5" s="1"/>
  <c r="R378" i="5"/>
  <c r="W466" i="6"/>
  <c r="K325" i="5"/>
  <c r="U502" i="6"/>
  <c r="K356" i="5"/>
  <c r="U598" i="6"/>
  <c r="K415" i="5"/>
  <c r="GX89" i="1"/>
  <c r="CY101" i="1"/>
  <c r="X101" i="1" s="1"/>
  <c r="V337" i="6"/>
  <c r="AA560" i="6"/>
  <c r="T385" i="5"/>
  <c r="X596" i="6"/>
  <c r="GK167" i="1"/>
  <c r="H499" i="6"/>
  <c r="AA493" i="6"/>
  <c r="T342" i="5"/>
  <c r="K347" i="5" s="1"/>
  <c r="AA564" i="6"/>
  <c r="H575" i="6"/>
  <c r="T388" i="5"/>
  <c r="K394" i="5" s="1"/>
  <c r="CY48" i="1"/>
  <c r="X48" i="1" s="1"/>
  <c r="H138" i="6"/>
  <c r="AB125" i="6"/>
  <c r="V80" i="5"/>
  <c r="K85" i="5" s="1"/>
  <c r="CP36" i="1"/>
  <c r="O36" i="1" s="1"/>
  <c r="GX37" i="1"/>
  <c r="GM47" i="1"/>
  <c r="V170" i="6"/>
  <c r="K112" i="5"/>
  <c r="V190" i="6"/>
  <c r="K130" i="5"/>
  <c r="P37" i="1"/>
  <c r="U101" i="6" s="1"/>
  <c r="GX45" i="1"/>
  <c r="CP65" i="1"/>
  <c r="O65" i="1" s="1"/>
  <c r="V217" i="6"/>
  <c r="Q64" i="1"/>
  <c r="CP58" i="1"/>
  <c r="O58" i="1" s="1"/>
  <c r="Y190" i="6"/>
  <c r="L134" i="5"/>
  <c r="Q134" i="5" s="1"/>
  <c r="L133" i="5"/>
  <c r="AA317" i="6"/>
  <c r="H323" i="6"/>
  <c r="T213" i="5"/>
  <c r="GX81" i="1"/>
  <c r="CZ84" i="1"/>
  <c r="Y84" i="1" s="1"/>
  <c r="AA328" i="6"/>
  <c r="H334" i="6"/>
  <c r="T224" i="5"/>
  <c r="Y356" i="6"/>
  <c r="L251" i="5"/>
  <c r="Q251" i="5" s="1"/>
  <c r="L248" i="5"/>
  <c r="Y376" i="6"/>
  <c r="L261" i="5"/>
  <c r="Q261" i="5" s="1"/>
  <c r="L260" i="5"/>
  <c r="CZ101" i="1"/>
  <c r="Y101" i="1" s="1"/>
  <c r="CP119" i="1"/>
  <c r="O119" i="1" s="1"/>
  <c r="CP79" i="1"/>
  <c r="O79" i="1" s="1"/>
  <c r="W273" i="6"/>
  <c r="AB302" i="6"/>
  <c r="V199" i="5"/>
  <c r="H314" i="6"/>
  <c r="AA308" i="6"/>
  <c r="T203" i="5"/>
  <c r="K209" i="5" s="1"/>
  <c r="U446" i="6"/>
  <c r="K307" i="5"/>
  <c r="H411" i="6"/>
  <c r="AB404" i="6"/>
  <c r="V272" i="5"/>
  <c r="CP133" i="1"/>
  <c r="O133" i="1" s="1"/>
  <c r="H515" i="6"/>
  <c r="AB502" i="6"/>
  <c r="V351" i="5"/>
  <c r="CY112" i="1"/>
  <c r="X112" i="1" s="1"/>
  <c r="CZ117" i="1"/>
  <c r="Y117" i="1" s="1"/>
  <c r="H424" i="6"/>
  <c r="AB416" i="6"/>
  <c r="V282" i="5"/>
  <c r="K286" i="5" s="1"/>
  <c r="CZ129" i="1"/>
  <c r="Y129" i="1" s="1"/>
  <c r="H479" i="6"/>
  <c r="AB466" i="6"/>
  <c r="V322" i="5"/>
  <c r="AB482" i="6"/>
  <c r="V331" i="5"/>
  <c r="P143" i="1"/>
  <c r="U518" i="6" s="1"/>
  <c r="F518" i="6"/>
  <c r="E360" i="5"/>
  <c r="Q145" i="1"/>
  <c r="W520" i="6" s="1"/>
  <c r="AB544" i="6"/>
  <c r="H557" i="6"/>
  <c r="V376" i="5"/>
  <c r="H409" i="6"/>
  <c r="AA404" i="6"/>
  <c r="T272" i="5"/>
  <c r="AB493" i="6"/>
  <c r="H500" i="6"/>
  <c r="V342" i="5"/>
  <c r="K348" i="5" s="1"/>
  <c r="W158" i="1"/>
  <c r="CP112" i="1"/>
  <c r="O112" i="1" s="1"/>
  <c r="P153" i="1"/>
  <c r="U542" i="6" s="1"/>
  <c r="CP171" i="1"/>
  <c r="O171" i="1" s="1"/>
  <c r="F83" i="6"/>
  <c r="E56" i="5"/>
  <c r="K63" i="5"/>
  <c r="U85" i="6"/>
  <c r="V39" i="1"/>
  <c r="Z103" i="6" s="1"/>
  <c r="G87" i="5"/>
  <c r="O87" i="5" s="1"/>
  <c r="R81" i="5"/>
  <c r="W87" i="5"/>
  <c r="R102" i="5"/>
  <c r="G109" i="5"/>
  <c r="O109" i="5" s="1"/>
  <c r="W109" i="5"/>
  <c r="GK85" i="1"/>
  <c r="X286" i="6"/>
  <c r="K194" i="5"/>
  <c r="S200" i="5"/>
  <c r="H196" i="5" s="1"/>
  <c r="U56" i="5"/>
  <c r="H54" i="5" s="1"/>
  <c r="R90" i="5"/>
  <c r="G149" i="6"/>
  <c r="G155" i="5"/>
  <c r="O155" i="5" s="1"/>
  <c r="R148" i="5"/>
  <c r="W155" i="5"/>
  <c r="H200" i="5"/>
  <c r="W200" i="5" s="1"/>
  <c r="Y317" i="6"/>
  <c r="L223" i="5"/>
  <c r="Q223" i="5" s="1"/>
  <c r="L221" i="5"/>
  <c r="H246" i="5"/>
  <c r="R60" i="5"/>
  <c r="H75" i="5"/>
  <c r="R73" i="5"/>
  <c r="CR49" i="1"/>
  <c r="Q49" i="1" s="1"/>
  <c r="H91" i="5"/>
  <c r="R130" i="5"/>
  <c r="G134" i="5"/>
  <c r="O134" i="5" s="1"/>
  <c r="W134" i="5"/>
  <c r="H176" i="5"/>
  <c r="V257" i="6"/>
  <c r="K171" i="5"/>
  <c r="G285" i="6"/>
  <c r="GK87" i="1"/>
  <c r="X302" i="6"/>
  <c r="H219" i="5"/>
  <c r="GK98" i="1"/>
  <c r="CY98" i="1"/>
  <c r="X98" i="1" s="1"/>
  <c r="T107" i="1"/>
  <c r="G386" i="6"/>
  <c r="R264" i="5"/>
  <c r="W271" i="5"/>
  <c r="G271" i="5"/>
  <c r="O271" i="5" s="1"/>
  <c r="G413" i="6"/>
  <c r="R38" i="5"/>
  <c r="GK35" i="1"/>
  <c r="X85" i="6"/>
  <c r="K62" i="5"/>
  <c r="P81" i="1"/>
  <c r="GK83" i="1"/>
  <c r="X277" i="6"/>
  <c r="K185" i="5"/>
  <c r="CY83" i="1"/>
  <c r="X83" i="1" s="1"/>
  <c r="H197" i="5"/>
  <c r="GK113" i="1"/>
  <c r="X387" i="6"/>
  <c r="K266" i="5"/>
  <c r="V446" i="6"/>
  <c r="K304" i="5"/>
  <c r="G481" i="6"/>
  <c r="H360" i="5"/>
  <c r="W360" i="5" s="1"/>
  <c r="R366" i="5"/>
  <c r="H404" i="5"/>
  <c r="Q164" i="1"/>
  <c r="R164" i="1"/>
  <c r="GK164" i="1" s="1"/>
  <c r="U596" i="6"/>
  <c r="U466" i="6"/>
  <c r="K327" i="5"/>
  <c r="H141" i="5"/>
  <c r="V201" i="6"/>
  <c r="K137" i="5"/>
  <c r="H179" i="5"/>
  <c r="W179" i="5" s="1"/>
  <c r="GK97" i="1"/>
  <c r="X326" i="6"/>
  <c r="R226" i="5"/>
  <c r="W457" i="6"/>
  <c r="K316" i="5"/>
  <c r="W341" i="5"/>
  <c r="G341" i="5"/>
  <c r="O341" i="5" s="1"/>
  <c r="R335" i="5"/>
  <c r="U578" i="6"/>
  <c r="K403" i="5"/>
  <c r="H417" i="5"/>
  <c r="GK31" i="1"/>
  <c r="X67" i="6"/>
  <c r="K51" i="5"/>
  <c r="R284" i="5"/>
  <c r="G288" i="5"/>
  <c r="O288" i="5" s="1"/>
  <c r="W288" i="5"/>
  <c r="R290" i="5"/>
  <c r="G299" i="5"/>
  <c r="O299" i="5" s="1"/>
  <c r="W299" i="5"/>
  <c r="CP137" i="1"/>
  <c r="O137" i="1" s="1"/>
  <c r="U484" i="6"/>
  <c r="U374" i="5"/>
  <c r="H371" i="5" s="1"/>
  <c r="CP157" i="1"/>
  <c r="O157" i="1" s="1"/>
  <c r="U560" i="6"/>
  <c r="W578" i="6"/>
  <c r="K401" i="5"/>
  <c r="P165" i="1"/>
  <c r="U594" i="6" s="1"/>
  <c r="GK29" i="1"/>
  <c r="X65" i="6"/>
  <c r="T74" i="1"/>
  <c r="Q89" i="1"/>
  <c r="W304" i="6" s="1"/>
  <c r="R344" i="5"/>
  <c r="G350" i="5"/>
  <c r="O350" i="5" s="1"/>
  <c r="W350" i="5"/>
  <c r="U360" i="5"/>
  <c r="GX164" i="1"/>
  <c r="Y598" i="6"/>
  <c r="L418" i="5"/>
  <c r="L421" i="5"/>
  <c r="Q421" i="5" s="1"/>
  <c r="W493" i="6"/>
  <c r="K345" i="5"/>
  <c r="P164" i="1"/>
  <c r="CP164" i="1" s="1"/>
  <c r="O164" i="1" s="1"/>
  <c r="CZ136" i="1"/>
  <c r="Y136" i="1" s="1"/>
  <c r="GM136" i="1" s="1"/>
  <c r="CY162" i="1"/>
  <c r="X162" i="1" s="1"/>
  <c r="GN162" i="1" s="1"/>
  <c r="S167" i="1"/>
  <c r="AA524" i="6"/>
  <c r="H535" i="6"/>
  <c r="T364" i="5"/>
  <c r="F123" i="6"/>
  <c r="E78" i="5"/>
  <c r="W45" i="1"/>
  <c r="V154" i="6"/>
  <c r="K102" i="5"/>
  <c r="H152" i="6"/>
  <c r="K98" i="5"/>
  <c r="X201" i="6"/>
  <c r="K139" i="5"/>
  <c r="W376" i="6"/>
  <c r="K255" i="5"/>
  <c r="CP107" i="1"/>
  <c r="O107" i="1" s="1"/>
  <c r="W372" i="6"/>
  <c r="H439" i="6"/>
  <c r="AB427" i="6"/>
  <c r="V289" i="5"/>
  <c r="K295" i="5" s="1"/>
  <c r="AA414" i="6"/>
  <c r="T280" i="5"/>
  <c r="F522" i="6"/>
  <c r="E362" i="5"/>
  <c r="V578" i="6"/>
  <c r="K400" i="5"/>
  <c r="P147" i="1"/>
  <c r="U522" i="6" s="1"/>
  <c r="F103" i="6"/>
  <c r="E68" i="5"/>
  <c r="U39" i="1"/>
  <c r="Y103" i="6" s="1"/>
  <c r="CY105" i="1"/>
  <c r="X105" i="1" s="1"/>
  <c r="V356" i="6"/>
  <c r="K244" i="5"/>
  <c r="F101" i="6"/>
  <c r="E67" i="5"/>
  <c r="R183" i="5"/>
  <c r="G325" i="6"/>
  <c r="G301" i="5"/>
  <c r="O301" i="5" s="1"/>
  <c r="W301" i="5"/>
  <c r="K206" i="5"/>
  <c r="W308" i="6"/>
  <c r="U362" i="5"/>
  <c r="GK43" i="1"/>
  <c r="X107" i="6"/>
  <c r="Q81" i="1"/>
  <c r="W275" i="6" s="1"/>
  <c r="H361" i="5"/>
  <c r="W361" i="5" s="1"/>
  <c r="GK171" i="1"/>
  <c r="X614" i="6"/>
  <c r="GK127" i="1"/>
  <c r="X446" i="6"/>
  <c r="K306" i="5"/>
  <c r="Y67" i="6"/>
  <c r="L57" i="5"/>
  <c r="Q57" i="5" s="1"/>
  <c r="L55" i="5"/>
  <c r="W37" i="1"/>
  <c r="CP29" i="1"/>
  <c r="O29" i="1" s="1"/>
  <c r="U32" i="1"/>
  <c r="GM40" i="1"/>
  <c r="CZ48" i="1"/>
  <c r="Y48" i="1" s="1"/>
  <c r="GM48" i="1" s="1"/>
  <c r="U49" i="6"/>
  <c r="K41" i="5"/>
  <c r="R37" i="1"/>
  <c r="CY36" i="1"/>
  <c r="X36" i="1" s="1"/>
  <c r="H147" i="6"/>
  <c r="T88" i="5"/>
  <c r="AA141" i="6"/>
  <c r="CP43" i="1"/>
  <c r="O43" i="1" s="1"/>
  <c r="W107" i="6"/>
  <c r="Y179" i="6"/>
  <c r="L126" i="5"/>
  <c r="L127" i="5"/>
  <c r="Q127" i="5" s="1"/>
  <c r="U37" i="1"/>
  <c r="Y101" i="6" s="1"/>
  <c r="U141" i="6"/>
  <c r="K93" i="5"/>
  <c r="Q39" i="1"/>
  <c r="W103" i="6" s="1"/>
  <c r="E166" i="5"/>
  <c r="F253" i="6"/>
  <c r="GK77" i="1"/>
  <c r="X257" i="6"/>
  <c r="K173" i="5"/>
  <c r="CZ68" i="1"/>
  <c r="Y68" i="1" s="1"/>
  <c r="CZ53" i="1"/>
  <c r="Y53" i="1" s="1"/>
  <c r="AB286" i="6"/>
  <c r="H299" i="6"/>
  <c r="V190" i="5"/>
  <c r="CZ92" i="1"/>
  <c r="Y92" i="1" s="1"/>
  <c r="CP97" i="1"/>
  <c r="O97" i="1" s="1"/>
  <c r="W326" i="6"/>
  <c r="H335" i="6"/>
  <c r="AB328" i="6"/>
  <c r="V224" i="5"/>
  <c r="CP110" i="1"/>
  <c r="O110" i="1" s="1"/>
  <c r="CY84" i="1"/>
  <c r="X84" i="1" s="1"/>
  <c r="CP101" i="1"/>
  <c r="O101" i="1" s="1"/>
  <c r="W337" i="6"/>
  <c r="CZ105" i="1"/>
  <c r="Y105" i="1" s="1"/>
  <c r="W219" i="6"/>
  <c r="K149" i="5"/>
  <c r="AA302" i="6"/>
  <c r="T199" i="5"/>
  <c r="H324" i="6"/>
  <c r="AB317" i="6"/>
  <c r="V213" i="5"/>
  <c r="AA326" i="6"/>
  <c r="T222" i="5"/>
  <c r="Y339" i="6"/>
  <c r="L241" i="5"/>
  <c r="Q241" i="5" s="1"/>
  <c r="L240" i="5"/>
  <c r="CP121" i="1"/>
  <c r="O121" i="1" s="1"/>
  <c r="U427" i="6"/>
  <c r="K293" i="5"/>
  <c r="Y446" i="6"/>
  <c r="L312" i="5"/>
  <c r="Q312" i="5" s="1"/>
  <c r="L310" i="5"/>
  <c r="T482" i="6"/>
  <c r="H482" i="6"/>
  <c r="K331" i="5"/>
  <c r="CP108" i="1"/>
  <c r="O108" i="1" s="1"/>
  <c r="GK117" i="1"/>
  <c r="CY129" i="1"/>
  <c r="X129" i="1" s="1"/>
  <c r="AA466" i="6"/>
  <c r="H477" i="6"/>
  <c r="T322" i="5"/>
  <c r="AA482" i="6"/>
  <c r="T331" i="5"/>
  <c r="H537" i="6"/>
  <c r="AB524" i="6"/>
  <c r="V364" i="5"/>
  <c r="H576" i="6"/>
  <c r="AB564" i="6"/>
  <c r="V388" i="5"/>
  <c r="K395" i="5" s="1"/>
  <c r="AA374" i="6"/>
  <c r="T250" i="5"/>
  <c r="GN132" i="1"/>
  <c r="Q153" i="1"/>
  <c r="W542" i="6" s="1"/>
  <c r="Q159" i="1"/>
  <c r="W562" i="6" s="1"/>
  <c r="U616" i="6"/>
  <c r="AA416" i="6"/>
  <c r="H422" i="6"/>
  <c r="T282" i="5"/>
  <c r="K285" i="5" s="1"/>
  <c r="CP129" i="1"/>
  <c r="O129" i="1" s="1"/>
  <c r="Y502" i="6"/>
  <c r="L359" i="5"/>
  <c r="L363" i="5"/>
  <c r="Q363" i="5" s="1"/>
  <c r="CP165" i="1"/>
  <c r="O165" i="1" s="1"/>
  <c r="W594" i="6"/>
  <c r="CP144" i="1"/>
  <c r="O144" i="1" s="1"/>
  <c r="U158" i="1"/>
  <c r="CP156" i="1"/>
  <c r="O156" i="1" s="1"/>
  <c r="CZ171" i="1"/>
  <c r="Y171" i="1" s="1"/>
  <c r="G169" i="6"/>
  <c r="W118" i="5"/>
  <c r="R112" i="5"/>
  <c r="G118" i="5"/>
  <c r="O118" i="5" s="1"/>
  <c r="G178" i="6"/>
  <c r="G189" i="6"/>
  <c r="U166" i="5"/>
  <c r="H163" i="5" s="1"/>
  <c r="AB80" i="1"/>
  <c r="V308" i="6"/>
  <c r="K205" i="5"/>
  <c r="CR99" i="1"/>
  <c r="Q99" i="1" s="1"/>
  <c r="H227" i="5"/>
  <c r="GK99" i="1"/>
  <c r="X328" i="6"/>
  <c r="K228" i="5"/>
  <c r="S56" i="5"/>
  <c r="S68" i="5"/>
  <c r="CR63" i="1"/>
  <c r="Q63" i="1" s="1"/>
  <c r="H138" i="5"/>
  <c r="U219" i="6"/>
  <c r="K151" i="5"/>
  <c r="R158" i="5"/>
  <c r="G250" i="6"/>
  <c r="V339" i="6"/>
  <c r="K237" i="5"/>
  <c r="G371" i="6"/>
  <c r="G48" i="6"/>
  <c r="H56" i="5"/>
  <c r="W56" i="5" s="1"/>
  <c r="H68" i="5"/>
  <c r="W68" i="5" s="1"/>
  <c r="GK41" i="1"/>
  <c r="X105" i="6"/>
  <c r="G200" i="6"/>
  <c r="GK67" i="1"/>
  <c r="X219" i="6"/>
  <c r="K150" i="5"/>
  <c r="Y235" i="6"/>
  <c r="L168" i="5"/>
  <c r="Q168" i="5" s="1"/>
  <c r="L164" i="5"/>
  <c r="U81" i="1"/>
  <c r="Y275" i="6" s="1"/>
  <c r="Y308" i="6"/>
  <c r="L212" i="5"/>
  <c r="Q212" i="5" s="1"/>
  <c r="L211" i="5"/>
  <c r="V317" i="6"/>
  <c r="K215" i="5"/>
  <c r="CZ97" i="1"/>
  <c r="Y97" i="1" s="1"/>
  <c r="V326" i="6"/>
  <c r="G241" i="5"/>
  <c r="O241" i="5" s="1"/>
  <c r="R237" i="5"/>
  <c r="W241" i="5"/>
  <c r="G355" i="6"/>
  <c r="G261" i="5"/>
  <c r="O261" i="5" s="1"/>
  <c r="W261" i="5"/>
  <c r="R254" i="5"/>
  <c r="G403" i="6"/>
  <c r="H277" i="5"/>
  <c r="G281" i="5" s="1"/>
  <c r="O281" i="5" s="1"/>
  <c r="V404" i="6"/>
  <c r="K273" i="5"/>
  <c r="CY27" i="1"/>
  <c r="X27" i="1" s="1"/>
  <c r="V49" i="6"/>
  <c r="K38" i="5"/>
  <c r="CZ27" i="1"/>
  <c r="Y27" i="1" s="1"/>
  <c r="T39" i="1"/>
  <c r="CR83" i="1"/>
  <c r="Q83" i="1" s="1"/>
  <c r="H184" i="5"/>
  <c r="W189" i="5" s="1"/>
  <c r="V286" i="6"/>
  <c r="K192" i="5"/>
  <c r="GK91" i="1"/>
  <c r="X306" i="6"/>
  <c r="GK95" i="1"/>
  <c r="X317" i="6"/>
  <c r="K217" i="5"/>
  <c r="GK101" i="1"/>
  <c r="X337" i="6"/>
  <c r="Y416" i="6"/>
  <c r="L288" i="5"/>
  <c r="Q288" i="5" s="1"/>
  <c r="L287" i="5"/>
  <c r="T493" i="6"/>
  <c r="H493" i="6"/>
  <c r="H501" i="6"/>
  <c r="CY155" i="1"/>
  <c r="X155" i="1" s="1"/>
  <c r="V544" i="6"/>
  <c r="K378" i="5"/>
  <c r="CR161" i="1"/>
  <c r="Q161" i="1" s="1"/>
  <c r="H391" i="5"/>
  <c r="G397" i="5" s="1"/>
  <c r="O397" i="5" s="1"/>
  <c r="X564" i="6"/>
  <c r="K392" i="5"/>
  <c r="GK161" i="1"/>
  <c r="R400" i="5"/>
  <c r="G593" i="6"/>
  <c r="T165" i="1"/>
  <c r="F594" i="6"/>
  <c r="E407" i="5"/>
  <c r="F306" i="6"/>
  <c r="E201" i="5"/>
  <c r="H230" i="5"/>
  <c r="V328" i="6"/>
  <c r="K226" i="5"/>
  <c r="GK103" i="1"/>
  <c r="X339" i="6"/>
  <c r="U361" i="5"/>
  <c r="U164" i="1"/>
  <c r="H416" i="5"/>
  <c r="W421" i="5" s="1"/>
  <c r="GK65" i="1"/>
  <c r="X217" i="6"/>
  <c r="T89" i="1"/>
  <c r="V416" i="6"/>
  <c r="K284" i="5"/>
  <c r="CY137" i="1"/>
  <c r="X137" i="1" s="1"/>
  <c r="X484" i="6"/>
  <c r="K337" i="5"/>
  <c r="H362" i="5"/>
  <c r="W362" i="5" s="1"/>
  <c r="W524" i="6"/>
  <c r="K367" i="5"/>
  <c r="CP151" i="1"/>
  <c r="O151" i="1" s="1"/>
  <c r="U540" i="6"/>
  <c r="S374" i="5"/>
  <c r="H370" i="5" s="1"/>
  <c r="R390" i="5"/>
  <c r="W397" i="5"/>
  <c r="G577" i="6"/>
  <c r="Y578" i="6"/>
  <c r="L409" i="5"/>
  <c r="Q409" i="5" s="1"/>
  <c r="L406" i="5"/>
  <c r="R165" i="1"/>
  <c r="U33" i="1"/>
  <c r="Y83" i="6" s="1"/>
  <c r="W125" i="6"/>
  <c r="K82" i="5"/>
  <c r="GK75" i="1"/>
  <c r="X255" i="6"/>
  <c r="CZ83" i="1"/>
  <c r="Y83" i="1" s="1"/>
  <c r="U404" i="6"/>
  <c r="K276" i="5"/>
  <c r="GK121" i="1"/>
  <c r="X427" i="6"/>
  <c r="K292" i="5"/>
  <c r="GK129" i="1"/>
  <c r="X455" i="6"/>
  <c r="Y484" i="6"/>
  <c r="L341" i="5"/>
  <c r="Q341" i="5" s="1"/>
  <c r="L340" i="5"/>
  <c r="CR141" i="1"/>
  <c r="Q141" i="1" s="1"/>
  <c r="H354" i="5"/>
  <c r="Y544" i="6"/>
  <c r="L384" i="5"/>
  <c r="L387" i="5"/>
  <c r="Q387" i="5" s="1"/>
  <c r="U386" i="5"/>
  <c r="H383" i="5" s="1"/>
  <c r="S165" i="1"/>
  <c r="F616" i="6"/>
  <c r="E420" i="5"/>
  <c r="AO22" i="1"/>
  <c r="AO207" i="1"/>
  <c r="G517" i="6"/>
  <c r="Q173" i="1"/>
  <c r="W616" i="6" s="1"/>
  <c r="W544" i="6"/>
  <c r="K379" i="5"/>
  <c r="R173" i="1"/>
  <c r="V164" i="1"/>
  <c r="W484" i="6"/>
  <c r="K336" i="5"/>
  <c r="V67" i="6"/>
  <c r="K49" i="5"/>
  <c r="AA65" i="6"/>
  <c r="T45" i="5"/>
  <c r="Q45" i="1"/>
  <c r="W123" i="6" s="1"/>
  <c r="GK61" i="1"/>
  <c r="X190" i="6"/>
  <c r="AB150" i="6"/>
  <c r="V97" i="5"/>
  <c r="H384" i="6"/>
  <c r="AB376" i="6"/>
  <c r="V252" i="5"/>
  <c r="K259" i="5" s="1"/>
  <c r="AB308" i="6"/>
  <c r="H315" i="6"/>
  <c r="V203" i="5"/>
  <c r="K210" i="5" s="1"/>
  <c r="AB387" i="6"/>
  <c r="H401" i="6"/>
  <c r="V262" i="5"/>
  <c r="K269" i="5" s="1"/>
  <c r="H382" i="6"/>
  <c r="AA376" i="6"/>
  <c r="T252" i="5"/>
  <c r="K258" i="5" s="1"/>
  <c r="CP111" i="1"/>
  <c r="O111" i="1" s="1"/>
  <c r="F542" i="6"/>
  <c r="E374" i="5"/>
  <c r="Y286" i="6"/>
  <c r="L202" i="5"/>
  <c r="Q202" i="5" s="1"/>
  <c r="L198" i="5"/>
  <c r="R29" i="5"/>
  <c r="U107" i="6"/>
  <c r="K74" i="5"/>
  <c r="GK79" i="1"/>
  <c r="X273" i="6"/>
  <c r="CZ24" i="1"/>
  <c r="Y24" i="1" s="1"/>
  <c r="CY24" i="1"/>
  <c r="X24" i="1" s="1"/>
  <c r="CP87" i="1"/>
  <c r="O87" i="1" s="1"/>
  <c r="U302" i="6"/>
  <c r="CR121" i="1"/>
  <c r="Q121" i="1" s="1"/>
  <c r="H291" i="5"/>
  <c r="G297" i="5" s="1"/>
  <c r="O297" i="5" s="1"/>
  <c r="CR127" i="1"/>
  <c r="Q127" i="1" s="1"/>
  <c r="CP127" i="1" s="1"/>
  <c r="O127" i="1" s="1"/>
  <c r="H305" i="5"/>
  <c r="X312" i="5" s="1"/>
  <c r="G20" i="5" s="1"/>
  <c r="S67" i="5"/>
  <c r="H64" i="5" s="1"/>
  <c r="F304" i="6"/>
  <c r="E200" i="5"/>
  <c r="R412" i="5"/>
  <c r="F275" i="6"/>
  <c r="E179" i="5"/>
  <c r="CY142" i="1"/>
  <c r="X142" i="1" s="1"/>
  <c r="CZ142" i="1"/>
  <c r="Y142" i="1" s="1"/>
  <c r="GX39" i="1"/>
  <c r="S37" i="1"/>
  <c r="V101" i="6" s="1"/>
  <c r="CR25" i="1"/>
  <c r="Q25" i="1" s="1"/>
  <c r="H30" i="5"/>
  <c r="W35" i="5" s="1"/>
  <c r="V32" i="1"/>
  <c r="V107" i="6"/>
  <c r="K73" i="5"/>
  <c r="U67" i="6"/>
  <c r="K52" i="5"/>
  <c r="V85" i="6"/>
  <c r="K60" i="5"/>
  <c r="V37" i="1"/>
  <c r="Z101" i="6" s="1"/>
  <c r="AB141" i="6"/>
  <c r="H148" i="6"/>
  <c r="V88" i="5"/>
  <c r="V45" i="5"/>
  <c r="AB65" i="6"/>
  <c r="CP42" i="1"/>
  <c r="O42" i="1" s="1"/>
  <c r="GK33" i="1"/>
  <c r="X83" i="6"/>
  <c r="S81" i="1"/>
  <c r="V275" i="6" s="1"/>
  <c r="AA150" i="6"/>
  <c r="T97" i="5"/>
  <c r="CR55" i="1"/>
  <c r="Q55" i="1" s="1"/>
  <c r="CP57" i="1"/>
  <c r="O57" i="1" s="1"/>
  <c r="W170" i="6"/>
  <c r="K113" i="5"/>
  <c r="CR59" i="1"/>
  <c r="Q59" i="1" s="1"/>
  <c r="CY53" i="1"/>
  <c r="X53" i="1" s="1"/>
  <c r="T152" i="6" s="1"/>
  <c r="CY68" i="1"/>
  <c r="X68" i="1" s="1"/>
  <c r="H297" i="6"/>
  <c r="AA286" i="6"/>
  <c r="T190" i="5"/>
  <c r="CY92" i="1"/>
  <c r="X92" i="1" s="1"/>
  <c r="GN92" i="1" s="1"/>
  <c r="AB100" i="1"/>
  <c r="CP95" i="1"/>
  <c r="O95" i="1" s="1"/>
  <c r="W317" i="6"/>
  <c r="K216" i="5"/>
  <c r="CP117" i="1"/>
  <c r="O117" i="1" s="1"/>
  <c r="CP69" i="1"/>
  <c r="O69" i="1" s="1"/>
  <c r="W235" i="6"/>
  <c r="K159" i="5"/>
  <c r="Y387" i="6"/>
  <c r="L271" i="5"/>
  <c r="Q271" i="5" s="1"/>
  <c r="L270" i="5"/>
  <c r="H351" i="6"/>
  <c r="AA339" i="6"/>
  <c r="T235" i="5"/>
  <c r="K238" i="5" s="1"/>
  <c r="H399" i="6"/>
  <c r="AA387" i="6"/>
  <c r="T262" i="5"/>
  <c r="K268" i="5" s="1"/>
  <c r="CP169" i="1"/>
  <c r="O169" i="1" s="1"/>
  <c r="V598" i="6"/>
  <c r="K412" i="5"/>
  <c r="CY107" i="1"/>
  <c r="X107" i="1" s="1"/>
  <c r="CY110" i="1"/>
  <c r="X110" i="1" s="1"/>
  <c r="CP115" i="1"/>
  <c r="O115" i="1" s="1"/>
  <c r="W404" i="6"/>
  <c r="K274" i="5"/>
  <c r="CY121" i="1"/>
  <c r="X121" i="1" s="1"/>
  <c r="CZ127" i="1"/>
  <c r="Y127" i="1" s="1"/>
  <c r="GM131" i="1"/>
  <c r="GM137" i="1"/>
  <c r="H491" i="6"/>
  <c r="AB484" i="6"/>
  <c r="V333" i="5"/>
  <c r="K339" i="5" s="1"/>
  <c r="GM138" i="1"/>
  <c r="AB374" i="6"/>
  <c r="V250" i="5"/>
  <c r="Q147" i="1"/>
  <c r="W522" i="6" s="1"/>
  <c r="AB540" i="6"/>
  <c r="V373" i="5"/>
  <c r="U153" i="1"/>
  <c r="Y542" i="6" s="1"/>
  <c r="AB560" i="6"/>
  <c r="V385" i="5"/>
  <c r="U159" i="1"/>
  <c r="Y562" i="6" s="1"/>
  <c r="GM162" i="1"/>
  <c r="H464" i="6"/>
  <c r="AB457" i="6"/>
  <c r="V313" i="5"/>
  <c r="K319" i="5" s="1"/>
  <c r="CP163" i="1"/>
  <c r="O163" i="1" s="1"/>
  <c r="CR27" i="1"/>
  <c r="Q27" i="1" s="1"/>
  <c r="H39" i="5"/>
  <c r="GX33" i="1"/>
  <c r="W127" i="5"/>
  <c r="G127" i="5"/>
  <c r="O127" i="5" s="1"/>
  <c r="R121" i="5"/>
  <c r="S166" i="5"/>
  <c r="H162" i="5" s="1"/>
  <c r="CR85" i="1"/>
  <c r="Q85" i="1" s="1"/>
  <c r="H193" i="5"/>
  <c r="AB102" i="1"/>
  <c r="R107" i="1"/>
  <c r="F372" i="6"/>
  <c r="E249" i="5"/>
  <c r="H249" i="5"/>
  <c r="W249" i="5" s="1"/>
  <c r="U376" i="6"/>
  <c r="K257" i="5"/>
  <c r="K40" i="5"/>
  <c r="X49" i="6"/>
  <c r="GK27" i="1"/>
  <c r="U68" i="5"/>
  <c r="U78" i="5"/>
  <c r="H76" i="5" s="1"/>
  <c r="H140" i="6"/>
  <c r="T125" i="6"/>
  <c r="H125" i="6"/>
  <c r="H95" i="5"/>
  <c r="GK71" i="1"/>
  <c r="X251" i="6"/>
  <c r="S179" i="5"/>
  <c r="H175" i="5" s="1"/>
  <c r="P89" i="1"/>
  <c r="R205" i="5"/>
  <c r="G212" i="5"/>
  <c r="O212" i="5" s="1"/>
  <c r="W212" i="5"/>
  <c r="H53" i="5"/>
  <c r="V33" i="1"/>
  <c r="Z83" i="6" s="1"/>
  <c r="R39" i="1"/>
  <c r="G122" i="6"/>
  <c r="GK69" i="1"/>
  <c r="X235" i="6"/>
  <c r="K160" i="5"/>
  <c r="R171" i="5"/>
  <c r="CP85" i="1"/>
  <c r="O85" i="1" s="1"/>
  <c r="GN85" i="1" s="1"/>
  <c r="U286" i="6"/>
  <c r="K195" i="5"/>
  <c r="GK93" i="1"/>
  <c r="GM93" i="1" s="1"/>
  <c r="X308" i="6"/>
  <c r="K207" i="5"/>
  <c r="R215" i="5"/>
  <c r="W223" i="5"/>
  <c r="G223" i="5"/>
  <c r="O223" i="5" s="1"/>
  <c r="U249" i="5"/>
  <c r="H247" i="5" s="1"/>
  <c r="H43" i="5"/>
  <c r="P39" i="1"/>
  <c r="H136" i="6"/>
  <c r="T80" i="5"/>
  <c r="K84" i="5" s="1"/>
  <c r="AA125" i="6"/>
  <c r="CR77" i="1"/>
  <c r="Q77" i="1" s="1"/>
  <c r="CP77" i="1" s="1"/>
  <c r="O77" i="1" s="1"/>
  <c r="H172" i="5"/>
  <c r="R192" i="5"/>
  <c r="H465" i="6"/>
  <c r="T457" i="6"/>
  <c r="H457" i="6"/>
  <c r="X493" i="6"/>
  <c r="K346" i="5"/>
  <c r="GK139" i="1"/>
  <c r="GM139" i="1" s="1"/>
  <c r="H386" i="5"/>
  <c r="W386" i="5" s="1"/>
  <c r="T167" i="1"/>
  <c r="F596" i="6"/>
  <c r="E408" i="5"/>
  <c r="G559" i="6"/>
  <c r="AB35" i="1"/>
  <c r="H61" i="5"/>
  <c r="CR35" i="1"/>
  <c r="Q35" i="1" s="1"/>
  <c r="U67" i="5"/>
  <c r="R137" i="5"/>
  <c r="H142" i="5"/>
  <c r="F302" i="6"/>
  <c r="E199" i="5"/>
  <c r="S361" i="5"/>
  <c r="H357" i="5" s="1"/>
  <c r="CP149" i="1"/>
  <c r="O149" i="1" s="1"/>
  <c r="U524" i="6"/>
  <c r="K369" i="5"/>
  <c r="Q167" i="1"/>
  <c r="W596" i="6" s="1"/>
  <c r="CR31" i="1"/>
  <c r="Q31" i="1" s="1"/>
  <c r="H50" i="5"/>
  <c r="F273" i="6"/>
  <c r="E178" i="5"/>
  <c r="W89" i="1"/>
  <c r="V387" i="6"/>
  <c r="K264" i="5"/>
  <c r="Y524" i="6"/>
  <c r="L372" i="5"/>
  <c r="L375" i="5"/>
  <c r="Q375" i="5" s="1"/>
  <c r="CP155" i="1"/>
  <c r="O155" i="1" s="1"/>
  <c r="U167" i="1"/>
  <c r="Y596" i="6" s="1"/>
  <c r="U154" i="6"/>
  <c r="K105" i="5"/>
  <c r="Y257" i="6"/>
  <c r="L177" i="5"/>
  <c r="L180" i="5"/>
  <c r="Q180" i="5" s="1"/>
  <c r="R89" i="1"/>
  <c r="AB127" i="1"/>
  <c r="W321" i="5"/>
  <c r="G321" i="5"/>
  <c r="O321" i="5" s="1"/>
  <c r="R315" i="5"/>
  <c r="G465" i="6"/>
  <c r="GK135" i="1"/>
  <c r="X482" i="6"/>
  <c r="G501" i="6"/>
  <c r="CY141" i="1"/>
  <c r="X141" i="1" s="1"/>
  <c r="V502" i="6"/>
  <c r="K353" i="5"/>
  <c r="X544" i="6"/>
  <c r="K380" i="5"/>
  <c r="GK155" i="1"/>
  <c r="S386" i="5"/>
  <c r="H382" i="5" s="1"/>
  <c r="U408" i="5"/>
  <c r="U407" i="5"/>
  <c r="T442" i="6"/>
  <c r="H442" i="6"/>
  <c r="K298" i="5"/>
  <c r="J299" i="5" s="1"/>
  <c r="P299" i="5" s="1"/>
  <c r="T79" i="1"/>
  <c r="W165" i="1"/>
  <c r="W598" i="6"/>
  <c r="K413" i="5"/>
  <c r="AA540" i="6"/>
  <c r="T373" i="5"/>
  <c r="GN97" i="1"/>
  <c r="GM97" i="1"/>
  <c r="GM110" i="1"/>
  <c r="GN110" i="1"/>
  <c r="GM116" i="1"/>
  <c r="GN116" i="1"/>
  <c r="GM74" i="1"/>
  <c r="GN74" i="1"/>
  <c r="GN95" i="1"/>
  <c r="GM95" i="1"/>
  <c r="GN98" i="1"/>
  <c r="GM98" i="1"/>
  <c r="GM115" i="1"/>
  <c r="GN115" i="1"/>
  <c r="GM105" i="1"/>
  <c r="GN105" i="1"/>
  <c r="GM88" i="1"/>
  <c r="GN88" i="1"/>
  <c r="GM36" i="1"/>
  <c r="GN36" i="1"/>
  <c r="GM86" i="1"/>
  <c r="GN86" i="1"/>
  <c r="GN114" i="1"/>
  <c r="GM114" i="1"/>
  <c r="GM148" i="1"/>
  <c r="GN148" i="1"/>
  <c r="GM154" i="1"/>
  <c r="GN154" i="1"/>
  <c r="GM160" i="1"/>
  <c r="GN160" i="1"/>
  <c r="GM101" i="1"/>
  <c r="GN101" i="1"/>
  <c r="CP24" i="1"/>
  <c r="O24" i="1" s="1"/>
  <c r="GN26" i="1"/>
  <c r="GM26" i="1"/>
  <c r="AB24" i="1"/>
  <c r="S32" i="1"/>
  <c r="T32" i="1"/>
  <c r="AG175" i="1" s="1"/>
  <c r="CY31" i="1"/>
  <c r="X31" i="1" s="1"/>
  <c r="CZ31" i="1"/>
  <c r="Y31" i="1" s="1"/>
  <c r="GX32" i="1"/>
  <c r="CY41" i="1"/>
  <c r="X41" i="1" s="1"/>
  <c r="CZ41" i="1"/>
  <c r="Y41" i="1" s="1"/>
  <c r="CY43" i="1"/>
  <c r="X43" i="1" s="1"/>
  <c r="CZ43" i="1"/>
  <c r="Y43" i="1" s="1"/>
  <c r="CY30" i="1"/>
  <c r="X30" i="1" s="1"/>
  <c r="GN30" i="1" s="1"/>
  <c r="CZ30" i="1"/>
  <c r="Y30" i="1" s="1"/>
  <c r="CY35" i="1"/>
  <c r="X35" i="1" s="1"/>
  <c r="CZ35" i="1"/>
  <c r="Y35" i="1" s="1"/>
  <c r="CY50" i="1"/>
  <c r="X50" i="1" s="1"/>
  <c r="CZ50" i="1"/>
  <c r="Y50" i="1" s="1"/>
  <c r="CY54" i="1"/>
  <c r="X54" i="1" s="1"/>
  <c r="CZ54" i="1"/>
  <c r="Y54" i="1" s="1"/>
  <c r="CP35" i="1"/>
  <c r="O35" i="1" s="1"/>
  <c r="CP54" i="1"/>
  <c r="O54" i="1" s="1"/>
  <c r="CY66" i="1"/>
  <c r="X66" i="1" s="1"/>
  <c r="CZ66" i="1"/>
  <c r="Y66" i="1" s="1"/>
  <c r="P73" i="1"/>
  <c r="U253" i="6" s="1"/>
  <c r="GX73" i="1"/>
  <c r="Q73" i="1"/>
  <c r="R73" i="1"/>
  <c r="CP71" i="1"/>
  <c r="O71" i="1" s="1"/>
  <c r="GM29" i="1"/>
  <c r="GN29" i="1"/>
  <c r="Q32" i="1"/>
  <c r="R45" i="1"/>
  <c r="T45" i="1"/>
  <c r="CY34" i="1"/>
  <c r="X34" i="1" s="1"/>
  <c r="GN34" i="1" s="1"/>
  <c r="CZ34" i="1"/>
  <c r="Y34" i="1" s="1"/>
  <c r="S45" i="1"/>
  <c r="V123" i="6" s="1"/>
  <c r="S44" i="1"/>
  <c r="CP44" i="1" s="1"/>
  <c r="O44" i="1" s="1"/>
  <c r="V45" i="1"/>
  <c r="CY59" i="1"/>
  <c r="X59" i="1" s="1"/>
  <c r="CZ59" i="1"/>
  <c r="Y59" i="1" s="1"/>
  <c r="CZ60" i="1"/>
  <c r="Y60" i="1" s="1"/>
  <c r="CY60" i="1"/>
  <c r="X60" i="1" s="1"/>
  <c r="GN60" i="1" s="1"/>
  <c r="U45" i="1"/>
  <c r="GN40" i="1"/>
  <c r="CZ81" i="1"/>
  <c r="Y81" i="1" s="1"/>
  <c r="CY81" i="1"/>
  <c r="X81" i="1" s="1"/>
  <c r="CP62" i="1"/>
  <c r="O62" i="1" s="1"/>
  <c r="CP61" i="1"/>
  <c r="O61" i="1" s="1"/>
  <c r="T64" i="1"/>
  <c r="GX64" i="1"/>
  <c r="Q70" i="1"/>
  <c r="S73" i="1"/>
  <c r="V253" i="6" s="1"/>
  <c r="CY77" i="1"/>
  <c r="X77" i="1" s="1"/>
  <c r="V73" i="1"/>
  <c r="Z253" i="6" s="1"/>
  <c r="CZ100" i="1"/>
  <c r="Y100" i="1" s="1"/>
  <c r="CY100" i="1"/>
  <c r="X100" i="1" s="1"/>
  <c r="CZ62" i="1"/>
  <c r="Y62" i="1" s="1"/>
  <c r="CZ72" i="1"/>
  <c r="Y72" i="1" s="1"/>
  <c r="GN91" i="1"/>
  <c r="GM91" i="1"/>
  <c r="CP103" i="1"/>
  <c r="O103" i="1" s="1"/>
  <c r="GN133" i="1"/>
  <c r="GM133" i="1"/>
  <c r="U143" i="1"/>
  <c r="Y518" i="6" s="1"/>
  <c r="R158" i="1"/>
  <c r="GK158" i="1" s="1"/>
  <c r="T158" i="1"/>
  <c r="P158" i="1"/>
  <c r="CP158" i="1" s="1"/>
  <c r="O158" i="1" s="1"/>
  <c r="CP100" i="1"/>
  <c r="O100" i="1" s="1"/>
  <c r="T147" i="1"/>
  <c r="GX147" i="1"/>
  <c r="V147" i="1"/>
  <c r="Z522" i="6" s="1"/>
  <c r="R147" i="1"/>
  <c r="T153" i="1"/>
  <c r="GX153" i="1"/>
  <c r="V153" i="1"/>
  <c r="Z542" i="6" s="1"/>
  <c r="R153" i="1"/>
  <c r="T159" i="1"/>
  <c r="GX159" i="1"/>
  <c r="V159" i="1"/>
  <c r="Z562" i="6" s="1"/>
  <c r="R159" i="1"/>
  <c r="CY164" i="1"/>
  <c r="X164" i="1" s="1"/>
  <c r="CZ164" i="1"/>
  <c r="Y164" i="1" s="1"/>
  <c r="CZ163" i="1"/>
  <c r="Y163" i="1" s="1"/>
  <c r="CY163" i="1"/>
  <c r="X163" i="1" s="1"/>
  <c r="S147" i="1"/>
  <c r="V522" i="6" s="1"/>
  <c r="W159" i="1"/>
  <c r="GN139" i="1"/>
  <c r="S153" i="1"/>
  <c r="V542" i="6" s="1"/>
  <c r="AU22" i="1"/>
  <c r="AU207" i="1"/>
  <c r="F194" i="1"/>
  <c r="EH22" i="1"/>
  <c r="P184" i="1"/>
  <c r="EH207" i="1"/>
  <c r="W147" i="1"/>
  <c r="S159" i="1"/>
  <c r="CI22" i="1"/>
  <c r="AZ175" i="1"/>
  <c r="W153" i="1"/>
  <c r="ET22" i="1"/>
  <c r="ET207" i="1"/>
  <c r="P188" i="1"/>
  <c r="CY33" i="1"/>
  <c r="X33" i="1" s="1"/>
  <c r="CZ33" i="1"/>
  <c r="Y33" i="1" s="1"/>
  <c r="CY42" i="1"/>
  <c r="X42" i="1" s="1"/>
  <c r="CZ42" i="1"/>
  <c r="Y42" i="1" s="1"/>
  <c r="GM51" i="1"/>
  <c r="GN51" i="1"/>
  <c r="GX44" i="1"/>
  <c r="CY55" i="1"/>
  <c r="X55" i="1" s="1"/>
  <c r="CZ55" i="1"/>
  <c r="Y55" i="1" s="1"/>
  <c r="CY58" i="1"/>
  <c r="X58" i="1" s="1"/>
  <c r="CZ58" i="1"/>
  <c r="Y58" i="1" s="1"/>
  <c r="CP50" i="1"/>
  <c r="O50" i="1" s="1"/>
  <c r="GM38" i="1"/>
  <c r="GN38" i="1"/>
  <c r="GN48" i="1"/>
  <c r="CY75" i="1"/>
  <c r="X75" i="1" s="1"/>
  <c r="CZ75" i="1"/>
  <c r="Y75" i="1" s="1"/>
  <c r="GK63" i="1"/>
  <c r="CY63" i="1"/>
  <c r="X63" i="1" s="1"/>
  <c r="CZ63" i="1"/>
  <c r="Y63" i="1" s="1"/>
  <c r="CZ67" i="1"/>
  <c r="Y67" i="1" s="1"/>
  <c r="CY67" i="1"/>
  <c r="X67" i="1" s="1"/>
  <c r="CZ70" i="1"/>
  <c r="Y70" i="1" s="1"/>
  <c r="CY70" i="1"/>
  <c r="X70" i="1" s="1"/>
  <c r="CP66" i="1"/>
  <c r="O66" i="1" s="1"/>
  <c r="U70" i="1"/>
  <c r="W73" i="1"/>
  <c r="CY76" i="1"/>
  <c r="X76" i="1" s="1"/>
  <c r="CZ76" i="1"/>
  <c r="Y76" i="1" s="1"/>
  <c r="GM76" i="1" s="1"/>
  <c r="CY79" i="1"/>
  <c r="X79" i="1" s="1"/>
  <c r="CZ79" i="1"/>
  <c r="Y79" i="1" s="1"/>
  <c r="CP80" i="1"/>
  <c r="O80" i="1" s="1"/>
  <c r="CP75" i="1"/>
  <c r="O75" i="1" s="1"/>
  <c r="W70" i="1"/>
  <c r="GN94" i="1"/>
  <c r="GM94" i="1"/>
  <c r="CZ77" i="1"/>
  <c r="Y77" i="1" s="1"/>
  <c r="GM92" i="1"/>
  <c r="GM106" i="1"/>
  <c r="GN106" i="1"/>
  <c r="GM117" i="1"/>
  <c r="GN117" i="1"/>
  <c r="GN84" i="1"/>
  <c r="GM84" i="1"/>
  <c r="CY96" i="1"/>
  <c r="X96" i="1" s="1"/>
  <c r="GN96" i="1" s="1"/>
  <c r="CZ96" i="1"/>
  <c r="Y96" i="1" s="1"/>
  <c r="CY108" i="1"/>
  <c r="X108" i="1" s="1"/>
  <c r="CZ108" i="1"/>
  <c r="Y108" i="1" s="1"/>
  <c r="CP109" i="1"/>
  <c r="O109" i="1" s="1"/>
  <c r="CP113" i="1"/>
  <c r="O113" i="1" s="1"/>
  <c r="GM128" i="1"/>
  <c r="GO128" i="1"/>
  <c r="GN135" i="1"/>
  <c r="GM135" i="1"/>
  <c r="GN142" i="1"/>
  <c r="GM142" i="1"/>
  <c r="CY144" i="1"/>
  <c r="X144" i="1" s="1"/>
  <c r="GM144" i="1" s="1"/>
  <c r="CZ144" i="1"/>
  <c r="Y144" i="1" s="1"/>
  <c r="CY134" i="1"/>
  <c r="X134" i="1" s="1"/>
  <c r="CZ134" i="1"/>
  <c r="Y134" i="1" s="1"/>
  <c r="V145" i="1"/>
  <c r="Z520" i="6" s="1"/>
  <c r="R145" i="1"/>
  <c r="W145" i="1"/>
  <c r="S145" i="1"/>
  <c r="V520" i="6" s="1"/>
  <c r="CY152" i="1"/>
  <c r="X152" i="1" s="1"/>
  <c r="CZ152" i="1"/>
  <c r="Y152" i="1" s="1"/>
  <c r="CY158" i="1"/>
  <c r="X158" i="1" s="1"/>
  <c r="CZ158" i="1"/>
  <c r="Y158" i="1" s="1"/>
  <c r="EM22" i="1"/>
  <c r="EM207" i="1"/>
  <c r="P194" i="1"/>
  <c r="T145" i="1"/>
  <c r="GN168" i="1"/>
  <c r="GA22" i="1"/>
  <c r="ER175" i="1"/>
  <c r="GN149" i="1"/>
  <c r="AP22" i="1"/>
  <c r="AP207" i="1"/>
  <c r="F184" i="1"/>
  <c r="G16" i="2" s="1"/>
  <c r="G18" i="2" s="1"/>
  <c r="EI22" i="1"/>
  <c r="P185" i="1"/>
  <c r="EI207" i="1"/>
  <c r="GN137" i="1"/>
  <c r="P145" i="1"/>
  <c r="GN28" i="1"/>
  <c r="GM28" i="1"/>
  <c r="GK32" i="1"/>
  <c r="CP27" i="1"/>
  <c r="O27" i="1" s="1"/>
  <c r="GM46" i="1"/>
  <c r="GN46" i="1"/>
  <c r="P32" i="1"/>
  <c r="CP32" i="1" s="1"/>
  <c r="O32" i="1" s="1"/>
  <c r="CY57" i="1"/>
  <c r="X57" i="1" s="1"/>
  <c r="CZ57" i="1"/>
  <c r="Y57" i="1" s="1"/>
  <c r="CZ61" i="1"/>
  <c r="Y61" i="1" s="1"/>
  <c r="CY61" i="1"/>
  <c r="X61" i="1" s="1"/>
  <c r="W32" i="1"/>
  <c r="GM53" i="1"/>
  <c r="GN53" i="1"/>
  <c r="GM68" i="1"/>
  <c r="GN68" i="1"/>
  <c r="S64" i="1"/>
  <c r="V64" i="1"/>
  <c r="W64" i="1"/>
  <c r="R64" i="1"/>
  <c r="GK64" i="1" s="1"/>
  <c r="GN76" i="1"/>
  <c r="CY62" i="1"/>
  <c r="X62" i="1" s="1"/>
  <c r="U64" i="1"/>
  <c r="AH175" i="1" s="1"/>
  <c r="CY69" i="1"/>
  <c r="X69" i="1" s="1"/>
  <c r="CZ69" i="1"/>
  <c r="Y69" i="1" s="1"/>
  <c r="CP70" i="1"/>
  <c r="O70" i="1" s="1"/>
  <c r="T73" i="1"/>
  <c r="T70" i="1"/>
  <c r="V70" i="1"/>
  <c r="GM85" i="1"/>
  <c r="GM118" i="1"/>
  <c r="GN118" i="1"/>
  <c r="GX70" i="1"/>
  <c r="CY166" i="1"/>
  <c r="X166" i="1" s="1"/>
  <c r="CZ166" i="1"/>
  <c r="Y166" i="1" s="1"/>
  <c r="CY156" i="1"/>
  <c r="X156" i="1" s="1"/>
  <c r="CZ156" i="1"/>
  <c r="Y156" i="1" s="1"/>
  <c r="GN130" i="1"/>
  <c r="GM130" i="1"/>
  <c r="CY146" i="1"/>
  <c r="X146" i="1" s="1"/>
  <c r="CZ146" i="1"/>
  <c r="Y146" i="1" s="1"/>
  <c r="GM102" i="1"/>
  <c r="GN102" i="1"/>
  <c r="GM111" i="1"/>
  <c r="GN111" i="1"/>
  <c r="GO129" i="1"/>
  <c r="GM129" i="1"/>
  <c r="CY170" i="1"/>
  <c r="X170" i="1" s="1"/>
  <c r="CZ170" i="1"/>
  <c r="Y170" i="1" s="1"/>
  <c r="BB22" i="1"/>
  <c r="BB207" i="1"/>
  <c r="F188" i="1"/>
  <c r="GN138" i="1"/>
  <c r="GX145" i="1"/>
  <c r="BC22" i="1"/>
  <c r="F191" i="1"/>
  <c r="BC207" i="1"/>
  <c r="GN164" i="1"/>
  <c r="CP147" i="1"/>
  <c r="O147" i="1" s="1"/>
  <c r="AQ22" i="1"/>
  <c r="F185" i="1"/>
  <c r="AQ207" i="1"/>
  <c r="EU22" i="1"/>
  <c r="P191" i="1"/>
  <c r="EU207" i="1"/>
  <c r="GK25" i="1"/>
  <c r="GM30" i="1"/>
  <c r="CZ37" i="1"/>
  <c r="Y37" i="1" s="1"/>
  <c r="CY37" i="1"/>
  <c r="X37" i="1" s="1"/>
  <c r="CJ175" i="1"/>
  <c r="AD175" i="1"/>
  <c r="CP33" i="1"/>
  <c r="O33" i="1" s="1"/>
  <c r="CP31" i="1"/>
  <c r="O31" i="1" s="1"/>
  <c r="V44" i="1"/>
  <c r="AI175" i="1" s="1"/>
  <c r="R44" i="1"/>
  <c r="GK44" i="1" s="1"/>
  <c r="CY25" i="1"/>
  <c r="X25" i="1" s="1"/>
  <c r="CP41" i="1"/>
  <c r="O41" i="1" s="1"/>
  <c r="CP45" i="1"/>
  <c r="O45" i="1" s="1"/>
  <c r="CY56" i="1"/>
  <c r="X56" i="1" s="1"/>
  <c r="CZ56" i="1"/>
  <c r="Y56" i="1" s="1"/>
  <c r="CP37" i="1"/>
  <c r="O37" i="1" s="1"/>
  <c r="W44" i="1"/>
  <c r="CZ65" i="1"/>
  <c r="Y65" i="1" s="1"/>
  <c r="CY65" i="1"/>
  <c r="X65" i="1" s="1"/>
  <c r="CZ71" i="1"/>
  <c r="Y71" i="1" s="1"/>
  <c r="CY71" i="1"/>
  <c r="X71" i="1" s="1"/>
  <c r="P64" i="1"/>
  <c r="CP64" i="1" s="1"/>
  <c r="O64" i="1" s="1"/>
  <c r="GM90" i="1"/>
  <c r="GN90" i="1"/>
  <c r="U73" i="1"/>
  <c r="Y253" i="6" s="1"/>
  <c r="GM119" i="1"/>
  <c r="GN119" i="1"/>
  <c r="CY72" i="1"/>
  <c r="X72" i="1" s="1"/>
  <c r="GN82" i="1"/>
  <c r="GM82" i="1"/>
  <c r="GM121" i="1"/>
  <c r="GN121" i="1"/>
  <c r="CC175" i="1"/>
  <c r="CZ169" i="1"/>
  <c r="Y169" i="1" s="1"/>
  <c r="CY169" i="1"/>
  <c r="X169" i="1" s="1"/>
  <c r="GM104" i="1"/>
  <c r="GN104" i="1"/>
  <c r="R143" i="1"/>
  <c r="W143" i="1"/>
  <c r="S143" i="1"/>
  <c r="T143" i="1"/>
  <c r="GX143" i="1"/>
  <c r="CY150" i="1"/>
  <c r="X150" i="1" s="1"/>
  <c r="GM150" i="1" s="1"/>
  <c r="CZ150" i="1"/>
  <c r="Y150" i="1" s="1"/>
  <c r="GM112" i="1"/>
  <c r="GN112" i="1"/>
  <c r="GM120" i="1"/>
  <c r="GN120" i="1"/>
  <c r="CP134" i="1"/>
  <c r="O134" i="1" s="1"/>
  <c r="EG18" i="1"/>
  <c r="P211" i="1"/>
  <c r="FY22" i="1"/>
  <c r="EP175" i="1"/>
  <c r="V143" i="1"/>
  <c r="Z518" i="6" s="1"/>
  <c r="CP170" i="1"/>
  <c r="O170" i="1" s="1"/>
  <c r="CP146" i="1"/>
  <c r="O146" i="1" s="1"/>
  <c r="GM171" i="1"/>
  <c r="GN171" i="1"/>
  <c r="AX22" i="1"/>
  <c r="AX207" i="1"/>
  <c r="F182" i="1"/>
  <c r="GM140" i="1"/>
  <c r="GN140" i="1"/>
  <c r="CP152" i="1"/>
  <c r="O152" i="1" s="1"/>
  <c r="CP166" i="1"/>
  <c r="O166" i="1" s="1"/>
  <c r="CZ172" i="1"/>
  <c r="Y172" i="1" s="1"/>
  <c r="CY172" i="1"/>
  <c r="X172" i="1" s="1"/>
  <c r="GN172" i="1" s="1"/>
  <c r="H65" i="5" l="1"/>
  <c r="J350" i="5"/>
  <c r="P350" i="5" s="1"/>
  <c r="G145" i="5"/>
  <c r="O145" i="5" s="1"/>
  <c r="L423" i="5"/>
  <c r="H405" i="5"/>
  <c r="W145" i="5"/>
  <c r="W70" i="5"/>
  <c r="W202" i="5"/>
  <c r="G421" i="5"/>
  <c r="O421" i="5" s="1"/>
  <c r="G251" i="5"/>
  <c r="O251" i="5" s="1"/>
  <c r="W168" i="5"/>
  <c r="W46" i="5"/>
  <c r="G99" i="5"/>
  <c r="O99" i="5" s="1"/>
  <c r="W180" i="5"/>
  <c r="J288" i="5"/>
  <c r="P288" i="5" s="1"/>
  <c r="J241" i="5"/>
  <c r="P241" i="5" s="1"/>
  <c r="J321" i="5"/>
  <c r="P321" i="5" s="1"/>
  <c r="J271" i="5"/>
  <c r="P271" i="5" s="1"/>
  <c r="G202" i="5"/>
  <c r="O202" i="5" s="1"/>
  <c r="W387" i="5"/>
  <c r="G57" i="5"/>
  <c r="O57" i="5" s="1"/>
  <c r="J87" i="5"/>
  <c r="P87" i="5" s="1"/>
  <c r="G234" i="5"/>
  <c r="O234" i="5" s="1"/>
  <c r="J261" i="5"/>
  <c r="P261" i="5" s="1"/>
  <c r="H358" i="5"/>
  <c r="T257" i="6"/>
  <c r="H272" i="6"/>
  <c r="H257" i="6"/>
  <c r="G375" i="5"/>
  <c r="O375" i="5" s="1"/>
  <c r="W375" i="5"/>
  <c r="H446" i="6"/>
  <c r="T446" i="6"/>
  <c r="H454" i="6"/>
  <c r="GO127" i="1"/>
  <c r="GM127" i="1"/>
  <c r="G409" i="5"/>
  <c r="O409" i="5" s="1"/>
  <c r="W409" i="5"/>
  <c r="G387" i="5"/>
  <c r="O387" i="5" s="1"/>
  <c r="G79" i="5"/>
  <c r="O79" i="5" s="1"/>
  <c r="EB175" i="1"/>
  <c r="H212" i="6"/>
  <c r="AA201" i="6"/>
  <c r="T135" i="5"/>
  <c r="AB83" i="6"/>
  <c r="V56" i="5"/>
  <c r="CP159" i="1"/>
  <c r="O159" i="1" s="1"/>
  <c r="V562" i="6"/>
  <c r="H589" i="6"/>
  <c r="AA578" i="6"/>
  <c r="T398" i="5"/>
  <c r="GK159" i="1"/>
  <c r="X562" i="6"/>
  <c r="GK153" i="1"/>
  <c r="X542" i="6"/>
  <c r="GK147" i="1"/>
  <c r="X522" i="6"/>
  <c r="AA275" i="6"/>
  <c r="T179" i="5"/>
  <c r="EA175" i="1"/>
  <c r="DN175" i="1" s="1"/>
  <c r="Z123" i="6"/>
  <c r="DV175" i="1"/>
  <c r="W253" i="6"/>
  <c r="AA105" i="6"/>
  <c r="T69" i="5"/>
  <c r="GK89" i="1"/>
  <c r="X304" i="6"/>
  <c r="T544" i="6"/>
  <c r="H544" i="6"/>
  <c r="H559" i="6"/>
  <c r="GN155" i="1"/>
  <c r="U304" i="6"/>
  <c r="CP89" i="1"/>
  <c r="O89" i="1" s="1"/>
  <c r="AA372" i="6"/>
  <c r="T249" i="5"/>
  <c r="H414" i="6"/>
  <c r="T414" i="6"/>
  <c r="K280" i="5"/>
  <c r="W179" i="6"/>
  <c r="K122" i="5"/>
  <c r="CP59" i="1"/>
  <c r="O59" i="1" s="1"/>
  <c r="CP55" i="1"/>
  <c r="O55" i="1" s="1"/>
  <c r="W154" i="6"/>
  <c r="K103" i="5"/>
  <c r="G35" i="5"/>
  <c r="O35" i="5" s="1"/>
  <c r="W363" i="5"/>
  <c r="H284" i="6"/>
  <c r="V181" i="5"/>
  <c r="K187" i="5" s="1"/>
  <c r="AB277" i="6"/>
  <c r="T540" i="6"/>
  <c r="H540" i="6"/>
  <c r="K373" i="5"/>
  <c r="GN151" i="1"/>
  <c r="GM151" i="1"/>
  <c r="W277" i="6"/>
  <c r="K184" i="5"/>
  <c r="CP83" i="1"/>
  <c r="O83" i="1" s="1"/>
  <c r="G168" i="5"/>
  <c r="O168" i="5" s="1"/>
  <c r="W328" i="6"/>
  <c r="K227" i="5"/>
  <c r="CP99" i="1"/>
  <c r="O99" i="1" s="1"/>
  <c r="H594" i="6"/>
  <c r="K407" i="5"/>
  <c r="H455" i="6"/>
  <c r="K311" i="5"/>
  <c r="T455" i="6"/>
  <c r="H441" i="6"/>
  <c r="T427" i="6"/>
  <c r="H427" i="6"/>
  <c r="T337" i="6"/>
  <c r="H337" i="6"/>
  <c r="K233" i="5"/>
  <c r="AB152" i="6"/>
  <c r="V98" i="5"/>
  <c r="K95" i="5" s="1"/>
  <c r="H65" i="6"/>
  <c r="T65" i="6"/>
  <c r="K45" i="5"/>
  <c r="H367" i="6"/>
  <c r="AA356" i="6"/>
  <c r="T242" i="5"/>
  <c r="H484" i="6"/>
  <c r="H492" i="6"/>
  <c r="T484" i="6"/>
  <c r="AA277" i="6"/>
  <c r="H283" i="6"/>
  <c r="T181" i="5"/>
  <c r="K186" i="5" s="1"/>
  <c r="U275" i="6"/>
  <c r="CP81" i="1"/>
  <c r="O81" i="1" s="1"/>
  <c r="G46" i="5"/>
  <c r="O46" i="5" s="1"/>
  <c r="W141" i="6"/>
  <c r="K91" i="5"/>
  <c r="CZ89" i="1"/>
  <c r="Y89" i="1" s="1"/>
  <c r="AA337" i="6"/>
  <c r="T233" i="5"/>
  <c r="K230" i="5" s="1"/>
  <c r="AA306" i="6"/>
  <c r="T201" i="5"/>
  <c r="H522" i="6"/>
  <c r="K362" i="5"/>
  <c r="AB273" i="6"/>
  <c r="V178" i="5"/>
  <c r="GK143" i="1"/>
  <c r="X518" i="6"/>
  <c r="AB251" i="6"/>
  <c r="V165" i="5"/>
  <c r="T101" i="6"/>
  <c r="H101" i="6"/>
  <c r="K67" i="5"/>
  <c r="H105" i="6"/>
  <c r="T105" i="6"/>
  <c r="K69" i="5"/>
  <c r="T67" i="6"/>
  <c r="H82" i="6"/>
  <c r="H67" i="6"/>
  <c r="AA101" i="6"/>
  <c r="T67" i="5"/>
  <c r="AA190" i="6"/>
  <c r="H198" i="6"/>
  <c r="T128" i="5"/>
  <c r="K131" i="5" s="1"/>
  <c r="GM57" i="1"/>
  <c r="H176" i="6"/>
  <c r="T110" i="5"/>
  <c r="K115" i="5" s="1"/>
  <c r="AA170" i="6"/>
  <c r="H49" i="6"/>
  <c r="H64" i="6"/>
  <c r="T49" i="6"/>
  <c r="CP145" i="1"/>
  <c r="O145" i="1" s="1"/>
  <c r="U520" i="6"/>
  <c r="GN163" i="1"/>
  <c r="GN79" i="1"/>
  <c r="AA273" i="6"/>
  <c r="T178" i="5"/>
  <c r="GM67" i="1"/>
  <c r="H230" i="6"/>
  <c r="AA219" i="6"/>
  <c r="T146" i="5"/>
  <c r="K152" i="5" s="1"/>
  <c r="GN58" i="1"/>
  <c r="GM42" i="1"/>
  <c r="AA83" i="6"/>
  <c r="T56" i="5"/>
  <c r="AB578" i="6"/>
  <c r="H591" i="6"/>
  <c r="V398" i="5"/>
  <c r="GM77" i="1"/>
  <c r="H268" i="6"/>
  <c r="AA257" i="6"/>
  <c r="T169" i="5"/>
  <c r="AB275" i="6"/>
  <c r="V179" i="5"/>
  <c r="DY175" i="1"/>
  <c r="DL175" i="1" s="1"/>
  <c r="GB175" i="1"/>
  <c r="H98" i="6"/>
  <c r="AB85" i="6"/>
  <c r="V58" i="5"/>
  <c r="H120" i="6"/>
  <c r="AB107" i="6"/>
  <c r="V71" i="5"/>
  <c r="AF175" i="1"/>
  <c r="AF22" i="1" s="1"/>
  <c r="G85" i="6"/>
  <c r="G100" i="6"/>
  <c r="X103" i="6"/>
  <c r="GK39" i="1"/>
  <c r="W49" i="6"/>
  <c r="K39" i="5"/>
  <c r="W38" i="6"/>
  <c r="K30" i="5"/>
  <c r="CP25" i="1"/>
  <c r="O25" i="1" s="1"/>
  <c r="W427" i="6"/>
  <c r="K291" i="5"/>
  <c r="GK173" i="1"/>
  <c r="X616" i="6"/>
  <c r="CY173" i="1"/>
  <c r="X173" i="1" s="1"/>
  <c r="CZ173" i="1"/>
  <c r="Y173" i="1" s="1"/>
  <c r="CP141" i="1"/>
  <c r="O141" i="1" s="1"/>
  <c r="W502" i="6"/>
  <c r="K354" i="5"/>
  <c r="AA49" i="6"/>
  <c r="H60" i="6"/>
  <c r="T36" i="5"/>
  <c r="K42" i="5" s="1"/>
  <c r="W201" i="6"/>
  <c r="K138" i="5"/>
  <c r="CP63" i="1"/>
  <c r="O63" i="1" s="1"/>
  <c r="J212" i="5"/>
  <c r="P212" i="5" s="1"/>
  <c r="CP173" i="1"/>
  <c r="O173" i="1" s="1"/>
  <c r="AA455" i="6"/>
  <c r="T311" i="5"/>
  <c r="K308" i="5" s="1"/>
  <c r="AB356" i="6"/>
  <c r="H369" i="6"/>
  <c r="V242" i="5"/>
  <c r="H107" i="6"/>
  <c r="H122" i="6"/>
  <c r="T107" i="6"/>
  <c r="G189" i="5"/>
  <c r="O189" i="5" s="1"/>
  <c r="H560" i="6"/>
  <c r="T560" i="6"/>
  <c r="K385" i="5"/>
  <c r="GM157" i="1"/>
  <c r="GN157" i="1"/>
  <c r="W297" i="5"/>
  <c r="CP167" i="1"/>
  <c r="O167" i="1" s="1"/>
  <c r="W79" i="5"/>
  <c r="G70" i="5"/>
  <c r="O70" i="5" s="1"/>
  <c r="W251" i="5"/>
  <c r="GN93" i="1"/>
  <c r="H273" i="6"/>
  <c r="T273" i="6"/>
  <c r="K178" i="5"/>
  <c r="K219" i="5"/>
  <c r="W234" i="5"/>
  <c r="CY39" i="1"/>
  <c r="X39" i="1" s="1"/>
  <c r="V103" i="6"/>
  <c r="CZ39" i="1"/>
  <c r="Y39" i="1" s="1"/>
  <c r="T356" i="6"/>
  <c r="H356" i="6"/>
  <c r="H371" i="6"/>
  <c r="GN136" i="1"/>
  <c r="AB306" i="6"/>
  <c r="V201" i="5"/>
  <c r="GM169" i="1"/>
  <c r="AA598" i="6"/>
  <c r="H609" i="6"/>
  <c r="T410" i="5"/>
  <c r="AJ175" i="1"/>
  <c r="W175" i="1" s="1"/>
  <c r="H374" i="6"/>
  <c r="T374" i="6"/>
  <c r="K250" i="5"/>
  <c r="H611" i="6"/>
  <c r="AB598" i="6"/>
  <c r="V410" i="5"/>
  <c r="GM65" i="1"/>
  <c r="AA217" i="6"/>
  <c r="T144" i="5"/>
  <c r="AA38" i="6"/>
  <c r="H44" i="6"/>
  <c r="T27" i="5"/>
  <c r="K32" i="5" s="1"/>
  <c r="H83" i="6"/>
  <c r="T83" i="6"/>
  <c r="K56" i="5"/>
  <c r="V67" i="5"/>
  <c r="AB101" i="6"/>
  <c r="H248" i="6"/>
  <c r="AB235" i="6"/>
  <c r="V156" i="5"/>
  <c r="H199" i="6"/>
  <c r="AB190" i="6"/>
  <c r="V128" i="5"/>
  <c r="K132" i="5" s="1"/>
  <c r="GM163" i="1"/>
  <c r="GK145" i="1"/>
  <c r="X520" i="6"/>
  <c r="GM108" i="1"/>
  <c r="H255" i="6"/>
  <c r="T255" i="6"/>
  <c r="K167" i="5"/>
  <c r="AB219" i="6"/>
  <c r="H232" i="6"/>
  <c r="V146" i="5"/>
  <c r="K153" i="5" s="1"/>
  <c r="AB255" i="6"/>
  <c r="V167" i="5"/>
  <c r="H167" i="6"/>
  <c r="AB154" i="6"/>
  <c r="V100" i="5"/>
  <c r="K107" i="5" s="1"/>
  <c r="H190" i="6"/>
  <c r="T190" i="6"/>
  <c r="H200" i="6"/>
  <c r="H188" i="6"/>
  <c r="AB179" i="6"/>
  <c r="V119" i="5"/>
  <c r="K125" i="5" s="1"/>
  <c r="GK45" i="1"/>
  <c r="X123" i="6"/>
  <c r="T251" i="6"/>
  <c r="H251" i="6"/>
  <c r="K165" i="5"/>
  <c r="H85" i="6"/>
  <c r="H100" i="6"/>
  <c r="T85" i="6"/>
  <c r="AA85" i="6"/>
  <c r="H96" i="6"/>
  <c r="T58" i="5"/>
  <c r="GM43" i="1"/>
  <c r="AA107" i="6"/>
  <c r="T71" i="5"/>
  <c r="H118" i="6"/>
  <c r="AB67" i="6"/>
  <c r="H80" i="6"/>
  <c r="V47" i="5"/>
  <c r="K54" i="5" s="1"/>
  <c r="W67" i="6"/>
  <c r="K50" i="5"/>
  <c r="H539" i="6"/>
  <c r="H524" i="6"/>
  <c r="T524" i="6"/>
  <c r="T286" i="6"/>
  <c r="H301" i="6"/>
  <c r="H286" i="6"/>
  <c r="W286" i="6"/>
  <c r="K193" i="5"/>
  <c r="T578" i="6"/>
  <c r="H578" i="6"/>
  <c r="H593" i="6"/>
  <c r="H453" i="6"/>
  <c r="AB446" i="6"/>
  <c r="V302" i="5"/>
  <c r="H404" i="6"/>
  <c r="H413" i="6"/>
  <c r="T404" i="6"/>
  <c r="G22" i="5"/>
  <c r="H386" i="6"/>
  <c r="T376" i="6"/>
  <c r="H376" i="6"/>
  <c r="GK165" i="1"/>
  <c r="X594" i="6"/>
  <c r="AA484" i="6"/>
  <c r="H490" i="6"/>
  <c r="T333" i="5"/>
  <c r="K338" i="5" s="1"/>
  <c r="J341" i="5" s="1"/>
  <c r="P341" i="5" s="1"/>
  <c r="H555" i="6"/>
  <c r="AA544" i="6"/>
  <c r="T376" i="5"/>
  <c r="H62" i="6"/>
  <c r="AB49" i="6"/>
  <c r="V36" i="5"/>
  <c r="K43" i="5" s="1"/>
  <c r="AB326" i="6"/>
  <c r="V222" i="5"/>
  <c r="K220" i="5" s="1"/>
  <c r="K328" i="5"/>
  <c r="CY89" i="1"/>
  <c r="X89" i="1" s="1"/>
  <c r="GK37" i="1"/>
  <c r="X101" i="6"/>
  <c r="W99" i="5"/>
  <c r="AB455" i="6"/>
  <c r="V311" i="5"/>
  <c r="AB414" i="6"/>
  <c r="V280" i="5"/>
  <c r="K278" i="5" s="1"/>
  <c r="H426" i="6"/>
  <c r="H416" i="6"/>
  <c r="T416" i="6"/>
  <c r="T217" i="6"/>
  <c r="H217" i="6"/>
  <c r="K144" i="5"/>
  <c r="W281" i="5"/>
  <c r="H234" i="6"/>
  <c r="H219" i="6"/>
  <c r="T219" i="6"/>
  <c r="AB38" i="6"/>
  <c r="H46" i="6"/>
  <c r="V27" i="5"/>
  <c r="K33" i="5" s="1"/>
  <c r="H306" i="6"/>
  <c r="T306" i="6"/>
  <c r="K201" i="5"/>
  <c r="AA251" i="6"/>
  <c r="T165" i="5"/>
  <c r="H123" i="6"/>
  <c r="K78" i="5"/>
  <c r="AB170" i="6"/>
  <c r="H177" i="6"/>
  <c r="V110" i="5"/>
  <c r="K116" i="5" s="1"/>
  <c r="J118" i="5" s="1"/>
  <c r="P118" i="5" s="1"/>
  <c r="GN77" i="1"/>
  <c r="AB257" i="6"/>
  <c r="H270" i="6"/>
  <c r="V169" i="5"/>
  <c r="K176" i="5" s="1"/>
  <c r="CP153" i="1"/>
  <c r="O153" i="1" s="1"/>
  <c r="CP143" i="1"/>
  <c r="O143" i="1" s="1"/>
  <c r="V518" i="6"/>
  <c r="GM72" i="1"/>
  <c r="AB217" i="6"/>
  <c r="V144" i="5"/>
  <c r="GM56" i="1"/>
  <c r="GM156" i="1"/>
  <c r="GM69" i="1"/>
  <c r="AA235" i="6"/>
  <c r="H246" i="6"/>
  <c r="T156" i="5"/>
  <c r="GM60" i="1"/>
  <c r="T387" i="6"/>
  <c r="H387" i="6"/>
  <c r="H403" i="6"/>
  <c r="H214" i="6"/>
  <c r="AB201" i="6"/>
  <c r="V135" i="5"/>
  <c r="AA255" i="6"/>
  <c r="T167" i="5"/>
  <c r="GM55" i="1"/>
  <c r="AA154" i="6"/>
  <c r="H165" i="6"/>
  <c r="T100" i="5"/>
  <c r="K106" i="5" s="1"/>
  <c r="V16" i="2"/>
  <c r="V18" i="2" s="1"/>
  <c r="GM164" i="1"/>
  <c r="H355" i="6"/>
  <c r="T339" i="6"/>
  <c r="H339" i="6"/>
  <c r="DZ175" i="1"/>
  <c r="DZ22" i="1" s="1"/>
  <c r="Y123" i="6"/>
  <c r="AA179" i="6"/>
  <c r="H187" i="6"/>
  <c r="T119" i="5"/>
  <c r="K124" i="5" s="1"/>
  <c r="GM34" i="1"/>
  <c r="GK73" i="1"/>
  <c r="X253" i="6"/>
  <c r="AB105" i="6"/>
  <c r="V69" i="5"/>
  <c r="H78" i="6"/>
  <c r="AA67" i="6"/>
  <c r="T47" i="5"/>
  <c r="G363" i="5"/>
  <c r="O363" i="5" s="1"/>
  <c r="AA502" i="6"/>
  <c r="H513" i="6"/>
  <c r="T351" i="5"/>
  <c r="G446" i="6"/>
  <c r="G454" i="6"/>
  <c r="W85" i="6"/>
  <c r="K61" i="5"/>
  <c r="W257" i="6"/>
  <c r="K172" i="5"/>
  <c r="U103" i="6"/>
  <c r="CP39" i="1"/>
  <c r="O39" i="1" s="1"/>
  <c r="W57" i="5"/>
  <c r="GK107" i="1"/>
  <c r="X372" i="6"/>
  <c r="CZ107" i="1"/>
  <c r="Y107" i="1" s="1"/>
  <c r="AA427" i="6"/>
  <c r="H437" i="6"/>
  <c r="T289" i="5"/>
  <c r="K294" i="5" s="1"/>
  <c r="H598" i="6"/>
  <c r="H613" i="6"/>
  <c r="T598" i="6"/>
  <c r="H235" i="6"/>
  <c r="H250" i="6"/>
  <c r="T235" i="6"/>
  <c r="H317" i="6"/>
  <c r="H325" i="6"/>
  <c r="T317" i="6"/>
  <c r="AA152" i="6"/>
  <c r="T98" i="5"/>
  <c r="K94" i="5" s="1"/>
  <c r="T170" i="6"/>
  <c r="H178" i="6"/>
  <c r="H170" i="6"/>
  <c r="W446" i="6"/>
  <c r="K305" i="5"/>
  <c r="H302" i="6"/>
  <c r="T302" i="6"/>
  <c r="K199" i="5"/>
  <c r="GN87" i="1"/>
  <c r="GM87" i="1"/>
  <c r="AO18" i="1"/>
  <c r="F211" i="1"/>
  <c r="V594" i="6"/>
  <c r="CY165" i="1"/>
  <c r="X165" i="1" s="1"/>
  <c r="T594" i="6" s="1"/>
  <c r="CZ165" i="1"/>
  <c r="Y165" i="1" s="1"/>
  <c r="G312" i="5"/>
  <c r="O312" i="5" s="1"/>
  <c r="W564" i="6"/>
  <c r="K391" i="5"/>
  <c r="J397" i="5" s="1"/>
  <c r="P397" i="5" s="1"/>
  <c r="CP161" i="1"/>
  <c r="O161" i="1" s="1"/>
  <c r="AB614" i="6"/>
  <c r="V419" i="5"/>
  <c r="GM155" i="1"/>
  <c r="GM149" i="1"/>
  <c r="T326" i="6"/>
  <c r="H326" i="6"/>
  <c r="K222" i="5"/>
  <c r="CP49" i="1"/>
  <c r="O49" i="1" s="1"/>
  <c r="H372" i="6"/>
  <c r="K249" i="5"/>
  <c r="CY167" i="1"/>
  <c r="X167" i="1" s="1"/>
  <c r="V596" i="6"/>
  <c r="CZ167" i="1"/>
  <c r="Y167" i="1" s="1"/>
  <c r="G180" i="5"/>
  <c r="O180" i="5" s="1"/>
  <c r="T614" i="6"/>
  <c r="H614" i="6"/>
  <c r="K419" i="5"/>
  <c r="K277" i="5"/>
  <c r="J281" i="5" s="1"/>
  <c r="P281" i="5" s="1"/>
  <c r="K329" i="5"/>
  <c r="H481" i="6"/>
  <c r="H466" i="6"/>
  <c r="T466" i="6"/>
  <c r="AB337" i="6"/>
  <c r="V233" i="5"/>
  <c r="K231" i="5" s="1"/>
  <c r="H150" i="6"/>
  <c r="T150" i="6"/>
  <c r="K97" i="5"/>
  <c r="AI22" i="1"/>
  <c r="V175" i="1"/>
  <c r="AJ22" i="1"/>
  <c r="EB22" i="1"/>
  <c r="DO175" i="1"/>
  <c r="EA22" i="1"/>
  <c r="DV22" i="1"/>
  <c r="DI175" i="1"/>
  <c r="AG22" i="1"/>
  <c r="T175" i="1"/>
  <c r="GB22" i="1"/>
  <c r="ES175" i="1"/>
  <c r="DY22" i="1"/>
  <c r="DM175" i="1"/>
  <c r="CC22" i="1"/>
  <c r="AT175" i="1"/>
  <c r="AQ18" i="1"/>
  <c r="F217" i="1"/>
  <c r="FU175" i="1"/>
  <c r="CZ64" i="1"/>
  <c r="Y64" i="1" s="1"/>
  <c r="GN64" i="1" s="1"/>
  <c r="CY64" i="1"/>
  <c r="X64" i="1" s="1"/>
  <c r="AP18" i="1"/>
  <c r="F216" i="1"/>
  <c r="GM152" i="1"/>
  <c r="GN152" i="1"/>
  <c r="AX18" i="1"/>
  <c r="F214" i="1"/>
  <c r="GM146" i="1"/>
  <c r="GN146" i="1"/>
  <c r="GM134" i="1"/>
  <c r="GN134" i="1"/>
  <c r="AD22" i="1"/>
  <c r="Q175" i="1"/>
  <c r="EU18" i="1"/>
  <c r="P223" i="1"/>
  <c r="BB18" i="1"/>
  <c r="F220" i="1"/>
  <c r="GN27" i="1"/>
  <c r="GM27" i="1"/>
  <c r="ER22" i="1"/>
  <c r="P186" i="1"/>
  <c r="ER207" i="1"/>
  <c r="GM172" i="1"/>
  <c r="GM75" i="1"/>
  <c r="GN75" i="1"/>
  <c r="GM66" i="1"/>
  <c r="GN66" i="1"/>
  <c r="AZ22" i="1"/>
  <c r="F186" i="1"/>
  <c r="AZ207" i="1"/>
  <c r="EH18" i="1"/>
  <c r="P216" i="1"/>
  <c r="AU18" i="1"/>
  <c r="F226" i="1"/>
  <c r="CY73" i="1"/>
  <c r="X73" i="1" s="1"/>
  <c r="CZ73" i="1"/>
  <c r="Y73" i="1" s="1"/>
  <c r="GN61" i="1"/>
  <c r="GM61" i="1"/>
  <c r="GN71" i="1"/>
  <c r="GM71" i="1"/>
  <c r="CP73" i="1"/>
  <c r="O73" i="1" s="1"/>
  <c r="GM35" i="1"/>
  <c r="GN35" i="1"/>
  <c r="GN24" i="1"/>
  <c r="GM24" i="1"/>
  <c r="AB175" i="1"/>
  <c r="GN43" i="1"/>
  <c r="GN144" i="1"/>
  <c r="GN108" i="1"/>
  <c r="GM79" i="1"/>
  <c r="GM58" i="1"/>
  <c r="GM96" i="1"/>
  <c r="GN67" i="1"/>
  <c r="GN69" i="1"/>
  <c r="GN57" i="1"/>
  <c r="CJ22" i="1"/>
  <c r="BA175" i="1"/>
  <c r="BC18" i="1"/>
  <c r="F223" i="1"/>
  <c r="GM70" i="1"/>
  <c r="GN70" i="1"/>
  <c r="AE175" i="1"/>
  <c r="EM18" i="1"/>
  <c r="P226" i="1"/>
  <c r="GM113" i="1"/>
  <c r="GN113" i="1"/>
  <c r="GM80" i="1"/>
  <c r="GN80" i="1"/>
  <c r="GM50" i="1"/>
  <c r="GN50" i="1"/>
  <c r="AH22" i="1"/>
  <c r="U175" i="1"/>
  <c r="ET18" i="1"/>
  <c r="P220" i="1"/>
  <c r="CZ147" i="1"/>
  <c r="Y147" i="1" s="1"/>
  <c r="CY147" i="1"/>
  <c r="X147" i="1" s="1"/>
  <c r="T522" i="6" s="1"/>
  <c r="GM103" i="1"/>
  <c r="GN103" i="1"/>
  <c r="CY45" i="1"/>
  <c r="X45" i="1" s="1"/>
  <c r="T123" i="6" s="1"/>
  <c r="CZ45" i="1"/>
  <c r="Y45" i="1" s="1"/>
  <c r="GN65" i="1"/>
  <c r="GN150" i="1"/>
  <c r="GN72" i="1"/>
  <c r="GM64" i="1"/>
  <c r="GN37" i="1"/>
  <c r="GM37" i="1"/>
  <c r="DW175" i="1"/>
  <c r="CZ145" i="1"/>
  <c r="Y145" i="1" s="1"/>
  <c r="CY145" i="1"/>
  <c r="X145" i="1" s="1"/>
  <c r="GM109" i="1"/>
  <c r="GN109" i="1"/>
  <c r="GM25" i="1"/>
  <c r="CZ159" i="1"/>
  <c r="Y159" i="1" s="1"/>
  <c r="CY159" i="1"/>
  <c r="X159" i="1" s="1"/>
  <c r="CZ153" i="1"/>
  <c r="Y153" i="1" s="1"/>
  <c r="CY153" i="1"/>
  <c r="X153" i="1" s="1"/>
  <c r="GM100" i="1"/>
  <c r="GN100" i="1"/>
  <c r="GN63" i="1"/>
  <c r="DX175" i="1"/>
  <c r="CZ32" i="1"/>
  <c r="Y32" i="1" s="1"/>
  <c r="AL175" i="1" s="1"/>
  <c r="CY32" i="1"/>
  <c r="X32" i="1" s="1"/>
  <c r="GN55" i="1"/>
  <c r="GN156" i="1"/>
  <c r="GN169" i="1"/>
  <c r="GN42" i="1"/>
  <c r="GN56" i="1"/>
  <c r="GM170" i="1"/>
  <c r="GN170" i="1"/>
  <c r="GM41" i="1"/>
  <c r="GN41" i="1"/>
  <c r="GM31" i="1"/>
  <c r="GN31" i="1"/>
  <c r="GN166" i="1"/>
  <c r="GM166" i="1"/>
  <c r="EP22" i="1"/>
  <c r="EP207" i="1"/>
  <c r="P182" i="1"/>
  <c r="GN153" i="1"/>
  <c r="CZ143" i="1"/>
  <c r="Y143" i="1" s="1"/>
  <c r="CY143" i="1"/>
  <c r="X143" i="1" s="1"/>
  <c r="GM33" i="1"/>
  <c r="GN33" i="1"/>
  <c r="DU175" i="1"/>
  <c r="EI18" i="1"/>
  <c r="P217" i="1"/>
  <c r="GN25" i="1"/>
  <c r="GM158" i="1"/>
  <c r="GN158" i="1"/>
  <c r="GN62" i="1"/>
  <c r="GM62" i="1"/>
  <c r="CZ44" i="1"/>
  <c r="Y44" i="1" s="1"/>
  <c r="CY44" i="1"/>
  <c r="X44" i="1" s="1"/>
  <c r="GN44" i="1" s="1"/>
  <c r="GM54" i="1"/>
  <c r="GN54" i="1"/>
  <c r="AC175" i="1"/>
  <c r="K309" i="5" l="1"/>
  <c r="J312" i="5" s="1"/>
  <c r="P312" i="5" s="1"/>
  <c r="K246" i="5"/>
  <c r="J127" i="5"/>
  <c r="P127" i="5" s="1"/>
  <c r="J109" i="5"/>
  <c r="P109" i="5" s="1"/>
  <c r="J46" i="5"/>
  <c r="P46" i="5" s="1"/>
  <c r="G18" i="5"/>
  <c r="J297" i="5"/>
  <c r="P297" i="5" s="1"/>
  <c r="J234" i="5"/>
  <c r="P234" i="5" s="1"/>
  <c r="J223" i="5"/>
  <c r="P223" i="5" s="1"/>
  <c r="K53" i="5"/>
  <c r="J57" i="5" s="1"/>
  <c r="P57" i="5" s="1"/>
  <c r="K142" i="5"/>
  <c r="J155" i="5"/>
  <c r="P155" i="5" s="1"/>
  <c r="GM143" i="1"/>
  <c r="AA518" i="6"/>
  <c r="T360" i="5"/>
  <c r="GM145" i="1"/>
  <c r="AA520" i="6"/>
  <c r="T361" i="5"/>
  <c r="AA103" i="6"/>
  <c r="T68" i="5"/>
  <c r="H616" i="6"/>
  <c r="T616" i="6"/>
  <c r="K420" i="5"/>
  <c r="GM173" i="1"/>
  <c r="GN173" i="1"/>
  <c r="AB616" i="6"/>
  <c r="V420" i="5"/>
  <c r="K417" i="5" s="1"/>
  <c r="T275" i="6"/>
  <c r="H275" i="6"/>
  <c r="K179" i="5"/>
  <c r="GM81" i="1"/>
  <c r="GN81" i="1"/>
  <c r="K141" i="5"/>
  <c r="AA596" i="6"/>
  <c r="T408" i="5"/>
  <c r="AA304" i="6"/>
  <c r="T200" i="5"/>
  <c r="K196" i="5" s="1"/>
  <c r="GM44" i="1"/>
  <c r="AB518" i="6"/>
  <c r="V360" i="5"/>
  <c r="GM153" i="1"/>
  <c r="AA542" i="6"/>
  <c r="T374" i="5"/>
  <c r="K370" i="5" s="1"/>
  <c r="AB520" i="6"/>
  <c r="V361" i="5"/>
  <c r="T253" i="6"/>
  <c r="H253" i="6"/>
  <c r="K166" i="5"/>
  <c r="S175" i="1"/>
  <c r="H564" i="6"/>
  <c r="H577" i="6"/>
  <c r="T564" i="6"/>
  <c r="GM161" i="1"/>
  <c r="GN161" i="1"/>
  <c r="AB594" i="6"/>
  <c r="V407" i="5"/>
  <c r="T518" i="6"/>
  <c r="H518" i="6"/>
  <c r="K360" i="5"/>
  <c r="AA616" i="6"/>
  <c r="T420" i="5"/>
  <c r="J99" i="5"/>
  <c r="P99" i="5" s="1"/>
  <c r="T562" i="6"/>
  <c r="H562" i="6"/>
  <c r="K386" i="5"/>
  <c r="ED175" i="1"/>
  <c r="AB123" i="6"/>
  <c r="V78" i="5"/>
  <c r="K76" i="5" s="1"/>
  <c r="GM147" i="1"/>
  <c r="AA522" i="6"/>
  <c r="T362" i="5"/>
  <c r="AB253" i="6"/>
  <c r="V166" i="5"/>
  <c r="K163" i="5" s="1"/>
  <c r="DT175" i="1"/>
  <c r="GM167" i="1"/>
  <c r="AB596" i="6"/>
  <c r="V408" i="5"/>
  <c r="T141" i="6"/>
  <c r="H149" i="6"/>
  <c r="H141" i="6"/>
  <c r="GN49" i="1"/>
  <c r="GM49" i="1"/>
  <c r="AA594" i="6"/>
  <c r="T407" i="5"/>
  <c r="GM165" i="1"/>
  <c r="GN165" i="1"/>
  <c r="AB372" i="6"/>
  <c r="V249" i="5"/>
  <c r="GN107" i="1"/>
  <c r="T103" i="6"/>
  <c r="H103" i="6"/>
  <c r="K68" i="5"/>
  <c r="GM39" i="1"/>
  <c r="GN39" i="1"/>
  <c r="GM107" i="1"/>
  <c r="H542" i="6"/>
  <c r="T542" i="6"/>
  <c r="K374" i="5"/>
  <c r="J332" i="5"/>
  <c r="P332" i="5" s="1"/>
  <c r="K64" i="5"/>
  <c r="AB103" i="6"/>
  <c r="V68" i="5"/>
  <c r="K65" i="5" s="1"/>
  <c r="T596" i="6"/>
  <c r="H596" i="6"/>
  <c r="K408" i="5"/>
  <c r="GN167" i="1"/>
  <c r="H216" i="6"/>
  <c r="T201" i="6"/>
  <c r="H201" i="6"/>
  <c r="H38" i="6"/>
  <c r="T38" i="6"/>
  <c r="H48" i="6"/>
  <c r="AB304" i="6"/>
  <c r="V200" i="5"/>
  <c r="K197" i="5" s="1"/>
  <c r="H328" i="6"/>
  <c r="H336" i="6"/>
  <c r="T328" i="6"/>
  <c r="GM99" i="1"/>
  <c r="GN99" i="1"/>
  <c r="H285" i="6"/>
  <c r="H277" i="6"/>
  <c r="T277" i="6"/>
  <c r="GN83" i="1"/>
  <c r="GM83" i="1"/>
  <c r="H169" i="6"/>
  <c r="T154" i="6"/>
  <c r="H154" i="6"/>
  <c r="AB562" i="6"/>
  <c r="V386" i="5"/>
  <c r="K383" i="5" s="1"/>
  <c r="AB542" i="6"/>
  <c r="V374" i="5"/>
  <c r="K371" i="5" s="1"/>
  <c r="AK175" i="1"/>
  <c r="GM159" i="1"/>
  <c r="AA562" i="6"/>
  <c r="T386" i="5"/>
  <c r="K382" i="5" s="1"/>
  <c r="EC175" i="1"/>
  <c r="DP175" i="1" s="1"/>
  <c r="AA123" i="6"/>
  <c r="T78" i="5"/>
  <c r="K75" i="5" s="1"/>
  <c r="AB522" i="6"/>
  <c r="V362" i="5"/>
  <c r="AA253" i="6"/>
  <c r="T166" i="5"/>
  <c r="K162" i="5" s="1"/>
  <c r="T372" i="6"/>
  <c r="K416" i="5"/>
  <c r="G19" i="5"/>
  <c r="K247" i="5"/>
  <c r="J251" i="5" s="1"/>
  <c r="P251" i="5" s="1"/>
  <c r="H517" i="6"/>
  <c r="H502" i="6"/>
  <c r="T502" i="6"/>
  <c r="GM141" i="1"/>
  <c r="GN141" i="1"/>
  <c r="J35" i="5"/>
  <c r="P35" i="5" s="1"/>
  <c r="K175" i="5"/>
  <c r="J180" i="5" s="1"/>
  <c r="P180" i="5" s="1"/>
  <c r="K405" i="5"/>
  <c r="H520" i="6"/>
  <c r="T520" i="6"/>
  <c r="K361" i="5"/>
  <c r="J134" i="5"/>
  <c r="P134" i="5" s="1"/>
  <c r="J189" i="5"/>
  <c r="P189" i="5" s="1"/>
  <c r="G423" i="5"/>
  <c r="H179" i="6"/>
  <c r="T179" i="6"/>
  <c r="H189" i="6"/>
  <c r="GM59" i="1"/>
  <c r="GN59" i="1"/>
  <c r="T304" i="6"/>
  <c r="H304" i="6"/>
  <c r="K200" i="5"/>
  <c r="GN89" i="1"/>
  <c r="GM89" i="1"/>
  <c r="GM63" i="1"/>
  <c r="ED22" i="1"/>
  <c r="DQ175" i="1"/>
  <c r="EC22" i="1"/>
  <c r="DW22" i="1"/>
  <c r="DJ175" i="1"/>
  <c r="U22" i="1"/>
  <c r="F197" i="1"/>
  <c r="U207" i="1"/>
  <c r="FU22" i="1"/>
  <c r="EL175" i="1"/>
  <c r="GN143" i="1"/>
  <c r="GM73" i="1"/>
  <c r="GN73" i="1"/>
  <c r="ER18" i="1"/>
  <c r="P218" i="1"/>
  <c r="GM45" i="1"/>
  <c r="FS175" i="1" s="1"/>
  <c r="GN32" i="1"/>
  <c r="CB175" i="1" s="1"/>
  <c r="GN147" i="1"/>
  <c r="GN145" i="1"/>
  <c r="Q22" i="1"/>
  <c r="F187" i="1"/>
  <c r="Q207" i="1"/>
  <c r="DM22" i="1"/>
  <c r="DM207" i="1"/>
  <c r="P197" i="1"/>
  <c r="I21" i="5" s="1"/>
  <c r="G21" i="5" s="1"/>
  <c r="DL22" i="1"/>
  <c r="DL207" i="1"/>
  <c r="P196" i="1"/>
  <c r="ES22" i="1"/>
  <c r="ES207" i="1"/>
  <c r="P195" i="1"/>
  <c r="DI22" i="1"/>
  <c r="P187" i="1"/>
  <c r="DI207" i="1"/>
  <c r="GN159" i="1"/>
  <c r="W22" i="1"/>
  <c r="F199" i="1"/>
  <c r="W207" i="1"/>
  <c r="AC22" i="1"/>
  <c r="P175" i="1"/>
  <c r="CF175" i="1"/>
  <c r="CE175" i="1"/>
  <c r="CH175" i="1"/>
  <c r="AK22" i="1"/>
  <c r="X175" i="1"/>
  <c r="DU22" i="1"/>
  <c r="DH175" i="1"/>
  <c r="FW175" i="1"/>
  <c r="FX175" i="1"/>
  <c r="FZ175" i="1"/>
  <c r="EP18" i="1"/>
  <c r="P214" i="1"/>
  <c r="AB22" i="1"/>
  <c r="O175" i="1"/>
  <c r="AZ18" i="1"/>
  <c r="F218" i="1"/>
  <c r="GN45" i="1"/>
  <c r="FT175" i="1" s="1"/>
  <c r="GM32" i="1"/>
  <c r="CA175" i="1" s="1"/>
  <c r="AT22" i="1"/>
  <c r="F193" i="1"/>
  <c r="F16" i="2" s="1"/>
  <c r="F18" i="2" s="1"/>
  <c r="AT207" i="1"/>
  <c r="DT22" i="1"/>
  <c r="DG175" i="1"/>
  <c r="S22" i="1"/>
  <c r="S207" i="1"/>
  <c r="F190" i="1"/>
  <c r="J16" i="2" s="1"/>
  <c r="J18" i="2" s="1"/>
  <c r="T22" i="1"/>
  <c r="T207" i="1"/>
  <c r="F196" i="1"/>
  <c r="DN22" i="1"/>
  <c r="DN207" i="1"/>
  <c r="P198" i="1"/>
  <c r="DO22" i="1"/>
  <c r="DO207" i="1"/>
  <c r="P199" i="1"/>
  <c r="V22" i="1"/>
  <c r="F198" i="1"/>
  <c r="V207" i="1"/>
  <c r="AL22" i="1"/>
  <c r="Y175" i="1"/>
  <c r="AE22" i="1"/>
  <c r="R175" i="1"/>
  <c r="DX22" i="1"/>
  <c r="DK175" i="1"/>
  <c r="BA22" i="1"/>
  <c r="F195" i="1"/>
  <c r="H16" i="2" s="1"/>
  <c r="H18" i="2" s="1"/>
  <c r="BA207" i="1"/>
  <c r="K357" i="5" l="1"/>
  <c r="J421" i="5"/>
  <c r="P421" i="5" s="1"/>
  <c r="J387" i="5"/>
  <c r="P387" i="5" s="1"/>
  <c r="K404" i="5"/>
  <c r="J409" i="5" s="1"/>
  <c r="P409" i="5" s="1"/>
  <c r="J145" i="5"/>
  <c r="P145" i="5" s="1"/>
  <c r="J168" i="5"/>
  <c r="P168" i="5" s="1"/>
  <c r="J70" i="5"/>
  <c r="P70" i="5" s="1"/>
  <c r="W16" i="2"/>
  <c r="W18" i="2" s="1"/>
  <c r="H619" i="6"/>
  <c r="H626" i="6"/>
  <c r="J202" i="5"/>
  <c r="P202" i="5" s="1"/>
  <c r="K358" i="5"/>
  <c r="J363" i="5" s="1"/>
  <c r="P363" i="5" s="1"/>
  <c r="J79" i="5"/>
  <c r="P79" i="5" s="1"/>
  <c r="J375" i="5"/>
  <c r="P375" i="5" s="1"/>
  <c r="FT22" i="1"/>
  <c r="EK175" i="1"/>
  <c r="CB22" i="1"/>
  <c r="AS175" i="1"/>
  <c r="CA22" i="1"/>
  <c r="AR175" i="1"/>
  <c r="O22" i="1"/>
  <c r="F177" i="1"/>
  <c r="O207" i="1"/>
  <c r="CE22" i="1"/>
  <c r="AV175" i="1"/>
  <c r="S18" i="1"/>
  <c r="F222" i="1"/>
  <c r="AT18" i="1"/>
  <c r="F225" i="1"/>
  <c r="X22" i="1"/>
  <c r="X207" i="1"/>
  <c r="F200" i="1"/>
  <c r="FS22" i="1"/>
  <c r="EJ175" i="1"/>
  <c r="DJ22" i="1"/>
  <c r="DJ207" i="1"/>
  <c r="P189" i="1"/>
  <c r="DQ22" i="1"/>
  <c r="DQ207" i="1"/>
  <c r="P201" i="1"/>
  <c r="DK22" i="1"/>
  <c r="P190" i="1"/>
  <c r="DK207" i="1"/>
  <c r="Y22" i="1"/>
  <c r="F201" i="1"/>
  <c r="Y207" i="1"/>
  <c r="T18" i="1"/>
  <c r="F228" i="1"/>
  <c r="FW22" i="1"/>
  <c r="EN175" i="1"/>
  <c r="P22" i="1"/>
  <c r="P207" i="1"/>
  <c r="F178" i="1"/>
  <c r="DM18" i="1"/>
  <c r="P229" i="1"/>
  <c r="U18" i="1"/>
  <c r="F229" i="1"/>
  <c r="BA18" i="1"/>
  <c r="F227" i="1"/>
  <c r="DN18" i="1"/>
  <c r="P230" i="1"/>
  <c r="DG22" i="1"/>
  <c r="DG207" i="1"/>
  <c r="P177" i="1"/>
  <c r="DH22" i="1"/>
  <c r="P178" i="1"/>
  <c r="DH207" i="1"/>
  <c r="CH22" i="1"/>
  <c r="AY175" i="1"/>
  <c r="DL18" i="1"/>
  <c r="P228" i="1"/>
  <c r="DP22" i="1"/>
  <c r="DP207" i="1"/>
  <c r="P200" i="1"/>
  <c r="V18" i="1"/>
  <c r="F230" i="1"/>
  <c r="FZ22" i="1"/>
  <c r="EQ175" i="1"/>
  <c r="W18" i="1"/>
  <c r="F231" i="1"/>
  <c r="ES18" i="1"/>
  <c r="P227" i="1"/>
  <c r="EL22" i="1"/>
  <c r="EL207" i="1"/>
  <c r="P193" i="1"/>
  <c r="R22" i="1"/>
  <c r="F189" i="1"/>
  <c r="R207" i="1"/>
  <c r="DO18" i="1"/>
  <c r="P231" i="1"/>
  <c r="DI18" i="1"/>
  <c r="P219" i="1"/>
  <c r="Q18" i="1"/>
  <c r="F219" i="1"/>
  <c r="FX22" i="1"/>
  <c r="EO175" i="1"/>
  <c r="CF22" i="1"/>
  <c r="AW175" i="1"/>
  <c r="J423" i="5" l="1"/>
  <c r="Y16" i="2"/>
  <c r="Y18" i="2" s="1"/>
  <c r="I22" i="5"/>
  <c r="U16" i="2"/>
  <c r="U18" i="2" s="1"/>
  <c r="I20" i="5"/>
  <c r="DP18" i="1"/>
  <c r="P232" i="1"/>
  <c r="AY22" i="1"/>
  <c r="F183" i="1"/>
  <c r="AY207" i="1"/>
  <c r="AV22" i="1"/>
  <c r="F180" i="1"/>
  <c r="AV207" i="1"/>
  <c r="EO22" i="1"/>
  <c r="EO207" i="1"/>
  <c r="P181" i="1"/>
  <c r="R18" i="1"/>
  <c r="F221" i="1"/>
  <c r="EL18" i="1"/>
  <c r="P225" i="1"/>
  <c r="P18" i="1"/>
  <c r="F210" i="1"/>
  <c r="DJ18" i="1"/>
  <c r="P221" i="1"/>
  <c r="AR22" i="1"/>
  <c r="F202" i="1"/>
  <c r="F203" i="1" s="1"/>
  <c r="AR207" i="1"/>
  <c r="EK22" i="1"/>
  <c r="EK207" i="1"/>
  <c r="P192" i="1"/>
  <c r="DH18" i="1"/>
  <c r="P210" i="1"/>
  <c r="DG18" i="1"/>
  <c r="P209" i="1"/>
  <c r="DK18" i="1"/>
  <c r="P222" i="1"/>
  <c r="DQ18" i="1"/>
  <c r="P233" i="1"/>
  <c r="X18" i="1"/>
  <c r="F232" i="1"/>
  <c r="O18" i="1"/>
  <c r="F209" i="1"/>
  <c r="AW22" i="1"/>
  <c r="F181" i="1"/>
  <c r="AW207" i="1"/>
  <c r="EQ22" i="1"/>
  <c r="EQ207" i="1"/>
  <c r="P183" i="1"/>
  <c r="EN22" i="1"/>
  <c r="P180" i="1"/>
  <c r="EN207" i="1"/>
  <c r="Y18" i="1"/>
  <c r="F233" i="1"/>
  <c r="EJ22" i="1"/>
  <c r="P202" i="1"/>
  <c r="P203" i="1" s="1"/>
  <c r="EJ207" i="1"/>
  <c r="AS22" i="1"/>
  <c r="AS207" i="1"/>
  <c r="F192" i="1"/>
  <c r="E16" i="2" s="1"/>
  <c r="G622" i="6" l="1"/>
  <c r="J424" i="5"/>
  <c r="T16" i="2"/>
  <c r="I19" i="5"/>
  <c r="EJ18" i="1"/>
  <c r="P234" i="1"/>
  <c r="P235" i="1" s="1"/>
  <c r="G628" i="6" s="1"/>
  <c r="E18" i="2"/>
  <c r="I16" i="2"/>
  <c r="I18" i="2" s="1"/>
  <c r="P204" i="1"/>
  <c r="EN18" i="1"/>
  <c r="P212" i="1"/>
  <c r="EQ18" i="1"/>
  <c r="P215" i="1"/>
  <c r="AR18" i="1"/>
  <c r="F234" i="1"/>
  <c r="F235" i="1" s="1"/>
  <c r="EO18" i="1"/>
  <c r="P213" i="1"/>
  <c r="AS18" i="1"/>
  <c r="F224" i="1"/>
  <c r="X16" i="2"/>
  <c r="X18" i="2" s="1"/>
  <c r="T18" i="2"/>
  <c r="F204" i="1"/>
  <c r="F205" i="1" s="1"/>
  <c r="AY18" i="1"/>
  <c r="F215" i="1"/>
  <c r="AW18" i="1"/>
  <c r="F213" i="1"/>
  <c r="EK18" i="1"/>
  <c r="P224" i="1"/>
  <c r="AV18" i="1"/>
  <c r="F212" i="1"/>
  <c r="P205" i="1" l="1"/>
  <c r="G623" i="6"/>
  <c r="J425" i="5"/>
  <c r="P236" i="1"/>
  <c r="F236" i="1"/>
  <c r="F237" i="1" s="1"/>
  <c r="P237" i="1" l="1"/>
  <c r="G629" i="6"/>
  <c r="G624" i="6"/>
  <c r="I18" i="5"/>
  <c r="J426" i="5"/>
  <c r="G630" i="6" l="1"/>
  <c r="F31" i="6"/>
</calcChain>
</file>

<file path=xl/sharedStrings.xml><?xml version="1.0" encoding="utf-8"?>
<sst xmlns="http://schemas.openxmlformats.org/spreadsheetml/2006/main" count="13987" uniqueCount="948">
  <si>
    <t>Smeta.RU  (495) 974-1589</t>
  </si>
  <si>
    <t>_PS_</t>
  </si>
  <si>
    <t>Smeta.RU</t>
  </si>
  <si>
    <t>НИЯУ МИФИ  Доп. раб. место  MCCS-0027251</t>
  </si>
  <si>
    <t>Новый объект_(Копия)</t>
  </si>
  <si>
    <t>Капитальный ремонт помещений №70/74 2-го этажа женского санузла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48_(Копия)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</si>
  <si>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</si>
  <si>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</si>
  <si>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</si>
  <si>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</si>
  <si>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</si>
  <si>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</si>
  <si>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</si>
  <si>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</si>
  <si>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</si>
  <si>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</si>
  <si>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</si>
  <si>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</si>
  <si>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</si>
  <si>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</si>
  <si>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</si>
  <si>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</si>
  <si>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</si>
  <si>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</si>
  <si>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10-01-034-06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</si>
  <si>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</si>
  <si>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ФЕР-2001, 10-01-034-06,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</si>
  <si>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</si>
  <si>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</si>
  <si>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</si>
  <si>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</si>
  <si>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</si>
  <si>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2,1</t>
  </si>
  <si>
    <t>11.3.02.01-0019</t>
  </si>
  <si>
    <t>Блок оконный пластиковый двустворчатый, с глухой и поворотно-откидной створкой, двухкамерным стеклопакетом (42 мм), площадью до 3,5 м2</t>
  </si>
  <si>
    <t>м2</t>
  </si>
  <si>
    <t>ФССЦ-2001, 11.3.02.01-0019, приказ Минстроя России №1039/пр от 30.12.2016г.</t>
  </si>
  <si>
    <t>3</t>
  </si>
  <si>
    <t>10-01-035-03</t>
  </si>
  <si>
    <t>Установка подоконных досок из ПВХ в каменных стенах толщиной свыше 0,51 м</t>
  </si>
  <si>
    <t>100 м</t>
  </si>
  <si>
    <t>ФЕР-2001, 10-01-035-03, приказ Минстроя России №1039/пр от 30.12.2016г.</t>
  </si>
  <si>
    <t>3,1</t>
  </si>
  <si>
    <t>11.3.03.01-0004</t>
  </si>
  <si>
    <t>Доски подоконные ПВХ, шириной 250 мм</t>
  </si>
  <si>
    <t>м</t>
  </si>
  <si>
    <t>ФССЦ-2001, 11.3.03.01-0004, приказ Минстроя России №1039/пр от 30.12.2016г.</t>
  </si>
  <si>
    <t>4</t>
  </si>
  <si>
    <t>15-01-050-04</t>
  </si>
  <si>
    <t>Облицовка оконных и дверных откосов декоративным бумажно-слоистым пластиком или листами из синтетических материалов на клее</t>
  </si>
  <si>
    <t>ФЕР-2001, 15-01-050-04, приказ Минстроя России №1039/пр от 30.12.2016г.</t>
  </si>
  <si>
    <t>Отделочные работы</t>
  </si>
  <si>
    <t>ФЕР-15</t>
  </si>
  <si>
    <t>4,1</t>
  </si>
  <si>
    <t>11.3.03.05-0011</t>
  </si>
  <si>
    <t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t>
  </si>
  <si>
    <t>ФССЦ-2001, 11.3.03.05-0011, приказ Минстроя России №1039/пр от 30.12.2016г.</t>
  </si>
  <si>
    <t>4,2</t>
  </si>
  <si>
    <t>14.1.02.04-0102</t>
  </si>
  <si>
    <t>Клей Forbo 522, для укладки ПВХ-покрытий</t>
  </si>
  <si>
    <t>кг</t>
  </si>
  <si>
    <t>ФССЦ-2001, 14.1.02.04-0102, приказ Минстроя России №1039/пр от 30.12.2016г.</t>
  </si>
  <si>
    <t>4,3</t>
  </si>
  <si>
    <t>14.3.01.02-0102</t>
  </si>
  <si>
    <t>Грунтовка: водно-дисперсионная "БИРСС Бетон-контакт"</t>
  </si>
  <si>
    <t>т</t>
  </si>
  <si>
    <t>ФССЦ-2001, 14.3.01.02-0102, приказ Минстроя России №1039/пр от 30.12.2016г.</t>
  </si>
  <si>
    <t>5</t>
  </si>
  <si>
    <t>10-01-036-01</t>
  </si>
  <si>
    <t>Установка уголков ПВХ на клее</t>
  </si>
  <si>
    <t>ФЕР-2001, 10-01-036-01, приказ Минстроя России №1039/пр от 30.12.2016г.</t>
  </si>
  <si>
    <t>5,1</t>
  </si>
  <si>
    <t>11.3.03.13-0045</t>
  </si>
  <si>
    <t>Уголок ПВХ, размером 30х30 мм</t>
  </si>
  <si>
    <t>10 м</t>
  </si>
  <si>
    <t>ФССЦ-2001, 11.3.03.13-0045, приказ Минстроя России №1039/пр от 30.12.2016г.</t>
  </si>
  <si>
    <t>6</t>
  </si>
  <si>
    <t>09-06-001-02</t>
  </si>
  <si>
    <t>Демонтаж лотков, решеток, затворов из полосовой и тонколистовой стали</t>
  </si>
  <si>
    <t>ФЕР-2001, 09-06-001-02, приказ Минстроя России №1039/пр от 30.12.2016г.</t>
  </si>
  <si>
    <t>Поправка: МДС 81-36.2004, п.3.3.1.д  Наименование: При демонтаже металлических конструкций</t>
  </si>
  <si>
    <t>)*0</t>
  </si>
  <si>
    <t>)*0,7</t>
  </si>
  <si>
    <t>Металлические конструкции</t>
  </si>
  <si>
    <t>ФЕР-09</t>
  </si>
  <si>
    <t>Поправка: МДС 81-36.2004, п.3.3.1.д</t>
  </si>
  <si>
    <t>7</t>
  </si>
  <si>
    <t>58-20-1</t>
  </si>
  <si>
    <t>Смена обделок из листовой стали (поясков, сандриков, отливов, карнизов) шириной до 0,4 м</t>
  </si>
  <si>
    <t>ФЕРр-2001, 58-20-1, приказ Минстроя России №1039/пр от 30.12.2016г.</t>
  </si>
  <si>
    <t>Ремонтно-строительные работы</t>
  </si>
  <si>
    <t>Крыши, кровля</t>
  </si>
  <si>
    <t>рФЕР-58</t>
  </si>
  <si>
    <t>7,1</t>
  </si>
  <si>
    <t>08.3.05.05</t>
  </si>
  <si>
    <t>Сталь листовая оцинкованная</t>
  </si>
  <si>
    <t>7,2</t>
  </si>
  <si>
    <t>08.1.02.03-0021</t>
  </si>
  <si>
    <t>Водоотлив оконный шириной планки 200 мм из оцинкованной стали с полимерным покрытием прим.</t>
  </si>
  <si>
    <t>П.М</t>
  </si>
  <si>
    <t>ФССЦ-2001, 08.1.02.03-0021, приказ Минстроя России №1039/пр от 30.12.2016г.</t>
  </si>
  <si>
    <t>8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</si>
  <si>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</si>
  <si>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</si>
  <si>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</si>
  <si>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9</t>
  </si>
  <si>
    <t>57-2-3</t>
  </si>
  <si>
    <t>Разборка покрытий полов из керамических плиток</t>
  </si>
  <si>
    <t>ФЕРр-2001, 57-2-3, приказ Минстроя России №1039/пр от 30.12.2016г.</t>
  </si>
  <si>
    <t>Полы</t>
  </si>
  <si>
    <t>рФЕР-57</t>
  </si>
  <si>
    <t>10</t>
  </si>
  <si>
    <t>57-2-2</t>
  </si>
  <si>
    <t>Разборка покрытий полов из плиток поливинилхлоридных</t>
  </si>
  <si>
    <t>ФЕРр-2001, 57-2-2, приказ Минстроя России №1039/пр от 30.12.2016г.</t>
  </si>
  <si>
    <t>Поправка: МДС 81-35.2004, п.4.9</t>
  </si>
  <si>
    <t>11</t>
  </si>
  <si>
    <t>57-3-2</t>
  </si>
  <si>
    <t>Разборка плинтусов цементных и из керамической плитки</t>
  </si>
  <si>
    <t>ФЕРр-2001, 57-3-2, приказ Минстроя России №1039/пр от 30.12.2016г.</t>
  </si>
  <si>
    <t>12</t>
  </si>
  <si>
    <t>11-01-011-01</t>
  </si>
  <si>
    <t>Устройство стяжек цементных толщиной 20 мм</t>
  </si>
  <si>
    <t>ФЕР-2001, 11-01-011-01, приказ Минстроя России №1039/пр от 30.12.2016г.</t>
  </si>
  <si>
    <t>ФЕР-11</t>
  </si>
  <si>
    <t>12,1</t>
  </si>
  <si>
    <t>04.3.01.09-0015</t>
  </si>
  <si>
    <t>Раствор готовый кладочный цементный марки 150</t>
  </si>
  <si>
    <t>м3</t>
  </si>
  <si>
    <t>ФССЦ-2001, 04.3.01.09-0015, приказ Минстроя России №1039/пр от 30.12.2016г.</t>
  </si>
  <si>
    <t>13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</si>
  <si>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</si>
  <si>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</si>
  <si>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</si>
  <si>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14</t>
  </si>
  <si>
    <t>11-01-047-01</t>
  </si>
  <si>
    <t>Устройство покрытий из плит керамогранитных размером 40х40 см</t>
  </si>
  <si>
    <t>ФЕР-2001, 11-01-047-01, приказ Минстроя России №1039/пр от 30.12.2016г.</t>
  </si>
  <si>
    <t>14,1</t>
  </si>
  <si>
    <t>14.4.01.02-0113</t>
  </si>
  <si>
    <t>Грунтовка акриловая НОРТЕКС-ГРУНТ</t>
  </si>
  <si>
    <t>ФССЦ-2001, 14.4.01.02-0113, приказ Минстроя России №1039/пр от 30.12.2016г.</t>
  </si>
  <si>
    <t>14,2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</si>
  <si>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</si>
  <si>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</si>
  <si>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</si>
  <si>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14,3</t>
  </si>
  <si>
    <t>06.2.05.03-0047</t>
  </si>
  <si>
    <t>Плитки керамогранитные размером 300х300х8 мм</t>
  </si>
  <si>
    <t>ФССЦ-2001, 06.2.05.03-0047, приказ Минстроя России №1039/пр от 30.12.2016г.</t>
  </si>
  <si>
    <t>15</t>
  </si>
  <si>
    <t>15-04-006-03</t>
  </si>
  <si>
    <t>Покрытие поверхностей грунтовкой глубокого проникновения за 1 раз стен</t>
  </si>
  <si>
    <t>ФЕР-2001, 15-04-006-03, приказ Минстроя России №1039/пр от 30.12.2016г.</t>
  </si>
  <si>
    <t>15,1</t>
  </si>
  <si>
    <t>14.4.01.21</t>
  </si>
  <si>
    <t>Грунтовка</t>
  </si>
  <si>
    <t>15,2</t>
  </si>
  <si>
    <t>14.4.01.04-0001</t>
  </si>
  <si>
    <t>Грунтовка для внутренних работ ВАК-01-У</t>
  </si>
  <si>
    <t>ФССЦ-2001, 14.4.01.04-0001, приказ Минстроя России №1039/пр от 30.12.2016г.</t>
  </si>
  <si>
    <t>16</t>
  </si>
  <si>
    <t>63-7-5</t>
  </si>
  <si>
    <t>Разборка облицовки стен из керамических глазурованных плиток</t>
  </si>
  <si>
    <t>ФЕРр-2001, 63-7-5, приказ Минстроя России №1039/пр от 30.12.2016г.</t>
  </si>
  <si>
    <t>Стекольные, обойные, облицовочные работы</t>
  </si>
  <si>
    <t>рФЕР-63</t>
  </si>
  <si>
    <t>17</t>
  </si>
  <si>
    <t>15-01-019-05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</si>
  <si>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t>
  </si>
  <si>
    <t>ФЕР-2001, 15-01-019-05, приказ Минстроя России №1039/пр от 30.12.2016г.</t>
  </si>
  <si>
    <t>17,1</t>
  </si>
  <si>
    <t>04.3.02.09-0741</t>
  </si>
  <si>
    <t>Смесь сухая (фуга) АТЛАС разных цветов для заделки швов водостойкая</t>
  </si>
  <si>
    <t>ФССЦ-2001, 04.3.02.09-0741, приказ Минстроя России №1039/пр от 30.12.2016г.</t>
  </si>
  <si>
    <t>17,2</t>
  </si>
  <si>
    <t>06.2.01.02-0030</t>
  </si>
  <si>
    <t>Плитки керамические глазурованные для внутренней облицовки стен многоцветные, "Итало-дизайн" (коллекция "Палермо"-эконом класс), размер 300х200х7 мм</t>
  </si>
  <si>
    <t>ФССЦ-2001, 06.2.01.02-0030, приказ Минстроя России №1039/пр от 30.12.2016г.</t>
  </si>
  <si>
    <t>17,3</t>
  </si>
  <si>
    <t>14.1.06.02-0002</t>
  </si>
  <si>
    <t>Клей для плитки "Атлас Плюс" (сухая смесь)</t>
  </si>
  <si>
    <t>ФССЦ-2001, 14.1.06.02-0002, приказ Минстроя России №1039/пр от 30.12.2016г.</t>
  </si>
  <si>
    <t>18</t>
  </si>
  <si>
    <t>61-2-3</t>
  </si>
  <si>
    <t>Ремонт штукатурки внутренних стен по камню известковым раствором площадью отдельных мест до 10 м2 толщиной слоя до 20 мм</t>
  </si>
  <si>
    <t>ФЕРр-2001, 61-2-3, приказ Минстроя России №1039/пр от 30.12.2016г.</t>
  </si>
  <si>
    <t>Штукатрурные работы</t>
  </si>
  <si>
    <t>рФЕР-61</t>
  </si>
  <si>
    <t>19</t>
  </si>
  <si>
    <t>62-16-4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</si>
  <si>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</si>
  <si>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ФЕРр-2001, 62-16-4, приказ Минстроя России №1039/пр от 30.12.2016г.</t>
  </si>
  <si>
    <t>Малярные работы</t>
  </si>
  <si>
    <t>рФЕР-62</t>
  </si>
  <si>
    <t>19,1</t>
  </si>
  <si>
    <t>14.3.02.01-0015</t>
  </si>
  <si>
    <t>Краска акриловая  водно-дисперсионная ВД ОРЕОЛ</t>
  </si>
  <si>
    <t>ФССЦ-2001, 14.3.02.01-0015, приказ Минстроя России №1039/пр от 30.12.2016г.</t>
  </si>
  <si>
    <t>20</t>
  </si>
  <si>
    <t>62-33-2</t>
  </si>
  <si>
    <t>Окраска масляными составами ранее окрашенных поверхностей радиаторов и ребристых труб отопления за 2 раза</t>
  </si>
  <si>
    <t>ФЕРр-2001, 62-33-2, приказ Минстроя России №1039/пр от 30.12.2016г.</t>
  </si>
  <si>
    <t>20,1</t>
  </si>
  <si>
    <t>14.4.02.04-0152</t>
  </si>
  <si>
    <t>Краски масляные и алкидные белила густотертые литопонные МА-025</t>
  </si>
  <si>
    <t>ФССЦ-2001, 14.4.02.04-0152, приказ Минстроя России №1039/пр от 30.12.2016г.</t>
  </si>
  <si>
    <t>21</t>
  </si>
  <si>
    <t>10-04-014-01</t>
  </si>
  <si>
    <t>Демонтаж:Устройство сантехнических перегородок (стандартные туалетные кабины) на каркасе из алюминиевого профиля</t>
  </si>
  <si>
    <t>ФЕР-2001, 10-04-014-01, приказ Минстроя России №886/пр от 15.06.2017</t>
  </si>
  <si>
    <t>)*0,8</t>
  </si>
  <si>
    <t>Поправка: МДС 81-35.2004, п.4.7  Поправка: Табл.2, п.2</t>
  </si>
  <si>
    <t>22</t>
  </si>
  <si>
    <t>Устройство сантехнических перегородок (стандартные туалетные кабины) на каркасе из алюминиевого профиля</t>
  </si>
  <si>
    <t>22,1</t>
  </si>
  <si>
    <t>11.2.02.09-0002</t>
  </si>
  <si>
    <t>Полотна для блоков дверных внутренних, полотно глухое высотой 2000 мм ПВГ 20-6, площадь 1,2 м2</t>
  </si>
  <si>
    <t>ФССЦ-2001, 11.2.02.09-0002, приказ Минстроя России №1039/пр от 30.12.2016г.</t>
  </si>
  <si>
    <t>22,2</t>
  </si>
  <si>
    <t>01.7.04.11-0021</t>
  </si>
  <si>
    <t>Приборы дверные в перегородках санузлов</t>
  </si>
  <si>
    <t>компл.</t>
  </si>
  <si>
    <t>ФССЦ-2001, 01.7.04.11-0021, приказ Минстроя России №1039/пр от 30.12.2016г.</t>
  </si>
  <si>
    <t>23</t>
  </si>
  <si>
    <t>46-03-001-14</t>
  </si>
  <si>
    <t>Сверление установками алмазного бурения в железобетонных конструкциях вертикальных отверстий глубиной 200 мм диаметром 125 мм</t>
  </si>
  <si>
    <t>100 ШТ</t>
  </si>
  <si>
    <t>ФЕР-2001, 46-03-001-14, приказ Минстроя России №1039/пр от 30.12.2016г.</t>
  </si>
  <si>
    <t>24</t>
  </si>
  <si>
    <t>46-03-001-30</t>
  </si>
  <si>
    <t>На каждые 10 мм изменения глубины сверления добавляется или исключается к расценке 46-03-001-14</t>
  </si>
  <si>
    <t>ФЕР-2001, 46-03-001-30, приказ Минстроя России №1039/пр от 30.12.2016г.</t>
  </si>
  <si>
    <t>*15</t>
  </si>
  <si>
    <t>25</t>
  </si>
  <si>
    <t>46-03-017-05</t>
  </si>
  <si>
    <t>Заделка отверстий, гнезд и борозд в стенах и перегородках бетонных площадью до 0,1 м2</t>
  </si>
  <si>
    <t>ФЕР-2001, 46-03-017-05, приказ Минстроя России №1039/пр от 30.12.2016г.</t>
  </si>
  <si>
    <t>25,1</t>
  </si>
  <si>
    <t>04.3.01.09-0022</t>
  </si>
  <si>
    <t>Раствор готовый отделочный тяжелый, цементный 1:2</t>
  </si>
  <si>
    <t>ФССЦ-2001, 04.3.01.09-0022, приказ Минстроя России №1039/пр от 30.12.2016г.</t>
  </si>
  <si>
    <t>26</t>
  </si>
  <si>
    <t>46-03-014-01</t>
  </si>
  <si>
    <t>Сверление вертикальных отверстий в железобетонных конструкциях полов перфоратором глубиной 200 мм диаметром 20 мм</t>
  </si>
  <si>
    <t>ФЕР-2001, 46-03-014-01, приказ Минстроя России №1039/пр от 30.12.2016г.</t>
  </si>
  <si>
    <t>27</t>
  </si>
  <si>
    <t>06-01-015-01</t>
  </si>
  <si>
    <t>Установка анкерных болтов в готовые гнезда с заделкой длиной до 1 м</t>
  </si>
  <si>
    <t>ФЕР-2001, 06-01-015-01, приказ Минстроя России №1039/пр от 30.12.2016г.</t>
  </si>
  <si>
    <t>Монолитные бетонные и железобетонные конструкции в промышленном строительстве</t>
  </si>
  <si>
    <t>ФЕР-06</t>
  </si>
  <si>
    <t>28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</si>
  <si>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</si>
  <si>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</si>
  <si>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</si>
  <si>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</si>
  <si>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</si>
  <si>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</si>
  <si>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</si>
  <si>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29</t>
  </si>
  <si>
    <t>т03-02-01-008</t>
  </si>
  <si>
    <t>Перевозка грузов I класса автомобилями бортовыми грузоподъемностью до 5 т на расстояние до 8 км</t>
  </si>
  <si>
    <t>ФССЦпг-2001, т03-02-01-008,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</si>
  <si>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</si>
  <si>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</si>
  <si>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</si>
  <si>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30</t>
  </si>
  <si>
    <t>м08-03-594-15</t>
  </si>
  <si>
    <t>Светильник в подвесных потолках, устанавливаемый на профиле</t>
  </si>
  <si>
    <t>ФЕРм-2001, м08-03-594-15, приказ Минстроя России №1039/пр от 30.12.2016г.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</si>
  <si>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</si>
  <si>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</si>
  <si>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</si>
  <si>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30,1</t>
  </si>
  <si>
    <t>20.3.03.04-0055</t>
  </si>
  <si>
    <t>Светильник светодиодный потолочный ДВО 36Вт 6500К 3000Лм размером 595х595х25 мм</t>
  </si>
  <si>
    <t>шт.</t>
  </si>
  <si>
    <t>ФССЦ-2001, 20.3.03.04-0055, приказ Минстроя России №1039/пр от 30.12.2016г.</t>
  </si>
  <si>
    <t>31</t>
  </si>
  <si>
    <t>65-2-2</t>
  </si>
  <si>
    <t>Разборка трубопроводов из чугунных канализационных труб диаметром 100 мм</t>
  </si>
  <si>
    <t>ФЕРр-2001, 65-2-2, приказ Минстроя России №1039/пр от 30.12.2016г.</t>
  </si>
  <si>
    <t>Внтуренниие с/техработы:  демонтаж, разборка, промывка</t>
  </si>
  <si>
    <t>рФЕР-65</t>
  </si>
  <si>
    <t>32</t>
  </si>
  <si>
    <t>16-04-001-02</t>
  </si>
  <si>
    <t>Прокладка трубопроводов канализации из полиэтиленовых труб высокой плотности диаметром 110 мм</t>
  </si>
  <si>
    <t>ФЕР-2001, 16-04-001-02, приказ Минстроя России №1039/пр от 30.12.2016г.</t>
  </si>
  <si>
    <t>Трубопроводы внутренние</t>
  </si>
  <si>
    <t>ФЕР-16</t>
  </si>
  <si>
    <t>32,1</t>
  </si>
  <si>
    <t>24.3.03.02-0002</t>
  </si>
  <si>
    <t>Трубопроводы канализации из полиэтиленовых труб высокой плотности с гильзами, диаметром 110 мм</t>
  </si>
  <si>
    <t>ФССЦ-2001, 24.3.03.02-0002, приказ Минстроя России №1039/пр от 30.12.2016г.</t>
  </si>
  <si>
    <t>33</t>
  </si>
  <si>
    <t>65-4-2</t>
  </si>
  <si>
    <t>Демонтаж унитазов и писсуаров</t>
  </si>
  <si>
    <t>ФЕРр-2001, 65-4-2, приказ Минстроя России №1039/пр от 30.12.2016г.</t>
  </si>
  <si>
    <t>34</t>
  </si>
  <si>
    <t>65-4-1</t>
  </si>
  <si>
    <t>Демонтаж умывальников и раковин</t>
  </si>
  <si>
    <t>ФЕРр-2001, 65-4-1, приказ Минстроя России №1039/пр от 30.12.2016г.</t>
  </si>
  <si>
    <t>35</t>
  </si>
  <si>
    <t>17-01-003-01</t>
  </si>
  <si>
    <t>Установка унитазов с бачком непосредственно присоединенным</t>
  </si>
  <si>
    <t>10 компл</t>
  </si>
  <si>
    <t>ФЕР-2001, 17-01-003-01, приказ Минстроя России №1039/пр от 30.12.2016г.</t>
  </si>
  <si>
    <t>Водопровод и канализация - внутренние устройства</t>
  </si>
  <si>
    <t>ФЕР-17</t>
  </si>
  <si>
    <t>35,1</t>
  </si>
  <si>
    <t>18.2.01.06-0031</t>
  </si>
  <si>
    <t>Унитазы полуфарфоровые и фарфоровые УНВЦ воронкообразные с сиденьем и креплением, с цельноотлитой полочкой</t>
  </si>
  <si>
    <t>ФССЦ-2001, 18.2.01.06-0031, приказ Минстроя России №1039/пр от 30.12.2016г.</t>
  </si>
  <si>
    <t>Внтуренниие с/техработы: смена труб</t>
  </si>
  <si>
    <t>35,2</t>
  </si>
  <si>
    <t>18.2.06.01-0002</t>
  </si>
  <si>
    <t>Бачки смывные полуфарфоровые и фарфоровые с арматурой непосредственно устанавливаемые на унитазы</t>
  </si>
  <si>
    <t>ФССЦ-2001, 18.2.06.01-0002, приказ Минстроя России №1039/пр от 30.12.2016г.</t>
  </si>
  <si>
    <t>35,3</t>
  </si>
  <si>
    <t>01.7.19.03-0001</t>
  </si>
  <si>
    <t>Манжета резиновая канализационная для унитаза диаметром 110 мм</t>
  </si>
  <si>
    <t>ФССЦ-2001, 01.7.19.03-0001, приказ Минстроя России №1039/пр от 30.12.2016г.</t>
  </si>
  <si>
    <t>36</t>
  </si>
  <si>
    <t>17-01-001-16</t>
  </si>
  <si>
    <t>Установка биде</t>
  </si>
  <si>
    <t>ФЕР-2001, 17-01-001-16, приказ Минстроя России №1039/пр от 30.12.2016г.</t>
  </si>
  <si>
    <t>36,1</t>
  </si>
  <si>
    <t>18.2.01.01-0001</t>
  </si>
  <si>
    <t>Биде полуфарфоровые со смесителем, выпуском и сифоном, размером 600х350х348, 640х350х380 мм</t>
  </si>
  <si>
    <t>ФССЦ-2001, 18.2.01.01-0001, приказ Минстроя России №1039/пр от 30.12.2016г.</t>
  </si>
  <si>
    <t>36,2</t>
  </si>
  <si>
    <t>18.2.06.12</t>
  </si>
  <si>
    <t>Приборы санитарно-технические</t>
  </si>
  <si>
    <t>37</t>
  </si>
  <si>
    <t>17-01-001-14</t>
  </si>
  <si>
    <t>Установка умывальников одиночных с подводкой холодной и горячей воды</t>
  </si>
  <si>
    <t>ФЕР-2001, 17-01-001-14, приказ Минстроя России №1039/пр от 30.12.2016г.</t>
  </si>
  <si>
    <t>37,1</t>
  </si>
  <si>
    <t>18.2.01.05-0003</t>
  </si>
  <si>
    <t>Умывальники полуфарфоровые и фарфоровые с краном настольным, кронштейнами, сифоном бутылочным латунным и выпуском, овальные с выступающими установочными поверхностями без спинки размером 550х500х150 мм</t>
  </si>
  <si>
    <t>ФССЦ-2001, 18.2.01.05-0003, приказ Минстроя России №1039/пр от 30.12.2016г.</t>
  </si>
  <si>
    <t>37,2</t>
  </si>
  <si>
    <t>38</t>
  </si>
  <si>
    <t>65-1-1</t>
  </si>
  <si>
    <t>Разборка трубопроводов из водогазопроводных труб диаметром до 32 мм</t>
  </si>
  <si>
    <t>ФЕРр-2001, 65-1-1, приказ Минстроя России №1039/пр от 30.12.2016г.</t>
  </si>
  <si>
    <t>Поправка: МДС 81-36.2004, прил.3, п.3р</t>
  </si>
  <si>
    <t>39</t>
  </si>
  <si>
    <t>16-04-005-01</t>
  </si>
  <si>
    <t>Прокладка внутренних трубопроводов водоснабжения и отопления из полипропиленовых труб 20 мм</t>
  </si>
  <si>
    <t>ФЕР-2001, 16-04-005-01, приказ Минстроя России №886/пр от 15.06.2017</t>
  </si>
  <si>
    <t>39,1</t>
  </si>
  <si>
    <t>24.1.02.01-0113</t>
  </si>
  <si>
    <t>Хомуты для крепления труб</t>
  </si>
  <si>
    <t>ФССЦ-2001, 24.1.02.01-0113, приказ Минстроя России №1039/пр от 30.12.2016г.</t>
  </si>
  <si>
    <t>39,2</t>
  </si>
  <si>
    <t>24.3.02.01-0002</t>
  </si>
  <si>
    <t>Трубопроводы напорные из полипропилена PPRS с гильзами и креплениями для холодного и горячего водоснабжения PN10 SDR 11, диаметром 20 мм, толщина стенки 1,9 мм</t>
  </si>
  <si>
    <t>ФССЦ-2001, 24.3.02.01-0002, приказ Минстроя России №1039/пр от 30.12.2016г.</t>
  </si>
  <si>
    <t>40</t>
  </si>
  <si>
    <t>16-04-004-02</t>
  </si>
  <si>
    <t>Прокладка внутренних трубопроводов канализации из полипропиленовых труб диаметром 110 мм</t>
  </si>
  <si>
    <t>ФЕР-2001, 16-04-004-02, приказ Минстроя России №1039/пр от 30.12.2016г.</t>
  </si>
  <si>
    <t>40,1</t>
  </si>
  <si>
    <t>24.3.02.02-0004</t>
  </si>
  <si>
    <t>Трубы безнапорные канализационные из полипропилена, диаметром 110 мм</t>
  </si>
  <si>
    <t>ФССЦ-2001, 24.3.02.02-0004, приказ Минстроя России №1039/пр от 30.12.2016г.</t>
  </si>
  <si>
    <t>40,2</t>
  </si>
  <si>
    <t>24.3.02.02</t>
  </si>
  <si>
    <t>Трубы безнапорные канализационные из полипропилена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</si>
  <si>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</si>
  <si>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</si>
  <si>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</si>
  <si>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</si>
  <si>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</si>
  <si>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</si>
  <si>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</si>
  <si>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</si>
  <si>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</si>
  <si>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</si>
  <si>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</si>
  <si>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</si>
  <si>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</si>
  <si>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</si>
  <si>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</si>
  <si>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</si>
  <si>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</si>
  <si>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</si>
  <si>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</si>
  <si>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</si>
  <si>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</si>
  <si>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</si>
  <si>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</si>
  <si>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</si>
  <si>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</si>
  <si>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</si>
  <si>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</si>
  <si>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</si>
  <si>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</si>
  <si>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</si>
  <si>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</si>
  <si>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</si>
  <si>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</si>
  <si>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</si>
  <si>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</si>
  <si>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</si>
  <si>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</si>
  <si>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</si>
  <si>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</si>
  <si>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</si>
  <si>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</si>
  <si>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</si>
  <si>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</si>
  <si>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</si>
  <si>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</si>
  <si>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</si>
  <si>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</si>
  <si>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</si>
  <si>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</si>
  <si>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</si>
  <si>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</si>
  <si>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</si>
  <si>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Итог1</t>
  </si>
  <si>
    <t>Итог2</t>
  </si>
  <si>
    <t>НДС 18%</t>
  </si>
  <si>
    <t>Итог3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</si>
  <si>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</si>
  <si>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</si>
  <si>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</si>
  <si>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</si>
  <si>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</si>
  <si>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</si>
  <si>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</si>
  <si>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</si>
  <si>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</si>
  <si>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</si>
  <si>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</si>
  <si>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</si>
  <si>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</si>
  <si>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</si>
  <si>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</si>
  <si>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</si>
  <si>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</si>
  <si>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</si>
  <si>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</si>
  <si>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</si>
  <si>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</si>
  <si>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</si>
  <si>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</si>
  <si>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</si>
  <si>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</si>
  <si>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</si>
  <si>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</si>
  <si>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</si>
  <si>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</si>
  <si>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</si>
  <si>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</si>
  <si>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</si>
  <si>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</si>
  <si>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</si>
  <si>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</si>
  <si>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</si>
  <si>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</si>
  <si>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</si>
  <si>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</si>
  <si>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</si>
  <si>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</si>
  <si>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</si>
  <si>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</si>
  <si>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</si>
  <si>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</si>
  <si>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</si>
  <si>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</si>
  <si>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</si>
  <si>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</si>
  <si>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</si>
  <si>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</si>
  <si>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</si>
  <si>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</si>
  <si>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</si>
  <si>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</si>
  <si>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</si>
  <si>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</si>
  <si>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</si>
  <si>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</si>
  <si>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</si>
  <si>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</si>
  <si>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</si>
  <si>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</si>
  <si>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</si>
  <si>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</si>
  <si>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</si>
  <si>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</si>
  <si>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</si>
  <si>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</si>
  <si>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</si>
  <si>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</si>
  <si>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</si>
  <si>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</si>
  <si>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</si>
  <si>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</si>
  <si>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</si>
  <si>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</si>
  <si>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</si>
  <si>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</si>
  <si>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</si>
  <si>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</si>
  <si>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</si>
  <si>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</si>
  <si>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</si>
  <si>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</si>
  <si>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</si>
  <si>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</si>
  <si>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</si>
  <si>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</si>
  <si>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</si>
  <si>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</si>
  <si>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</si>
  <si>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</si>
  <si>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</si>
  <si>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</si>
  <si>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</si>
  <si>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</si>
  <si>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</si>
  <si>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</si>
  <si>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</si>
  <si>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1-100-30</t>
  </si>
  <si>
    <t>Рабочий среднего разряда 3</t>
  </si>
  <si>
    <t>1-100-36</t>
  </si>
  <si>
    <t>Рабочий среднего разряда 3.6</t>
  </si>
  <si>
    <t>01.7.20.08-0051</t>
  </si>
  <si>
    <t>ФССЦ-2001, 01.7.20.08-0051, приказ Минстроя России №1039/пр от 30.12.2016г.</t>
  </si>
  <si>
    <t>Ветошь</t>
  </si>
  <si>
    <t>14.1.04.02-0011</t>
  </si>
  <si>
    <t>ФССЦ-2001, 14.1.04.02-0011, приказ Минстроя России №1039/пр от 30.12.2016г.</t>
  </si>
  <si>
    <t>Клей резиновый № 88-Н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</si>
  <si>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</si>
  <si>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</si>
  <si>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</si>
  <si>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</si>
  <si>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</si>
  <si>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</si>
  <si>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</si>
  <si>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</si>
  <si>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</si>
  <si>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</si>
  <si>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</si>
  <si>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</si>
  <si>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</si>
  <si>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</si>
  <si>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</si>
  <si>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</si>
  <si>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</si>
  <si>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</si>
  <si>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</si>
  <si>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</si>
  <si>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</si>
  <si>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</si>
  <si>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</si>
  <si>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</si>
  <si>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01.7.15.06-0111</t>
  </si>
  <si>
    <t>ФССЦ-2001, 01.7.15.06-0111, приказ Минстроя России №1039/пр от 30.12.2016г.</t>
  </si>
  <si>
    <t>Гвозди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</si>
  <si>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</si>
  <si>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</si>
  <si>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</si>
  <si>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</si>
  <si>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</si>
  <si>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</si>
  <si>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</si>
  <si>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</si>
  <si>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</si>
  <si>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</si>
  <si>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</si>
  <si>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</si>
  <si>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</si>
  <si>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</si>
  <si>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</si>
  <si>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</si>
  <si>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</si>
  <si>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</si>
  <si>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08.3.03.05-0001</t>
  </si>
  <si>
    <t>ФССЦ-2001, 08.3.03.05-0001, приказ Минстроя России №1039/пр от 30.12.2016г.</t>
  </si>
  <si>
    <t>Проволока канатная оцинкованная, диаметром 2,6 мм</t>
  </si>
  <si>
    <t>1-100-38</t>
  </si>
  <si>
    <t>Рабочий среднего разряда 3.8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</si>
  <si>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</si>
  <si>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</si>
  <si>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</si>
  <si>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1-100-20</t>
  </si>
  <si>
    <t>Рабочий среднего разряда 2</t>
  </si>
  <si>
    <t>1-100-22</t>
  </si>
  <si>
    <t>Рабочий среднего разряда 2.2</t>
  </si>
  <si>
    <t>91.07.04-002</t>
  </si>
  <si>
    <t>ФСЭМ-2001, 91.07.04-002, приказ Минстроя России №1039/пр от 30.12.2016г.</t>
  </si>
  <si>
    <t>Вибратор поверхностный</t>
  </si>
  <si>
    <t>01.7.03.01-0001</t>
  </si>
  <si>
    <t>ФССЦ-2001, 01.7.03.01-0001, приказ Минстроя России №1039/пр от 30.12.2016г.</t>
  </si>
  <si>
    <t>Вода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</si>
  <si>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</si>
  <si>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</si>
  <si>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</si>
  <si>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</si>
  <si>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</si>
  <si>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</si>
  <si>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</si>
  <si>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</si>
  <si>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</si>
  <si>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</si>
  <si>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</si>
  <si>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</si>
  <si>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</si>
  <si>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</si>
  <si>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</si>
  <si>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</si>
  <si>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</si>
  <si>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</si>
  <si>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</si>
  <si>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</si>
  <si>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</si>
  <si>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1-100-40</t>
  </si>
  <si>
    <t>Рабочий среднего разряда 4</t>
  </si>
  <si>
    <t>1-100-21</t>
  </si>
  <si>
    <t>Рабочий среднего разряда 2.1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</si>
  <si>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</si>
  <si>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</si>
  <si>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</si>
  <si>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</si>
  <si>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</si>
  <si>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</si>
  <si>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</si>
  <si>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</si>
  <si>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</si>
  <si>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1-100-33</t>
  </si>
  <si>
    <t>Рабочий среднего разряда 3.3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</si>
  <si>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</si>
  <si>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</si>
  <si>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</si>
  <si>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</si>
  <si>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</si>
  <si>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</si>
  <si>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</si>
  <si>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</si>
  <si>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</si>
  <si>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</si>
  <si>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</si>
  <si>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</si>
  <si>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</si>
  <si>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</si>
  <si>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</si>
  <si>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</si>
  <si>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</si>
  <si>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</si>
  <si>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</si>
  <si>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</si>
  <si>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14.5.11.01-0001</t>
  </si>
  <si>
    <t>ФССЦ-2001, 14.5.11.01-0001, приказ Минстроя России №1039/пр от 30.12.2016г.</t>
  </si>
  <si>
    <t>Шпатлевка клеевая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</si>
  <si>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</si>
  <si>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</si>
  <si>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</si>
  <si>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09.3.04.03-0001</t>
  </si>
  <si>
    <t>ФССЦ-2001, 09.3.04.03-0001, приказ Минстроя России №1039/пр от 30.12.2016г.</t>
  </si>
  <si>
    <t>Перегородки на алюминиевом каркасе комбинированные (стекло прозрачное 5 мм и ГКЛ с виниловым покрытием)</t>
  </si>
  <si>
    <t>91.21.20-013</t>
  </si>
  <si>
    <t>ФСЭМ-2001, 91.21.20-013, приказ Минстроя России №1039/пр от 30.12.2016г.</t>
  </si>
  <si>
    <t>Установки для сверления отверстий в железобетоне диаметром до 160 мм</t>
  </si>
  <si>
    <t>01.7.17.09-0075</t>
  </si>
  <si>
    <t>ФССЦ-2001, 01.7.17.09-0075, приказ Минстроя России №1039/пр от 30.12.2016г.</t>
  </si>
  <si>
    <t>Сверла кольцевые алмазные диаметром 125 мм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</si>
  <si>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</si>
  <si>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</si>
  <si>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</si>
  <si>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03.1.02.03-0011</t>
  </si>
  <si>
    <t>ФССЦ-2001, 03.1.02.03-0011, приказ Минстроя России №1039/пр от 30.12.2016г.</t>
  </si>
  <si>
    <t>Известь строительная негашеная комовая, сорт I</t>
  </si>
  <si>
    <t>11.1.03.01-0079</t>
  </si>
  <si>
    <t>ФССЦ-2001, 11.1.03.01-0079, приказ Минстроя России №1039/пр от 30.12.2016г.</t>
  </si>
  <si>
    <t>Бруски обрезные хвойных пород длиной 4-6,5 м, шириной 75-150 мм, толщиной 40-75 мм, III сорта</t>
  </si>
  <si>
    <t>11.1.03.06-0091</t>
  </si>
  <si>
    <t>ФССЦ-2001, 11.1.03.06-0091, приказ Минстроя России №1039/пр от 30.12.2016г.</t>
  </si>
  <si>
    <t>Доски обрезные хвойных пород длиной 4-6,5 м, шириной 75-150 мм, толщиной 32-40 мм, III сорта</t>
  </si>
  <si>
    <t>08.4.01.01-0022</t>
  </si>
  <si>
    <t>ФССЦ-2001, 08.4.01.01-0022, приказ Минстроя России №1039/пр от 30.12.2016г.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</si>
  <si>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</si>
  <si>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</si>
  <si>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</si>
  <si>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</si>
  <si>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</si>
  <si>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</si>
  <si>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</si>
  <si>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</si>
  <si>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</si>
  <si>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01.7.06.07-0001</t>
  </si>
  <si>
    <t>ФССЦ-2001, 01.7.06.07-0001, приказ Минстроя России №1039/пр от 30.12.2016г.</t>
  </si>
  <si>
    <t>Лента К226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</si>
  <si>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</si>
  <si>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</si>
  <si>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</si>
  <si>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</si>
  <si>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</si>
  <si>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</si>
  <si>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</si>
  <si>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</si>
  <si>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14.4.02.09-0001</t>
  </si>
  <si>
    <t>ФССЦ-2001, 14.4.02.09-0001, приказ Минстроя России №1039/пр от 30.12.2016г.</t>
  </si>
  <si>
    <t>Краска</t>
  </si>
  <si>
    <t>999-9950</t>
  </si>
  <si>
    <t>Вспомогательные ненормируемые материалы (2% от ОЗП)</t>
  </si>
  <si>
    <t>РУБ</t>
  </si>
  <si>
    <t>1-100-29</t>
  </si>
  <si>
    <t>Рабочий среднего разряда 2.9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</si>
  <si>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</si>
  <si>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</si>
  <si>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</si>
  <si>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01.7.15.03-0014</t>
  </si>
  <si>
    <t>ФССЦ-2001, 01.7.15.03-0014, приказ Минстроя России №1039/пр от 30.12.2016г.</t>
  </si>
  <si>
    <t>Болты с гайками и шайбами для санитарно-технических работ диаметром 16 мм</t>
  </si>
  <si>
    <t>01.7.19.02-0041</t>
  </si>
  <si>
    <t>ФССЦ-2001, 01.7.19.02-0041, приказ Минстроя России №1039/пр от 30.12.2016г.</t>
  </si>
  <si>
    <t>Кольца резиновые для: чугунных напорных труб диаметром 50-300 мм</t>
  </si>
  <si>
    <t>1-100-39</t>
  </si>
  <si>
    <t>Рабочий среднего разряда 3.9</t>
  </si>
  <si>
    <t>01.7.07.29-0031</t>
  </si>
  <si>
    <t>ФССЦ-2001, 01.7.07.29-0031, приказ Минстроя России №1039/пр от 30.12.2016г.</t>
  </si>
  <si>
    <t>Каболка</t>
  </si>
  <si>
    <t>01.7.07.29-0101</t>
  </si>
  <si>
    <t>ФССЦ-2001, 01.7.07.29-0101, приказ Минстроя России №1039/пр от 30.12.2016г.</t>
  </si>
  <si>
    <t>Очес льняной</t>
  </si>
  <si>
    <t>01.7.15.10-0057</t>
  </si>
  <si>
    <t>ФССЦ-2001, 01.7.15.10-0057, приказ Минстроя России №1039/пр от 30.12.2016г.</t>
  </si>
  <si>
    <t>Скобы скрепляющие и для подвеса</t>
  </si>
  <si>
    <t>01.7.19.04-0002</t>
  </si>
  <si>
    <t>ФССЦ-2001, 01.7.19.04-0002, приказ Минстроя России №1039/пр от 30.12.2016г.</t>
  </si>
  <si>
    <t>Пластина резиновая рулонная вулканизированная</t>
  </si>
  <si>
    <t>14.1.05.03-0012</t>
  </si>
  <si>
    <t>ФССЦ-2001, 14.1.05.03-0012, приказ Минстроя России №1039/пр от 30.12.2016г.</t>
  </si>
  <si>
    <t>Клей фенолполивинилацетатный марки БФ-2, сорт I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</si>
  <si>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</si>
  <si>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</si>
  <si>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</si>
  <si>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03.2.02.08-0001</t>
  </si>
  <si>
    <t>ФССЦ-2001, 03.2.02.08-0001, приказ Минстроя России №1039/пр от 30.12.2016г.</t>
  </si>
  <si>
    <t>Цемент гипсоглиноземистый расширяющийся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</si>
  <si>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</si>
  <si>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</si>
  <si>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</si>
  <si>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1-100-27</t>
  </si>
  <si>
    <t>Рабочий среднего разряда 2.7</t>
  </si>
  <si>
    <t>01.3.02.03-0001</t>
  </si>
  <si>
    <t>ФССЦ-2001, 01.3.02.03-0001, приказ Минстроя России №1039/пр от 30.12.2016г.</t>
  </si>
  <si>
    <t>Ацетилен газообразный технический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</si>
  <si>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</si>
  <si>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</si>
  <si>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</si>
  <si>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91.17.04-043</t>
  </si>
  <si>
    <t>ФСЭМ-2001, 91.17.04-043, приказ Минстроя России №1039/пр от 30.12.2016г.</t>
  </si>
  <si>
    <t>Аппарат для полуавтоматической сварки полиэтиленовых труб "встык"</t>
  </si>
  <si>
    <t>01.7.15.04-0027</t>
  </si>
  <si>
    <t>ФССЦ-2001, 01.7.15.04-0027, приказ Минстроя России №1039/пр от 30.12.2016г.</t>
  </si>
  <si>
    <t>Винты с полукруглой головкой размером 5,0х40 мм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</si>
  <si>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</si>
  <si>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</si>
  <si>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</si>
  <si>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1000 шт.</t>
  </si>
  <si>
    <t>03.1.02.03-0015</t>
  </si>
  <si>
    <t>ФССЦ-2001, 03.1.02.03-0015, приказ Минстроя России №1039/пр от 30.12.2016г.</t>
  </si>
  <si>
    <t>Известь строительная негашеная хлорная, марки А</t>
  </si>
  <si>
    <t>11.3.02.03</t>
  </si>
  <si>
    <t>Блоки оконные пластиковые</t>
  </si>
  <si>
    <t>11.3.03.01</t>
  </si>
  <si>
    <t>Доски подоконные ПВХ</t>
  </si>
  <si>
    <t>01.6.01.11</t>
  </si>
  <si>
    <t>Листы облицовочные декоративные</t>
  </si>
  <si>
    <t>14.1.06.05</t>
  </si>
  <si>
    <t>Клей</t>
  </si>
  <si>
    <t>11.3.03.13</t>
  </si>
  <si>
    <t>Уголок ПВХ</t>
  </si>
  <si>
    <t>07.2.07.13</t>
  </si>
  <si>
    <t>Конструкции стальные</t>
  </si>
  <si>
    <t>01.7.07.07</t>
  </si>
  <si>
    <t>Строительный мусор</t>
  </si>
  <si>
    <t>04.3.01.09</t>
  </si>
  <si>
    <t>Раствор готовый кладочный тяжелый цементный</t>
  </si>
  <si>
    <t>11.2.04.05</t>
  </si>
  <si>
    <t>Рейки деревянные</t>
  </si>
  <si>
    <t>04.3.02.09</t>
  </si>
  <si>
    <t>Смесь сухая для заделки швов</t>
  </si>
  <si>
    <t>06.2.05.04</t>
  </si>
  <si>
    <t>Плитки рядовые</t>
  </si>
  <si>
    <t>14.1.06.02</t>
  </si>
  <si>
    <t>Клей для облицовочных работ (сухая смесь)</t>
  </si>
  <si>
    <t>14.3.02.01</t>
  </si>
  <si>
    <t>Краска водоэмульсионная</t>
  </si>
  <si>
    <t>14.4.02.04</t>
  </si>
  <si>
    <t>Краски для внутренних работ масляные готовые к применению</t>
  </si>
  <si>
    <t>04.1.02.06</t>
  </si>
  <si>
    <t>Бетонные смеси готовые к употреблению</t>
  </si>
  <si>
    <t>07.2.07.02</t>
  </si>
  <si>
    <t>Кондуктор инвентарный металлический</t>
  </si>
  <si>
    <t>Строительный мусор и масса возвратных материалов</t>
  </si>
  <si>
    <t>18.1.02.03</t>
  </si>
  <si>
    <t>Задвижки</t>
  </si>
  <si>
    <t>19.1.01.11</t>
  </si>
  <si>
    <t>Крепления</t>
  </si>
  <si>
    <t>24.3.03.02</t>
  </si>
  <si>
    <t>01.7.15.07</t>
  </si>
  <si>
    <t>Дюбели распорные полиэтиленовые</t>
  </si>
  <si>
    <t>01.7.15.14</t>
  </si>
  <si>
    <t>Шурупы строительные</t>
  </si>
  <si>
    <t>14.5.02.02</t>
  </si>
  <si>
    <t>Замазка суриковая</t>
  </si>
  <si>
    <t>18.1.09.06</t>
  </si>
  <si>
    <t>Арматура муфтовая</t>
  </si>
  <si>
    <t>24.1.02.01</t>
  </si>
  <si>
    <t>24.3.02.01</t>
  </si>
  <si>
    <t>Трубы напорные из полипропилена</t>
  </si>
  <si>
    <t>10М</t>
  </si>
  <si>
    <t>24.3.05.19</t>
  </si>
  <si>
    <t>Фасонные и соеденительные части</t>
  </si>
  <si>
    <t>01.7.19.02</t>
  </si>
  <si>
    <t>Кольца резиновые уплотнительные для полипропиленовых труб</t>
  </si>
  <si>
    <t>Фасонные и соединительные части к полипропиленовым трубам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</si>
  <si>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</si>
  <si>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81-35.2004, п.4.9  Наименование: По работам, в технологии производства которых предусмотрена сварка металлоконструкций, металлопроката, стальных труб, листового металла, закладных деталей и др. металлоизделий, элементные сметные нормы и единичные расценки разработаны из условия применения углеродистой стали.При применении нержавеющей стали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</si>
  <si>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Табл.2, п.2  Наименование: При демонтаже (разборке) сборных деревянных конструкций</t>
  </si>
  <si>
    <t>Поправка: МДС 81-36.2004, прил.3, п.3р  Наименование: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</si>
  <si>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</si>
  <si>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</si>
  <si>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</si>
  <si>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</si>
  <si>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</si>
  <si>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</si>
  <si>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</si>
  <si>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</si>
  <si>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</si>
  <si>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</si>
  <si>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</si>
  <si>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</si>
  <si>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</si>
  <si>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</si>
  <si>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</si>
  <si>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</si>
  <si>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</si>
  <si>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</si>
  <si>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</si>
  <si>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</si>
  <si>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</si>
  <si>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</si>
  <si>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</si>
  <si>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</si>
  <si>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</si>
  <si>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</si>
  <si>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</si>
  <si>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</si>
  <si>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</si>
  <si>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</si>
  <si>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 xml:space="preserve"> 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</si>
  <si>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</si>
  <si>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</si>
  <si>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</si>
  <si>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</si>
  <si>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</si>
  <si>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</si>
  <si>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</si>
  <si>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</si>
  <si>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</si>
  <si>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</si>
  <si>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</si>
  <si>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</si>
  <si>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</si>
  <si>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</si>
  <si>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</si>
  <si>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</si>
  <si>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</si>
  <si>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</si>
  <si>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</si>
  <si>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</si>
  <si>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</si>
  <si>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</si>
  <si>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</si>
  <si>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</si>
  <si>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</si>
  <si>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</si>
  <si>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</si>
  <si>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</si>
  <si>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</si>
  <si>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</si>
  <si>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</si>
  <si>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</si>
  <si>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</si>
  <si>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</si>
  <si>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</si>
  <si>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</si>
  <si>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</si>
  <si>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</si>
  <si>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</si>
  <si>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</si>
  <si>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</si>
  <si>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</si>
  <si>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</si>
  <si>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</si>
  <si>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</si>
  <si>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</si>
  <si>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</si>
  <si>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</si>
  <si>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</si>
  <si>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</si>
  <si>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</si>
  <si>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</si>
  <si>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</si>
  <si>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 xml:space="preserve">Стоимость материалов </t>
  </si>
  <si>
    <t>Исключен
Гранит керамический многоцветный неполированный, размером 400х400х9 мм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</si>
  <si>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</si>
  <si>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</si>
  <si>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</si>
  <si>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</si>
  <si>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</si>
  <si>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</si>
  <si>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</si>
  <si>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</si>
  <si>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</si>
  <si>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</si>
  <si>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</si>
  <si>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</si>
  <si>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</si>
  <si>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</si>
  <si>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</si>
  <si>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</si>
  <si>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</si>
  <si>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</si>
  <si>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</si>
  <si>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</si>
  <si>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</si>
  <si>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</si>
  <si>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</si>
  <si>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</si>
  <si>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</si>
  <si>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>Итого</t>
  </si>
  <si>
    <t xml:space="preserve">Сумма НДС </t>
  </si>
  <si>
    <t xml:space="preserve">Всего с учетом НДС </t>
  </si>
  <si>
    <t>МП</t>
  </si>
  <si>
    <t>СМЕТА</t>
  </si>
  <si>
    <t>Капитальный ремонт помещения женского санузла 2-го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t>
  </si>
  <si>
    <t xml:space="preserve">к извещению о проведении </t>
  </si>
  <si>
    <t>запроса котировок в электронной форме</t>
  </si>
  <si>
    <t>Приложение № 1 к Приложению №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</si>
</sst>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21" x14ac:knownFonts="1">
    <font>
      <sz val="10"/>
      <name val="Arial"/>
      <charset val="204"/>
    </font>
    <font>
      <b/>
      <sz val="10"/>
      <color indexed="12"/>
      <name val="Arial"/>
      <charset val="204"/>
    </font>
    <font>
      <sz val="10"/>
      <color indexed="18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sz val="10"/>
      <color indexed="16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6" fillId="0" borderId="0" xfId="0" applyFont="1" applyAlignment="1">
      <alignment vertical="center" wrapText="1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164" fontId="13" fillId="0" borderId="0" xfId="0" applyNumberFormat="1" applyFont="1"/>
    <xf numFmtId="0" fontId="11" fillId="0" borderId="0" xfId="0" applyFont="1" applyAlignment="1">
      <alignment wrapText="1"/>
    </xf>
    <xf numFmtId="164" fontId="0" fillId="0" borderId="0" xfId="0" applyNumberFormat="1"/>
    <xf numFmtId="0" fontId="13" fillId="0" borderId="2" xfId="0" applyFont="1" applyBorder="1"/>
    <xf numFmtId="0" fontId="13" fillId="0" borderId="0" xfId="0" applyFont="1" applyAlignment="1">
      <alignment vertical="center"/>
    </xf>
    <xf numFmtId="0" fontId="16" fillId="0" borderId="0" xfId="0" applyFont="1"/>
    <xf numFmtId="0" fontId="13" fillId="0" borderId="0" xfId="0" applyFont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9" fillId="0" borderId="0" xfId="0" applyFont="1" applyAlignment="1">
      <alignment horizontal="right" wrapTex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 wrapText="1"/>
    </xf>
    <xf numFmtId="0" fontId="12" fillId="0" borderId="0" xfId="0" applyFont="1" applyAlignment="1">
      <alignment horizontal="right"/>
    </xf>
    <xf numFmtId="164" fontId="19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9" fillId="0" borderId="2" xfId="0" applyFont="1" applyBorder="1" applyAlignment="1">
      <alignment horizontal="right" wrapText="1"/>
    </xf>
    <xf numFmtId="0" fontId="13" fillId="0" borderId="2" xfId="0" applyFont="1" applyBorder="1" applyAlignment="1">
      <alignment horizontal="right"/>
    </xf>
    <xf numFmtId="164" fontId="13" fillId="0" borderId="2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2" fillId="0" borderId="0" xfId="0" applyNumberFormat="1" applyFont="1" applyAlignment="1">
      <alignment horizontal="right"/>
    </xf>
    <xf numFmtId="0" fontId="13" fillId="0" borderId="2" xfId="0" quotePrefix="1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0" fontId="13" fillId="0" borderId="0" xfId="0" quotePrefix="1" applyFont="1" applyAlignment="1">
      <alignment horizontal="right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2" xfId="0" applyFont="1" applyBorder="1" applyAlignment="1">
      <alignment horizontal="left" vertical="top"/>
    </xf>
    <xf numFmtId="0" fontId="13" fillId="0" borderId="2" xfId="0" applyFont="1" applyBorder="1" applyAlignment="1">
      <alignment horizontal="left" vertical="top" wrapText="1"/>
    </xf>
    <xf numFmtId="164" fontId="11" fillId="0" borderId="0" xfId="0" applyNumberFormat="1" applyFont="1" applyAlignment="1">
      <alignment horizontal="left"/>
    </xf>
    <xf numFmtId="0" fontId="17" fillId="0" borderId="2" xfId="0" applyFont="1" applyBorder="1" applyAlignment="1">
      <alignment horizontal="center" wrapText="1"/>
    </xf>
    <xf numFmtId="0" fontId="13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 wrapText="1"/>
    </xf>
    <xf numFmtId="0" fontId="13" fillId="0" borderId="14" xfId="0" applyFont="1" applyBorder="1" applyAlignment="1">
      <alignment horizontal="left" vertical="center" shrinkToFit="1"/>
    </xf>
    <xf numFmtId="0" fontId="13" fillId="0" borderId="14" xfId="0" applyFont="1" applyBorder="1" applyAlignment="1">
      <alignment horizontal="center" vertical="center" shrinkToFit="1"/>
    </xf>
    <xf numFmtId="0" fontId="12" fillId="0" borderId="0" xfId="0" applyFont="1" applyAlignment="1">
      <alignment horizontal="center" vertical="top" shrinkToFit="1"/>
    </xf>
    <xf numFmtId="0" fontId="13" fillId="0" borderId="6" xfId="0" applyFont="1" applyBorder="1" applyAlignment="1">
      <alignment horizontal="center"/>
    </xf>
    <xf numFmtId="14" fontId="13" fillId="0" borderId="0" xfId="0" applyNumberFormat="1" applyFont="1"/>
    <xf numFmtId="0" fontId="13" fillId="0" borderId="5" xfId="0" applyFont="1" applyBorder="1" applyAlignment="1">
      <alignment horizontal="center" vertical="center" wrapText="1" shrinkToFit="1"/>
    </xf>
    <xf numFmtId="0" fontId="13" fillId="0" borderId="5" xfId="0" applyFont="1" applyBorder="1" applyAlignment="1">
      <alignment horizont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0" fontId="20" fillId="0" borderId="0" xfId="0" applyFont="1"/>
    <xf numFmtId="0" fontId="13" fillId="0" borderId="0" xfId="0" applyFont="1" applyBorder="1"/>
    <xf numFmtId="0" fontId="13" fillId="0" borderId="0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15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3" fillId="0" borderId="0" xfId="0" applyFont="1" applyAlignment="1">
      <alignment horizontal="right" wrapText="1"/>
    </xf>
    <xf numFmtId="164" fontId="16" fillId="0" borderId="1" xfId="0" applyNumberFormat="1" applyFont="1" applyBorder="1" applyAlignment="1">
      <alignment horizontal="right"/>
    </xf>
    <xf numFmtId="0" fontId="13" fillId="0" borderId="2" xfId="0" applyFont="1" applyBorder="1" applyAlignment="1">
      <alignment horizontal="left"/>
    </xf>
    <xf numFmtId="0" fontId="16" fillId="0" borderId="0" xfId="0" applyFont="1" applyAlignment="1">
      <alignment horizontal="left" wrapText="1"/>
    </xf>
    <xf numFmtId="164" fontId="16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5" xfId="0" quotePrefix="1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2" xfId="0" applyFont="1" applyBorder="1" applyAlignment="1">
      <alignment horizontal="left" wrapText="1"/>
    </xf>
    <xf numFmtId="0" fontId="12" fillId="0" borderId="1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3" fillId="0" borderId="8" xfId="0" applyFont="1" applyBorder="1" applyAlignment="1">
      <alignment horizontal="right"/>
    </xf>
    <xf numFmtId="14" fontId="13" fillId="0" borderId="5" xfId="0" applyNumberFormat="1" applyFont="1" applyBorder="1" applyAlignment="1">
      <alignment horizontal="center"/>
    </xf>
    <xf numFmtId="14" fontId="13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wrapText="1"/>
    </xf>
    <xf numFmtId="0" fontId="11" fillId="0" borderId="0" xfId="0" quotePrefix="1" applyFont="1" applyAlignment="1">
      <alignment wrapText="1"/>
    </xf>
    <xf numFmtId="164" fontId="16" fillId="0" borderId="2" xfId="0" applyNumberFormat="1" applyFont="1" applyBorder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12" fillId="0" borderId="15" xfId="0" applyFont="1" applyBorder="1" applyAlignment="1">
      <alignment horizontal="center" vertical="top" shrinkToFit="1"/>
    </xf>
    <xf numFmtId="0" fontId="13" fillId="0" borderId="0" xfId="0" applyFont="1" applyAlignment="1">
      <alignment horizontal="right" vertical="center" shrinkToFit="1"/>
    </xf>
    <xf numFmtId="0" fontId="13" fillId="0" borderId="14" xfId="0" applyFont="1" applyBorder="1" applyAlignment="1">
      <alignment horizontal="left" vertical="center" shrinkToFit="1"/>
    </xf>
    <xf numFmtId="0" fontId="12" fillId="0" borderId="0" xfId="0" applyFont="1"/>
    <xf numFmtId="0" fontId="13" fillId="0" borderId="2" xfId="0" applyFont="1" applyBorder="1"/>
    <xf numFmtId="0" fontId="13" fillId="0" borderId="5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4" xfId="0" applyFont="1" applyBorder="1" applyAlignment="1">
      <alignment horizontal="right"/>
    </xf>
    <xf numFmtId="0" fontId="13" fillId="0" borderId="16" xfId="0" applyFont="1" applyBorder="1" applyAlignment="1">
      <alignment horizontal="right"/>
    </xf>
    <xf numFmtId="0" fontId="13" fillId="0" borderId="4" xfId="0" applyFont="1" applyBorder="1"/>
    <xf numFmtId="0" fontId="13" fillId="0" borderId="11" xfId="0" applyFont="1" applyBorder="1"/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14" fontId="13" fillId="0" borderId="4" xfId="0" applyNumberFormat="1" applyFont="1" applyBorder="1" applyAlignment="1">
      <alignment horizontal="center"/>
    </xf>
    <xf numFmtId="14" fontId="13" fillId="0" borderId="11" xfId="0" applyNumberFormat="1" applyFont="1" applyBorder="1" applyAlignment="1">
      <alignment horizontal="center"/>
    </xf>
    <xf numFmtId="14" fontId="13" fillId="0" borderId="16" xfId="0" applyNumberFormat="1" applyFont="1" applyBorder="1" applyAlignment="1">
      <alignment horizontal="center"/>
    </xf>
    <xf numFmtId="0" fontId="13" fillId="0" borderId="5" xfId="0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0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3" fillId="0" borderId="8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right" vertical="center" wrapText="1" shrinkToFit="1"/>
    </xf>
    <xf numFmtId="164" fontId="13" fillId="0" borderId="4" xfId="0" applyNumberFormat="1" applyFont="1" applyBorder="1" applyAlignment="1">
      <alignment horizontal="right" vertical="center" wrapText="1" shrinkToFit="1"/>
    </xf>
    <xf numFmtId="0" fontId="13" fillId="0" borderId="11" xfId="0" applyFont="1" applyBorder="1" applyAlignment="1">
      <alignment horizontal="right" vertical="center" wrapText="1" shrinkToFit="1"/>
    </xf>
    <xf numFmtId="0" fontId="13" fillId="0" borderId="1" xfId="0" applyFont="1" applyBorder="1" applyAlignment="1">
      <alignment horizontal="center"/>
    </xf>
    <xf numFmtId="0" fontId="13" fillId="0" borderId="5" xfId="0" applyFont="1" applyBorder="1" applyAlignment="1">
      <alignment horizontal="justify" vertical="top" wrapText="1" shrinkToFit="1"/>
    </xf>
    <xf numFmtId="0" fontId="13" fillId="0" borderId="1" xfId="0" applyFont="1" applyBorder="1" applyAlignment="1">
      <alignment horizontal="justify" vertical="top" wrapText="1" shrinkToFit="1"/>
    </xf>
    <xf numFmtId="164" fontId="13" fillId="0" borderId="5" xfId="0" applyNumberFormat="1" applyFont="1" applyBorder="1" applyAlignment="1">
      <alignment horizontal="right" wrapText="1" shrinkToFit="1"/>
    </xf>
    <xf numFmtId="0" fontId="13" fillId="0" borderId="1" xfId="0" applyFont="1" applyBorder="1" applyAlignment="1">
      <alignment horizontal="right" wrapText="1" shrinkToFit="1"/>
    </xf>
    <xf numFmtId="0" fontId="13" fillId="0" borderId="6" xfId="0" applyFont="1" applyBorder="1" applyAlignment="1">
      <alignment horizontal="right" wrapText="1" shrinkToFit="1"/>
    </xf>
    <xf numFmtId="0" fontId="13" fillId="0" borderId="4" xfId="0" applyFont="1" applyBorder="1" applyAlignment="1">
      <alignment horizontal="justify" vertical="top" wrapText="1" shrinkToFit="1"/>
    </xf>
    <xf numFmtId="0" fontId="13" fillId="0" borderId="1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justify" vertical="top" wrapText="1" shrinkToFit="1"/>
    </xf>
    <xf numFmtId="0" fontId="13" fillId="0" borderId="6" xfId="0" applyFont="1" applyBorder="1" applyAlignment="1">
      <alignment horizontal="right"/>
    </xf>
    <xf numFmtId="164" fontId="13" fillId="0" borderId="5" xfId="0" applyNumberFormat="1" applyFont="1" applyBorder="1" applyAlignment="1">
      <alignment horizontal="right"/>
    </xf>
    <xf numFmtId="164" fontId="13" fillId="0" borderId="5" xfId="0" applyNumberFormat="1" applyFont="1" applyBorder="1" applyAlignment="1">
      <alignment horizontal="right" vertical="center" wrapText="1" shrinkToFit="1"/>
    </xf>
    <xf numFmtId="0" fontId="13" fillId="0" borderId="6" xfId="0" applyFont="1" applyBorder="1" applyAlignment="1">
      <alignment horizontal="right" vertical="center" wrapText="1" shrinkToFit="1"/>
    </xf>
    <xf numFmtId="0" fontId="13" fillId="0" borderId="2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top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33"/>
  <sheetViews>
    <sheetView tabSelected="1" zoomScaleNormal="100" workbookViewId="0">
      <selection activeCell="H3" sqref="H3:L3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7" width="12.7109375" customWidth="1"/>
    <col min="8" max="8" width="13.855468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2" t="str">
        <f>Source!B1</f>
        <v>Smeta.RU  (495) 974-1589</v>
      </c>
    </row>
    <row r="2" spans="1:30" ht="14.2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4"/>
      <c r="L2" s="14"/>
    </row>
    <row r="3" spans="1:30" ht="16.5" x14ac:dyDescent="0.25">
      <c r="A3" s="15"/>
      <c r="B3" s="79"/>
      <c r="C3" s="79"/>
      <c r="D3" s="79"/>
      <c r="E3" s="79"/>
      <c r="F3" s="14"/>
      <c r="G3" s="14"/>
      <c r="H3" s="79" t="s">
        <v>947</v>
      </c>
      <c r="I3" s="79"/>
      <c r="J3" s="79"/>
      <c r="K3" s="79"/>
      <c r="L3" s="79"/>
    </row>
    <row r="4" spans="1:30" ht="14.25" x14ac:dyDescent="0.2">
      <c r="A4" s="14"/>
      <c r="B4" s="80"/>
      <c r="C4" s="80"/>
      <c r="D4" s="80"/>
      <c r="E4" s="80"/>
      <c r="F4" s="14"/>
      <c r="G4" s="14"/>
      <c r="H4" s="80" t="s">
        <v>945</v>
      </c>
      <c r="I4" s="80"/>
      <c r="J4" s="80"/>
      <c r="K4" s="80"/>
      <c r="L4" s="80"/>
    </row>
    <row r="5" spans="1:30" ht="14.25" x14ac:dyDescent="0.2">
      <c r="A5" s="16"/>
      <c r="B5" s="16"/>
      <c r="C5" s="17"/>
      <c r="D5" s="17"/>
      <c r="E5" s="17"/>
      <c r="F5" s="14"/>
      <c r="G5" s="14"/>
      <c r="H5" s="84" t="s">
        <v>946</v>
      </c>
      <c r="I5" s="84"/>
      <c r="J5" s="84"/>
      <c r="K5" s="17"/>
      <c r="L5" s="18"/>
    </row>
    <row r="6" spans="1:30" ht="14.25" x14ac:dyDescent="0.2">
      <c r="A6" s="18"/>
      <c r="B6" s="80"/>
      <c r="C6" s="80"/>
      <c r="D6" s="80"/>
      <c r="E6" s="80"/>
      <c r="F6" s="14"/>
      <c r="G6" s="14"/>
      <c r="H6" s="80"/>
      <c r="I6" s="80"/>
      <c r="J6" s="80"/>
      <c r="K6" s="80"/>
      <c r="L6" s="80"/>
    </row>
    <row r="7" spans="1:30" ht="14.25" x14ac:dyDescent="0.2">
      <c r="A7" s="19"/>
      <c r="B7" s="78"/>
      <c r="C7" s="78"/>
      <c r="D7" s="78"/>
      <c r="E7" s="78"/>
      <c r="F7" s="14"/>
      <c r="G7" s="14"/>
      <c r="H7" s="78"/>
      <c r="I7" s="78"/>
      <c r="J7" s="78"/>
      <c r="K7" s="78"/>
      <c r="L7" s="78"/>
    </row>
    <row r="9" spans="1:30" ht="14.25" x14ac:dyDescent="0.2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</row>
    <row r="10" spans="1:30" ht="15.75" x14ac:dyDescent="0.25">
      <c r="A10" s="20"/>
      <c r="B10" s="86" t="s">
        <v>943</v>
      </c>
      <c r="C10" s="86"/>
      <c r="D10" s="86"/>
      <c r="E10" s="86"/>
      <c r="F10" s="86"/>
      <c r="G10" s="86"/>
      <c r="H10" s="86"/>
      <c r="I10" s="86"/>
      <c r="J10" s="86"/>
      <c r="K10" s="86"/>
      <c r="L10" s="20"/>
    </row>
    <row r="11" spans="1:30" ht="15.75" x14ac:dyDescent="0.25">
      <c r="A11" s="20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0"/>
    </row>
    <row r="12" spans="1:30" ht="18" hidden="1" x14ac:dyDescent="0.25">
      <c r="A12" s="20"/>
      <c r="B12" s="87" t="str">
        <f>IF(Source!G20&lt;&gt;"Новая локальная смета", Source!G20, "")</f>
        <v/>
      </c>
      <c r="C12" s="87"/>
      <c r="D12" s="87"/>
      <c r="E12" s="87"/>
      <c r="F12" s="87"/>
      <c r="G12" s="87"/>
      <c r="H12" s="87"/>
      <c r="I12" s="87"/>
      <c r="J12" s="87"/>
      <c r="K12" s="87"/>
      <c r="L12" s="20"/>
    </row>
    <row r="13" spans="1:30" ht="14.25" hidden="1" x14ac:dyDescent="0.2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</row>
    <row r="14" spans="1:30" ht="54" x14ac:dyDescent="0.25">
      <c r="A14" s="14"/>
      <c r="B14" s="87" t="str">
        <f>IF(Source!G12&lt;&gt;"Новый объект", Source!G12, "")</f>
        <v>Капитальный ремонт помещения женского санузла 2-го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  <c r="C14" s="87"/>
      <c r="D14" s="87"/>
      <c r="E14" s="87"/>
      <c r="F14" s="87"/>
      <c r="G14" s="87"/>
      <c r="H14" s="87"/>
      <c r="I14" s="87"/>
      <c r="J14" s="87"/>
      <c r="K14" s="87"/>
      <c r="L14" s="22"/>
      <c r="AD14" s="56" t="str">
        <f>IF(Source!G12&lt;&gt;"Новый объект", Source!G12, "")</f>
        <v>Капитальный ремонт помещения женского санузла 2-го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</row>
    <row r="15" spans="1:30" ht="14.25" x14ac:dyDescent="0.2">
      <c r="A15" s="14"/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19"/>
    </row>
    <row r="16" spans="1:30" ht="14.25" x14ac:dyDescent="0.2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</row>
    <row r="17" spans="1:22" ht="14.25" x14ac:dyDescent="0.2">
      <c r="A17" s="14"/>
      <c r="B17" s="14"/>
      <c r="C17" s="14"/>
      <c r="D17" s="14"/>
      <c r="E17" s="23"/>
      <c r="F17" s="23"/>
      <c r="G17" s="89" t="s">
        <v>828</v>
      </c>
      <c r="H17" s="89"/>
      <c r="I17" s="89" t="s">
        <v>829</v>
      </c>
      <c r="J17" s="89"/>
      <c r="K17" s="14"/>
      <c r="L17" s="14"/>
    </row>
    <row r="18" spans="1:22" ht="15" x14ac:dyDescent="0.25">
      <c r="A18" s="14"/>
      <c r="B18" s="14"/>
      <c r="C18" s="81" t="s">
        <v>830</v>
      </c>
      <c r="D18" s="81"/>
      <c r="E18" s="81"/>
      <c r="F18" s="81"/>
      <c r="G18" s="82">
        <f>SUM(O27:O423)/1000</f>
        <v>66.884190000000018</v>
      </c>
      <c r="H18" s="82"/>
      <c r="I18" s="82">
        <f>(Source!P205/1000)</f>
        <v>482.39098999999999</v>
      </c>
      <c r="J18" s="82"/>
      <c r="K18" s="83" t="s">
        <v>831</v>
      </c>
      <c r="L18" s="83"/>
    </row>
    <row r="19" spans="1:22" ht="14.25" x14ac:dyDescent="0.2">
      <c r="A19" s="14"/>
      <c r="B19" s="14"/>
      <c r="C19" s="85" t="s">
        <v>832</v>
      </c>
      <c r="D19" s="85"/>
      <c r="E19" s="85"/>
      <c r="F19" s="85"/>
      <c r="G19" s="82">
        <f>SUM(W27:W423)/1000</f>
        <v>65.924779999999984</v>
      </c>
      <c r="H19" s="82"/>
      <c r="I19" s="82">
        <f>(Source!P192)/1000</f>
        <v>402.94384000000002</v>
      </c>
      <c r="J19" s="82"/>
      <c r="K19" s="83" t="s">
        <v>831</v>
      </c>
      <c r="L19" s="83"/>
    </row>
    <row r="20" spans="1:22" ht="14.25" x14ac:dyDescent="0.2">
      <c r="A20" s="14"/>
      <c r="B20" s="14"/>
      <c r="C20" s="85" t="s">
        <v>833</v>
      </c>
      <c r="D20" s="85"/>
      <c r="E20" s="85"/>
      <c r="F20" s="85"/>
      <c r="G20" s="82">
        <f>SUM(X27:X423)/1000</f>
        <v>0.9594100000000001</v>
      </c>
      <c r="H20" s="82"/>
      <c r="I20" s="82">
        <f>(Source!P193)/1000</f>
        <v>5.8620799999999997</v>
      </c>
      <c r="J20" s="82"/>
      <c r="K20" s="83" t="s">
        <v>831</v>
      </c>
      <c r="L20" s="83"/>
    </row>
    <row r="21" spans="1:22" ht="15" x14ac:dyDescent="0.25">
      <c r="A21" s="14"/>
      <c r="B21" s="14"/>
      <c r="C21" s="81" t="s">
        <v>834</v>
      </c>
      <c r="D21" s="81"/>
      <c r="E21" s="81"/>
      <c r="F21" s="81"/>
      <c r="G21" s="82">
        <f>I21</f>
        <v>613.73126934999982</v>
      </c>
      <c r="H21" s="82"/>
      <c r="I21" s="82">
        <f>(Source!P197+Source!P198)</f>
        <v>613.73126934999982</v>
      </c>
      <c r="J21" s="82"/>
      <c r="K21" s="83" t="s">
        <v>835</v>
      </c>
      <c r="L21" s="83"/>
    </row>
    <row r="22" spans="1:22" ht="15" x14ac:dyDescent="0.25">
      <c r="A22" s="14"/>
      <c r="B22" s="14"/>
      <c r="C22" s="81" t="s">
        <v>836</v>
      </c>
      <c r="D22" s="81"/>
      <c r="E22" s="81"/>
      <c r="F22" s="81"/>
      <c r="G22" s="82">
        <f>SUM(R27:R423)/1000</f>
        <v>5.4453300000000011</v>
      </c>
      <c r="H22" s="82"/>
      <c r="I22" s="82">
        <f>((Source!P190 + Source!P189)/1000)</f>
        <v>33.270629999999997</v>
      </c>
      <c r="J22" s="82"/>
      <c r="K22" s="83" t="s">
        <v>831</v>
      </c>
      <c r="L22" s="83"/>
    </row>
    <row r="23" spans="1:2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22" ht="14.25" x14ac:dyDescent="0.2">
      <c r="A24" s="93" t="s">
        <v>849</v>
      </c>
      <c r="B24" s="93"/>
      <c r="C24" s="93"/>
      <c r="D24" s="93"/>
      <c r="E24" s="93"/>
      <c r="F24" s="93"/>
      <c r="G24" s="93"/>
      <c r="H24" s="93"/>
      <c r="I24" s="93"/>
      <c r="J24" s="93"/>
      <c r="K24" s="93"/>
      <c r="L24" s="93"/>
    </row>
    <row r="25" spans="1:22" ht="57" x14ac:dyDescent="0.2">
      <c r="A25" s="24" t="s">
        <v>837</v>
      </c>
      <c r="B25" s="24" t="s">
        <v>838</v>
      </c>
      <c r="C25" s="24" t="s">
        <v>839</v>
      </c>
      <c r="D25" s="24" t="s">
        <v>840</v>
      </c>
      <c r="E25" s="24" t="s">
        <v>841</v>
      </c>
      <c r="F25" s="24" t="s">
        <v>842</v>
      </c>
      <c r="G25" s="24" t="s">
        <v>843</v>
      </c>
      <c r="H25" s="24" t="s">
        <v>844</v>
      </c>
      <c r="I25" s="24" t="s">
        <v>845</v>
      </c>
      <c r="J25" s="24" t="s">
        <v>846</v>
      </c>
      <c r="K25" s="24" t="s">
        <v>847</v>
      </c>
      <c r="L25" s="24" t="s">
        <v>848</v>
      </c>
    </row>
    <row r="26" spans="1:22" ht="14.25" x14ac:dyDescent="0.2">
      <c r="A26" s="25">
        <v>1</v>
      </c>
      <c r="B26" s="25">
        <v>2</v>
      </c>
      <c r="C26" s="25">
        <v>3</v>
      </c>
      <c r="D26" s="25">
        <v>4</v>
      </c>
      <c r="E26" s="25">
        <v>5</v>
      </c>
      <c r="F26" s="25">
        <v>6</v>
      </c>
      <c r="G26" s="25">
        <v>7</v>
      </c>
      <c r="H26" s="25">
        <v>8</v>
      </c>
      <c r="I26" s="25">
        <v>9</v>
      </c>
      <c r="J26" s="25">
        <v>10</v>
      </c>
      <c r="K26" s="25">
        <v>11</v>
      </c>
      <c r="L26" s="26">
        <v>12</v>
      </c>
    </row>
    <row r="27" spans="1:22" ht="42.75" x14ac:dyDescent="0.2">
      <c r="A27" s="51" t="str">
        <f>Source!E25</f>
        <v>1</v>
      </c>
      <c r="B27" s="52" t="str">
        <f>Source!F25</f>
        <v>46-04-012-01</v>
      </c>
      <c r="C27" s="52" t="str">
        <f>Source!G25</f>
        <v>Разборка деревянных заполнений проемов оконных с подоконными досками</v>
      </c>
      <c r="D27" s="35" t="str">
        <f>Source!H25</f>
        <v>100 м2</v>
      </c>
      <c r="E27" s="13">
        <f>Source!I25</f>
        <v>3.2399999999999998E-2</v>
      </c>
      <c r="F27" s="36">
        <f>Source!AL25+Source!AM25+Source!AO25</f>
        <v>1767.24</v>
      </c>
      <c r="G27" s="37"/>
      <c r="H27" s="36"/>
      <c r="I27" s="37" t="str">
        <f>Source!BO25</f>
        <v/>
      </c>
      <c r="J27" s="37"/>
      <c r="K27" s="36"/>
      <c r="L27" s="38"/>
      <c r="S27">
        <f>ROUND((Source!FX25/100)*((ROUND(Source!AF25*Source!I25, 2)+ROUND(Source!AE25*Source!I25, 2))), 2)</f>
        <v>52.28</v>
      </c>
      <c r="T27">
        <f>Source!X25</f>
        <v>319.41000000000003</v>
      </c>
      <c r="U27">
        <f>ROUND((Source!FY25/100)*((ROUND(Source!AF25*Source!I25, 2)+ROUND(Source!AE25*Source!I25, 2))), 2)</f>
        <v>31.42</v>
      </c>
      <c r="V27">
        <f>Source!Y25</f>
        <v>193.58</v>
      </c>
    </row>
    <row r="28" spans="1:22" x14ac:dyDescent="0.2">
      <c r="C28" s="28" t="str">
        <f>"Объем: "&amp;Source!I25&amp;"=3,24/"&amp;"100"</f>
        <v>Объем: 0,0324=3,24/100</v>
      </c>
    </row>
    <row r="29" spans="1:22" ht="14.25" x14ac:dyDescent="0.2">
      <c r="A29" s="51"/>
      <c r="B29" s="52"/>
      <c r="C29" s="52" t="s">
        <v>850</v>
      </c>
      <c r="D29" s="35"/>
      <c r="E29" s="13"/>
      <c r="F29" s="36">
        <f>Source!AO25</f>
        <v>1525.29</v>
      </c>
      <c r="G29" s="37" t="str">
        <f>Source!DG25</f>
        <v/>
      </c>
      <c r="H29" s="36">
        <f>ROUND(Source!AF25*Source!I25, 2)</f>
        <v>49.42</v>
      </c>
      <c r="I29" s="37"/>
      <c r="J29" s="37">
        <f>IF(Source!BA25&lt;&gt; 0, Source!BA25, 1)</f>
        <v>6.11</v>
      </c>
      <c r="K29" s="36">
        <f>Source!S25</f>
        <v>301.95</v>
      </c>
      <c r="L29" s="38"/>
      <c r="R29">
        <f>H29</f>
        <v>49.42</v>
      </c>
    </row>
    <row r="30" spans="1:22" ht="14.25" x14ac:dyDescent="0.2">
      <c r="A30" s="51"/>
      <c r="B30" s="52"/>
      <c r="C30" s="52" t="s">
        <v>392</v>
      </c>
      <c r="D30" s="35"/>
      <c r="E30" s="13"/>
      <c r="F30" s="36">
        <f>Source!AM25</f>
        <v>241.95</v>
      </c>
      <c r="G30" s="37" t="str">
        <f>Source!DE25</f>
        <v/>
      </c>
      <c r="H30" s="36">
        <f>ROUND(Source!AD25*Source!I25, 2)</f>
        <v>7.84</v>
      </c>
      <c r="I30" s="37"/>
      <c r="J30" s="37">
        <f>IF(Source!BB25&lt;&gt; 0, Source!BB25, 1)</f>
        <v>6.11</v>
      </c>
      <c r="K30" s="36">
        <f>Source!Q25</f>
        <v>47.9</v>
      </c>
      <c r="L30" s="38"/>
    </row>
    <row r="31" spans="1:22" ht="14.25" x14ac:dyDescent="0.2">
      <c r="A31" s="51"/>
      <c r="B31" s="52"/>
      <c r="C31" s="52" t="s">
        <v>851</v>
      </c>
      <c r="D31" s="35"/>
      <c r="E31" s="13"/>
      <c r="F31" s="36">
        <f>Source!AN25</f>
        <v>104.49</v>
      </c>
      <c r="G31" s="37" t="str">
        <f>Source!DF25</f>
        <v/>
      </c>
      <c r="H31" s="39">
        <f>ROUND(Source!AE25*Source!I25, 2)</f>
        <v>3.39</v>
      </c>
      <c r="I31" s="37"/>
      <c r="J31" s="37">
        <f>IF(Source!BS25&lt;&gt; 0, Source!BS25, 1)</f>
        <v>6.11</v>
      </c>
      <c r="K31" s="39">
        <f>Source!R25</f>
        <v>20.69</v>
      </c>
      <c r="L31" s="38"/>
      <c r="R31">
        <f>H31</f>
        <v>3.39</v>
      </c>
    </row>
    <row r="32" spans="1:22" ht="14.25" x14ac:dyDescent="0.2">
      <c r="A32" s="51"/>
      <c r="B32" s="52"/>
      <c r="C32" s="52" t="s">
        <v>852</v>
      </c>
      <c r="D32" s="35" t="s">
        <v>853</v>
      </c>
      <c r="E32" s="13">
        <f>Source!BZ25</f>
        <v>110</v>
      </c>
      <c r="F32" s="80" t="str">
        <f>CONCATENATE(" )", Source!DL25, Source!FT25, "=", Source!FX25)</f>
        <v xml:space="preserve"> )*0,9=99</v>
      </c>
      <c r="G32" s="91"/>
      <c r="H32" s="36">
        <f>SUM(S27:S34)</f>
        <v>52.28</v>
      </c>
      <c r="I32" s="40"/>
      <c r="J32" s="33">
        <f>Source!AT25</f>
        <v>99</v>
      </c>
      <c r="K32" s="36">
        <f>SUM(T27:T34)</f>
        <v>319.41000000000003</v>
      </c>
      <c r="L32" s="38"/>
    </row>
    <row r="33" spans="1:26" ht="14.25" x14ac:dyDescent="0.2">
      <c r="A33" s="51"/>
      <c r="B33" s="52"/>
      <c r="C33" s="52" t="s">
        <v>854</v>
      </c>
      <c r="D33" s="35" t="s">
        <v>853</v>
      </c>
      <c r="E33" s="13">
        <f>Source!CA25</f>
        <v>70</v>
      </c>
      <c r="F33" s="80" t="str">
        <f>CONCATENATE(" )", Source!DM25, Source!FU25, "=", Source!FY25)</f>
        <v xml:space="preserve"> )*0,85=59,5</v>
      </c>
      <c r="G33" s="91"/>
      <c r="H33" s="36">
        <f>SUM(U27:U34)</f>
        <v>31.42</v>
      </c>
      <c r="I33" s="40"/>
      <c r="J33" s="33">
        <f>Source!AU25</f>
        <v>60</v>
      </c>
      <c r="K33" s="36">
        <f>SUM(V27:V34)</f>
        <v>193.58</v>
      </c>
      <c r="L33" s="38"/>
    </row>
    <row r="34" spans="1:26" ht="14.25" x14ac:dyDescent="0.2">
      <c r="A34" s="53"/>
      <c r="B34" s="54"/>
      <c r="C34" s="54" t="s">
        <v>855</v>
      </c>
      <c r="D34" s="41" t="s">
        <v>856</v>
      </c>
      <c r="E34" s="42">
        <f>Source!AQ25</f>
        <v>188.54</v>
      </c>
      <c r="F34" s="43"/>
      <c r="G34" s="44" t="str">
        <f>Source!DI25</f>
        <v/>
      </c>
      <c r="H34" s="43"/>
      <c r="I34" s="44"/>
      <c r="J34" s="44"/>
      <c r="K34" s="43"/>
      <c r="L34" s="45">
        <f>Source!U25</f>
        <v>6.1086959999999992</v>
      </c>
    </row>
    <row r="35" spans="1:26" ht="15" x14ac:dyDescent="0.25">
      <c r="G35" s="92">
        <f>H29+H30+H32+H33</f>
        <v>140.96</v>
      </c>
      <c r="H35" s="92"/>
      <c r="J35" s="92">
        <f>K29+K30+K32+K33</f>
        <v>862.84</v>
      </c>
      <c r="K35" s="92"/>
      <c r="L35" s="46">
        <f>Source!U25</f>
        <v>6.1086959999999992</v>
      </c>
      <c r="O35" s="29">
        <f>G35</f>
        <v>140.96</v>
      </c>
      <c r="P35" s="29">
        <f>J35</f>
        <v>862.84</v>
      </c>
      <c r="Q35" s="29">
        <f>L35</f>
        <v>6.1086959999999992</v>
      </c>
      <c r="W35">
        <f>IF(Source!BI25&lt;=1,H29+H30+H32+H33, 0)</f>
        <v>140.96</v>
      </c>
      <c r="X35">
        <f>IF(Source!BI25=2,H29+H30+H32+H33, 0)</f>
        <v>0</v>
      </c>
      <c r="Y35">
        <f>IF(Source!BI25=3,H29+H30+H32+H33, 0)</f>
        <v>0</v>
      </c>
      <c r="Z35">
        <f>IF(Source!BI25=4,H29+H30+H32+H33, 0)</f>
        <v>0</v>
      </c>
    </row>
    <row r="36" spans="1:26" ht="71.25" x14ac:dyDescent="0.2">
      <c r="A36" s="51" t="str">
        <f>Source!E27</f>
        <v>2</v>
      </c>
      <c r="B36" s="52" t="str">
        <f>Source!F27</f>
        <v>10-01-034-06</v>
      </c>
      <c r="C36" s="52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36" s="35" t="str">
        <f>Source!H27</f>
        <v>100 м2</v>
      </c>
      <c r="E36" s="13">
        <f>Source!I27</f>
        <v>3.2399999999999998E-2</v>
      </c>
      <c r="F36" s="36">
        <f>Source!AL27+Source!AM27+Source!AO27</f>
        <v>9827.15</v>
      </c>
      <c r="G36" s="37"/>
      <c r="H36" s="36"/>
      <c r="I36" s="37" t="str">
        <f>Source!BO27</f>
        <v/>
      </c>
      <c r="J36" s="37"/>
      <c r="K36" s="36"/>
      <c r="L36" s="38"/>
      <c r="S36">
        <f>ROUND((Source!FX27/100)*((ROUND(Source!AF27*Source!I27, 2)+ROUND(Source!AE27*Source!I27, 2))), 2)</f>
        <v>52.56</v>
      </c>
      <c r="T36">
        <f>Source!X27</f>
        <v>320.52999999999997</v>
      </c>
      <c r="U36">
        <f>ROUND((Source!FY27/100)*((ROUND(Source!AF27*Source!I27, 2)+ROUND(Source!AE27*Source!I27, 2))), 2)</f>
        <v>26.5</v>
      </c>
      <c r="V36">
        <f>Source!Y27</f>
        <v>163.29</v>
      </c>
    </row>
    <row r="37" spans="1:26" x14ac:dyDescent="0.2">
      <c r="C37" s="28" t="str">
        <f>"Объем: "&amp;Source!I27&amp;"=3,24/"&amp;"100"</f>
        <v>Объем: 0,0324=3,24/100</v>
      </c>
    </row>
    <row r="38" spans="1:26" ht="14.25" x14ac:dyDescent="0.2">
      <c r="A38" s="51"/>
      <c r="B38" s="52"/>
      <c r="C38" s="52" t="s">
        <v>850</v>
      </c>
      <c r="D38" s="35"/>
      <c r="E38" s="13"/>
      <c r="F38" s="36">
        <f>Source!AO27</f>
        <v>1273.5899999999999</v>
      </c>
      <c r="G38" s="37" t="str">
        <f>Source!DG27</f>
        <v>)*1,15</v>
      </c>
      <c r="H38" s="36">
        <f>ROUND(Source!AF27*Source!I27, 2)</f>
        <v>47.45</v>
      </c>
      <c r="I38" s="37"/>
      <c r="J38" s="37">
        <f>IF(Source!BA27&lt;&gt; 0, Source!BA27, 1)</f>
        <v>6.11</v>
      </c>
      <c r="K38" s="36">
        <f>Source!S27</f>
        <v>289.94</v>
      </c>
      <c r="L38" s="38"/>
      <c r="R38">
        <f>H38</f>
        <v>47.45</v>
      </c>
    </row>
    <row r="39" spans="1:26" ht="14.25" x14ac:dyDescent="0.2">
      <c r="A39" s="51"/>
      <c r="B39" s="52"/>
      <c r="C39" s="52" t="s">
        <v>392</v>
      </c>
      <c r="D39" s="35"/>
      <c r="E39" s="13"/>
      <c r="F39" s="36">
        <f>Source!AM27</f>
        <v>255.21</v>
      </c>
      <c r="G39" s="37" t="str">
        <f>Source!DE27</f>
        <v>)*1,25</v>
      </c>
      <c r="H39" s="36">
        <f>ROUND(Source!AD27*Source!I27, 2)</f>
        <v>10.34</v>
      </c>
      <c r="I39" s="37"/>
      <c r="J39" s="37">
        <f>IF(Source!BB27&lt;&gt; 0, Source!BB27, 1)</f>
        <v>6.11</v>
      </c>
      <c r="K39" s="36">
        <f>Source!Q27</f>
        <v>63.15</v>
      </c>
      <c r="L39" s="38"/>
    </row>
    <row r="40" spans="1:26" ht="14.25" x14ac:dyDescent="0.2">
      <c r="A40" s="51"/>
      <c r="B40" s="52"/>
      <c r="C40" s="52" t="s">
        <v>851</v>
      </c>
      <c r="D40" s="35"/>
      <c r="E40" s="13"/>
      <c r="F40" s="36">
        <f>Source!AN27</f>
        <v>50.32</v>
      </c>
      <c r="G40" s="37" t="str">
        <f>Source!DF27</f>
        <v>)*1,25</v>
      </c>
      <c r="H40" s="39">
        <f>ROUND(Source!AE27*Source!I27, 2)</f>
        <v>2.04</v>
      </c>
      <c r="I40" s="37"/>
      <c r="J40" s="37">
        <f>IF(Source!BS27&lt;&gt; 0, Source!BS27, 1)</f>
        <v>6.11</v>
      </c>
      <c r="K40" s="39">
        <f>Source!R27</f>
        <v>12.45</v>
      </c>
      <c r="L40" s="38"/>
      <c r="R40">
        <f>H40</f>
        <v>2.04</v>
      </c>
    </row>
    <row r="41" spans="1:26" ht="14.25" x14ac:dyDescent="0.2">
      <c r="A41" s="51"/>
      <c r="B41" s="52"/>
      <c r="C41" s="52" t="s">
        <v>857</v>
      </c>
      <c r="D41" s="35"/>
      <c r="E41" s="13"/>
      <c r="F41" s="36">
        <f>Source!AL27</f>
        <v>8298.35</v>
      </c>
      <c r="G41" s="37" t="str">
        <f>Source!DD27</f>
        <v/>
      </c>
      <c r="H41" s="36">
        <f>ROUND(Source!AC27*Source!I27, 2)</f>
        <v>268.87</v>
      </c>
      <c r="I41" s="37"/>
      <c r="J41" s="37">
        <f>IF(Source!BC27&lt;&gt; 0, Source!BC27, 1)</f>
        <v>6.11</v>
      </c>
      <c r="K41" s="36">
        <f>Source!P27</f>
        <v>1642.77</v>
      </c>
      <c r="L41" s="38"/>
    </row>
    <row r="42" spans="1:26" ht="14.25" x14ac:dyDescent="0.2">
      <c r="A42" s="51"/>
      <c r="B42" s="52"/>
      <c r="C42" s="52" t="s">
        <v>852</v>
      </c>
      <c r="D42" s="35" t="s">
        <v>853</v>
      </c>
      <c r="E42" s="13">
        <f>Source!BZ27</f>
        <v>118</v>
      </c>
      <c r="F42" s="80" t="str">
        <f>CONCATENATE(" )", Source!DL27, Source!FT27, "=", Source!FX27)</f>
        <v xml:space="preserve"> )*0,9=106,2</v>
      </c>
      <c r="G42" s="91"/>
      <c r="H42" s="36">
        <f>SUM(S36:S45)</f>
        <v>52.56</v>
      </c>
      <c r="I42" s="40"/>
      <c r="J42" s="33">
        <f>Source!AT27</f>
        <v>106</v>
      </c>
      <c r="K42" s="36">
        <f>SUM(T36:T45)</f>
        <v>320.52999999999997</v>
      </c>
      <c r="L42" s="38"/>
    </row>
    <row r="43" spans="1:26" ht="14.25" x14ac:dyDescent="0.2">
      <c r="A43" s="51"/>
      <c r="B43" s="52"/>
      <c r="C43" s="52" t="s">
        <v>854</v>
      </c>
      <c r="D43" s="35" t="s">
        <v>853</v>
      </c>
      <c r="E43" s="13">
        <f>Source!CA27</f>
        <v>63</v>
      </c>
      <c r="F43" s="80" t="str">
        <f>CONCATENATE(" )", Source!DM27, Source!FU27, "=", Source!FY27)</f>
        <v xml:space="preserve"> )*0,85=53,55</v>
      </c>
      <c r="G43" s="91"/>
      <c r="H43" s="36">
        <f>SUM(U36:U45)</f>
        <v>26.5</v>
      </c>
      <c r="I43" s="40"/>
      <c r="J43" s="33">
        <f>Source!AU27</f>
        <v>54</v>
      </c>
      <c r="K43" s="36">
        <f>SUM(V36:V45)</f>
        <v>163.29</v>
      </c>
      <c r="L43" s="38"/>
    </row>
    <row r="44" spans="1:26" ht="14.25" x14ac:dyDescent="0.2">
      <c r="A44" s="51"/>
      <c r="B44" s="52"/>
      <c r="C44" s="52" t="s">
        <v>855</v>
      </c>
      <c r="D44" s="35" t="s">
        <v>856</v>
      </c>
      <c r="E44" s="13">
        <f>Source!AQ27</f>
        <v>145.72</v>
      </c>
      <c r="F44" s="36"/>
      <c r="G44" s="37" t="str">
        <f>Source!DI27</f>
        <v>)*1,15</v>
      </c>
      <c r="H44" s="36"/>
      <c r="I44" s="37"/>
      <c r="J44" s="37"/>
      <c r="K44" s="36"/>
      <c r="L44" s="47">
        <f>Source!U27</f>
        <v>5.429527199999999</v>
      </c>
    </row>
    <row r="45" spans="1:26" ht="71.25" x14ac:dyDescent="0.2">
      <c r="A45" s="53" t="str">
        <f>Source!E29</f>
        <v>2,1</v>
      </c>
      <c r="B45" s="54" t="str">
        <f>Source!F29</f>
        <v>11.3.02.01-0019</v>
      </c>
      <c r="C45" s="54" t="str">
        <f>Source!G29</f>
        <v>Блок оконный пластиковый двустворчатый, с глухой и поворотно-откидной створкой, двухкамерным стеклопакетом (42 мм), площадью до 3,5 м2</v>
      </c>
      <c r="D45" s="41" t="str">
        <f>Source!H29</f>
        <v>м2</v>
      </c>
      <c r="E45" s="42">
        <f>Source!I29</f>
        <v>3.24</v>
      </c>
      <c r="F45" s="43">
        <f>Source!AL29+Source!AM29+Source!AO29</f>
        <v>2554.73</v>
      </c>
      <c r="G45" s="48" t="s">
        <v>6</v>
      </c>
      <c r="H45" s="43">
        <f>ROUND(Source!AC29*Source!I29, 2)+ROUND(Source!AD29*Source!I29, 2)+ROUND(Source!AF29*Source!I29, 2)</f>
        <v>8277.33</v>
      </c>
      <c r="I45" s="44"/>
      <c r="J45" s="44">
        <f>IF(Source!BC29&lt;&gt; 0, Source!BC29, 1)</f>
        <v>6.11</v>
      </c>
      <c r="K45" s="43">
        <f>Source!O29</f>
        <v>50574.46</v>
      </c>
      <c r="L45" s="49"/>
      <c r="S45">
        <f>ROUND((Source!FX29/100)*((ROUND(Source!AF29*Source!I29, 2)+ROUND(Source!AE29*Source!I29, 2))), 2)</f>
        <v>0</v>
      </c>
      <c r="T45">
        <f>Source!X29</f>
        <v>0</v>
      </c>
      <c r="U45">
        <f>ROUND((Source!FY29/100)*((ROUND(Source!AF29*Source!I29, 2)+ROUND(Source!AE29*Source!I29, 2))), 2)</f>
        <v>0</v>
      </c>
      <c r="V45">
        <f>Source!Y29</f>
        <v>0</v>
      </c>
      <c r="W45">
        <f>IF(Source!BI29&lt;=1,H45, 0)</f>
        <v>8277.33</v>
      </c>
      <c r="X45">
        <f>IF(Source!BI29=2,H45, 0)</f>
        <v>0</v>
      </c>
      <c r="Y45">
        <f>IF(Source!BI29=3,H45, 0)</f>
        <v>0</v>
      </c>
      <c r="Z45">
        <f>IF(Source!BI29=4,H45, 0)</f>
        <v>0</v>
      </c>
    </row>
    <row r="46" spans="1:26" ht="15" x14ac:dyDescent="0.25">
      <c r="G46" s="92">
        <f>H38+H39+H41+H42+H43+SUM(H45:H45)</f>
        <v>8683.0499999999993</v>
      </c>
      <c r="H46" s="92"/>
      <c r="J46" s="92">
        <f>K38+K39+K41+K42+K43+SUM(K45:K45)</f>
        <v>53054.14</v>
      </c>
      <c r="K46" s="92"/>
      <c r="L46" s="46">
        <f>Source!U27</f>
        <v>5.429527199999999</v>
      </c>
      <c r="O46" s="29">
        <f>G46</f>
        <v>8683.0499999999993</v>
      </c>
      <c r="P46" s="29">
        <f>J46</f>
        <v>53054.14</v>
      </c>
      <c r="Q46" s="29">
        <f>L46</f>
        <v>5.429527199999999</v>
      </c>
      <c r="W46">
        <f>IF(Source!BI27&lt;=1,H38+H39+H41+H42+H43, 0)</f>
        <v>405.72</v>
      </c>
      <c r="X46">
        <f>IF(Source!BI27=2,H38+H39+H41+H42+H43, 0)</f>
        <v>0</v>
      </c>
      <c r="Y46">
        <f>IF(Source!BI27=3,H38+H39+H41+H42+H43, 0)</f>
        <v>0</v>
      </c>
      <c r="Z46">
        <f>IF(Source!BI27=4,H38+H39+H41+H42+H43, 0)</f>
        <v>0</v>
      </c>
    </row>
    <row r="47" spans="1:26" ht="42.75" x14ac:dyDescent="0.2">
      <c r="A47" s="51" t="str">
        <f>Source!E31</f>
        <v>3</v>
      </c>
      <c r="B47" s="52" t="str">
        <f>Source!F31</f>
        <v>10-01-035-03</v>
      </c>
      <c r="C47" s="52" t="str">
        <f>Source!G31</f>
        <v>Установка подоконных досок из ПВХ в каменных стенах толщиной свыше 0,51 м</v>
      </c>
      <c r="D47" s="35" t="str">
        <f>Source!H31</f>
        <v>100 м</v>
      </c>
      <c r="E47" s="13">
        <f>Source!I31</f>
        <v>1.6E-2</v>
      </c>
      <c r="F47" s="36">
        <f>Source!AL31+Source!AM31+Source!AO31</f>
        <v>6481.1699999999992</v>
      </c>
      <c r="G47" s="37"/>
      <c r="H47" s="36"/>
      <c r="I47" s="37" t="str">
        <f>Source!BO31</f>
        <v/>
      </c>
      <c r="J47" s="37"/>
      <c r="K47" s="36"/>
      <c r="L47" s="38"/>
      <c r="S47">
        <f>ROUND((Source!FX31/100)*((ROUND(Source!AF31*Source!I31, 2)+ROUND(Source!AE31*Source!I31, 2))), 2)</f>
        <v>3.66</v>
      </c>
      <c r="T47">
        <f>Source!X31</f>
        <v>22.3</v>
      </c>
      <c r="U47">
        <f>ROUND((Source!FY31/100)*((ROUND(Source!AF31*Source!I31, 2)+ROUND(Source!AE31*Source!I31, 2))), 2)</f>
        <v>1.85</v>
      </c>
      <c r="V47">
        <f>Source!Y31</f>
        <v>11.36</v>
      </c>
    </row>
    <row r="48" spans="1:26" x14ac:dyDescent="0.2">
      <c r="C48" s="28" t="str">
        <f>"Объем: "&amp;Source!I31&amp;"=1,6/"&amp;"100"</f>
        <v>Объем: 0,016=1,6/100</v>
      </c>
    </row>
    <row r="49" spans="1:26" ht="14.25" x14ac:dyDescent="0.2">
      <c r="A49" s="51"/>
      <c r="B49" s="52"/>
      <c r="C49" s="52" t="s">
        <v>850</v>
      </c>
      <c r="D49" s="35"/>
      <c r="E49" s="13"/>
      <c r="F49" s="36">
        <f>Source!AO31</f>
        <v>182.37</v>
      </c>
      <c r="G49" s="37" t="str">
        <f>Source!DG31</f>
        <v>)*1,15</v>
      </c>
      <c r="H49" s="36">
        <f>ROUND(Source!AF31*Source!I31, 2)</f>
        <v>3.36</v>
      </c>
      <c r="I49" s="37"/>
      <c r="J49" s="37">
        <f>IF(Source!BA31&lt;&gt; 0, Source!BA31, 1)</f>
        <v>6.11</v>
      </c>
      <c r="K49" s="36">
        <f>Source!S31</f>
        <v>20.5</v>
      </c>
      <c r="L49" s="38"/>
      <c r="R49">
        <f>H49</f>
        <v>3.36</v>
      </c>
    </row>
    <row r="50" spans="1:26" ht="14.25" x14ac:dyDescent="0.2">
      <c r="A50" s="51"/>
      <c r="B50" s="52"/>
      <c r="C50" s="52" t="s">
        <v>392</v>
      </c>
      <c r="D50" s="35"/>
      <c r="E50" s="13"/>
      <c r="F50" s="36">
        <f>Source!AM31</f>
        <v>21.9</v>
      </c>
      <c r="G50" s="37" t="str">
        <f>Source!DE31</f>
        <v>)*1,25</v>
      </c>
      <c r="H50" s="36">
        <f>ROUND(Source!AD31*Source!I31, 2)</f>
        <v>0.44</v>
      </c>
      <c r="I50" s="37"/>
      <c r="J50" s="37">
        <f>IF(Source!BB31&lt;&gt; 0, Source!BB31, 1)</f>
        <v>6.11</v>
      </c>
      <c r="K50" s="36">
        <f>Source!Q31</f>
        <v>2.68</v>
      </c>
      <c r="L50" s="38"/>
    </row>
    <row r="51" spans="1:26" ht="14.25" x14ac:dyDescent="0.2">
      <c r="A51" s="51"/>
      <c r="B51" s="52"/>
      <c r="C51" s="52" t="s">
        <v>851</v>
      </c>
      <c r="D51" s="35"/>
      <c r="E51" s="13"/>
      <c r="F51" s="36">
        <f>Source!AN31</f>
        <v>4.43</v>
      </c>
      <c r="G51" s="37" t="str">
        <f>Source!DF31</f>
        <v>)*1,25</v>
      </c>
      <c r="H51" s="39">
        <f>ROUND(Source!AE31*Source!I31, 2)</f>
        <v>0.09</v>
      </c>
      <c r="I51" s="37"/>
      <c r="J51" s="37">
        <f>IF(Source!BS31&lt;&gt; 0, Source!BS31, 1)</f>
        <v>6.11</v>
      </c>
      <c r="K51" s="39">
        <f>Source!R31</f>
        <v>0.54</v>
      </c>
      <c r="L51" s="38"/>
      <c r="R51">
        <f>H51</f>
        <v>0.09</v>
      </c>
    </row>
    <row r="52" spans="1:26" ht="14.25" x14ac:dyDescent="0.2">
      <c r="A52" s="51"/>
      <c r="B52" s="52"/>
      <c r="C52" s="52" t="s">
        <v>857</v>
      </c>
      <c r="D52" s="35"/>
      <c r="E52" s="13"/>
      <c r="F52" s="36">
        <f>Source!AL31</f>
        <v>6276.9</v>
      </c>
      <c r="G52" s="37" t="str">
        <f>Source!DD31</f>
        <v/>
      </c>
      <c r="H52" s="36">
        <f>ROUND(Source!AC31*Source!I31, 2)</f>
        <v>100.43</v>
      </c>
      <c r="I52" s="37"/>
      <c r="J52" s="37">
        <f>IF(Source!BC31&lt;&gt; 0, Source!BC31, 1)</f>
        <v>6.11</v>
      </c>
      <c r="K52" s="36">
        <f>Source!P31</f>
        <v>613.63</v>
      </c>
      <c r="L52" s="38"/>
    </row>
    <row r="53" spans="1:26" ht="14.25" x14ac:dyDescent="0.2">
      <c r="A53" s="51"/>
      <c r="B53" s="52"/>
      <c r="C53" s="52" t="s">
        <v>852</v>
      </c>
      <c r="D53" s="35" t="s">
        <v>853</v>
      </c>
      <c r="E53" s="13">
        <f>Source!BZ31</f>
        <v>118</v>
      </c>
      <c r="F53" s="80" t="str">
        <f>CONCATENATE(" )", Source!DL31, Source!FT31, "=", Source!FX31)</f>
        <v xml:space="preserve"> )*0,9=106,2</v>
      </c>
      <c r="G53" s="91"/>
      <c r="H53" s="36">
        <f>SUM(S47:S56)</f>
        <v>3.66</v>
      </c>
      <c r="I53" s="40"/>
      <c r="J53" s="33">
        <f>Source!AT31</f>
        <v>106</v>
      </c>
      <c r="K53" s="36">
        <f>SUM(T47:T56)</f>
        <v>22.3</v>
      </c>
      <c r="L53" s="38"/>
    </row>
    <row r="54" spans="1:26" ht="14.25" x14ac:dyDescent="0.2">
      <c r="A54" s="51"/>
      <c r="B54" s="52"/>
      <c r="C54" s="52" t="s">
        <v>854</v>
      </c>
      <c r="D54" s="35" t="s">
        <v>853</v>
      </c>
      <c r="E54" s="13">
        <f>Source!CA31</f>
        <v>63</v>
      </c>
      <c r="F54" s="80" t="str">
        <f>CONCATENATE(" )", Source!DM31, Source!FU31, "=", Source!FY31)</f>
        <v xml:space="preserve"> )*0,85=53,55</v>
      </c>
      <c r="G54" s="91"/>
      <c r="H54" s="36">
        <f>SUM(U47:U56)</f>
        <v>1.85</v>
      </c>
      <c r="I54" s="40"/>
      <c r="J54" s="33">
        <f>Source!AU31</f>
        <v>54</v>
      </c>
      <c r="K54" s="36">
        <f>SUM(V47:V56)</f>
        <v>11.36</v>
      </c>
      <c r="L54" s="38"/>
    </row>
    <row r="55" spans="1:26" ht="14.25" x14ac:dyDescent="0.2">
      <c r="A55" s="51"/>
      <c r="B55" s="52"/>
      <c r="C55" s="52" t="s">
        <v>855</v>
      </c>
      <c r="D55" s="35" t="s">
        <v>856</v>
      </c>
      <c r="E55" s="13">
        <f>Source!AQ31</f>
        <v>21.38</v>
      </c>
      <c r="F55" s="36"/>
      <c r="G55" s="37" t="str">
        <f>Source!DI31</f>
        <v>)*1,15</v>
      </c>
      <c r="H55" s="36"/>
      <c r="I55" s="37"/>
      <c r="J55" s="37"/>
      <c r="K55" s="36"/>
      <c r="L55" s="47">
        <f>Source!U31</f>
        <v>0.39339199999999996</v>
      </c>
    </row>
    <row r="56" spans="1:26" ht="28.5" x14ac:dyDescent="0.2">
      <c r="A56" s="53" t="str">
        <f>Source!E33</f>
        <v>3,1</v>
      </c>
      <c r="B56" s="54" t="str">
        <f>Source!F33</f>
        <v>11.3.03.01-0004</v>
      </c>
      <c r="C56" s="54" t="str">
        <f>Source!G33</f>
        <v>Доски подоконные ПВХ, шириной 250 мм</v>
      </c>
      <c r="D56" s="41" t="str">
        <f>Source!H33</f>
        <v>м</v>
      </c>
      <c r="E56" s="42">
        <f>Source!I33</f>
        <v>1.6</v>
      </c>
      <c r="F56" s="43">
        <f>Source!AL33+Source!AM33+Source!AO33</f>
        <v>32.42</v>
      </c>
      <c r="G56" s="48" t="s">
        <v>6</v>
      </c>
      <c r="H56" s="43">
        <f>ROUND(Source!AC33*Source!I33, 2)+ROUND(Source!AD33*Source!I33, 2)+ROUND(Source!AF33*Source!I33, 2)</f>
        <v>51.87</v>
      </c>
      <c r="I56" s="44"/>
      <c r="J56" s="44">
        <f>IF(Source!BC33&lt;&gt; 0, Source!BC33, 1)</f>
        <v>6.11</v>
      </c>
      <c r="K56" s="43">
        <f>Source!O33</f>
        <v>316.94</v>
      </c>
      <c r="L56" s="49"/>
      <c r="S56">
        <f>ROUND((Source!FX33/100)*((ROUND(Source!AF33*Source!I33, 2)+ROUND(Source!AE33*Source!I33, 2))), 2)</f>
        <v>0</v>
      </c>
      <c r="T56">
        <f>Source!X33</f>
        <v>0</v>
      </c>
      <c r="U56">
        <f>ROUND((Source!FY33/100)*((ROUND(Source!AF33*Source!I33, 2)+ROUND(Source!AE33*Source!I33, 2))), 2)</f>
        <v>0</v>
      </c>
      <c r="V56">
        <f>Source!Y33</f>
        <v>0</v>
      </c>
      <c r="W56">
        <f>IF(Source!BI33&lt;=1,H56, 0)</f>
        <v>51.87</v>
      </c>
      <c r="X56">
        <f>IF(Source!BI33=2,H56, 0)</f>
        <v>0</v>
      </c>
      <c r="Y56">
        <f>IF(Source!BI33=3,H56, 0)</f>
        <v>0</v>
      </c>
      <c r="Z56">
        <f>IF(Source!BI33=4,H56, 0)</f>
        <v>0</v>
      </c>
    </row>
    <row r="57" spans="1:26" ht="15" x14ac:dyDescent="0.25">
      <c r="G57" s="92">
        <f>H49+H50+H52+H53+H54+SUM(H56:H56)</f>
        <v>161.60999999999999</v>
      </c>
      <c r="H57" s="92"/>
      <c r="J57" s="92">
        <f>K49+K50+K52+K53+K54+SUM(K56:K56)</f>
        <v>987.40999999999985</v>
      </c>
      <c r="K57" s="92"/>
      <c r="L57" s="46">
        <f>Source!U31</f>
        <v>0.39339199999999996</v>
      </c>
      <c r="O57" s="29">
        <f>G57</f>
        <v>161.60999999999999</v>
      </c>
      <c r="P57" s="29">
        <f>J57</f>
        <v>987.40999999999985</v>
      </c>
      <c r="Q57" s="29">
        <f>L57</f>
        <v>0.39339199999999996</v>
      </c>
      <c r="W57">
        <f>IF(Source!BI31&lt;=1,H49+H50+H52+H53+H54, 0)</f>
        <v>109.74</v>
      </c>
      <c r="X57">
        <f>IF(Source!BI31=2,H49+H50+H52+H53+H54, 0)</f>
        <v>0</v>
      </c>
      <c r="Y57">
        <f>IF(Source!BI31=3,H49+H50+H52+H53+H54, 0)</f>
        <v>0</v>
      </c>
      <c r="Z57">
        <f>IF(Source!BI31=4,H49+H50+H52+H53+H54, 0)</f>
        <v>0</v>
      </c>
    </row>
    <row r="58" spans="1:26" ht="57" x14ac:dyDescent="0.2">
      <c r="A58" s="51" t="str">
        <f>Source!E35</f>
        <v>4</v>
      </c>
      <c r="B58" s="52" t="str">
        <f>Source!F35</f>
        <v>15-01-050-04</v>
      </c>
      <c r="C58" s="52" t="str">
        <f>Source!G35</f>
        <v>Облицовка оконных и дверных откосов декоративным бумажно-слоистым пластиком или листами из синтетических материалов на клее</v>
      </c>
      <c r="D58" s="35" t="str">
        <f>Source!H35</f>
        <v>100 м2</v>
      </c>
      <c r="E58" s="13">
        <f>Source!I35</f>
        <v>1.23E-2</v>
      </c>
      <c r="F58" s="36">
        <f>Source!AL35+Source!AM35+Source!AO35</f>
        <v>1563.91</v>
      </c>
      <c r="G58" s="37"/>
      <c r="H58" s="36"/>
      <c r="I58" s="37" t="str">
        <f>Source!BO35</f>
        <v/>
      </c>
      <c r="J58" s="37"/>
      <c r="K58" s="36"/>
      <c r="L58" s="38"/>
      <c r="S58">
        <f>ROUND((Source!FX35/100)*((ROUND(Source!AF35*Source!I35, 2)+ROUND(Source!AE35*Source!I35, 2))), 2)</f>
        <v>20.53</v>
      </c>
      <c r="T58">
        <f>Source!X35</f>
        <v>126.09</v>
      </c>
      <c r="U58">
        <f>ROUND((Source!FY35/100)*((ROUND(Source!AF35*Source!I35, 2)+ROUND(Source!AE35*Source!I35, 2))), 2)</f>
        <v>10.16</v>
      </c>
      <c r="V58">
        <f>Source!Y35</f>
        <v>62.38</v>
      </c>
    </row>
    <row r="59" spans="1:26" x14ac:dyDescent="0.2">
      <c r="C59" s="28" t="str">
        <f>"Объем: "&amp;Source!I35&amp;"=1,23/"&amp;"100"</f>
        <v>Объем: 0,0123=1,23/100</v>
      </c>
    </row>
    <row r="60" spans="1:26" ht="14.25" x14ac:dyDescent="0.2">
      <c r="A60" s="51"/>
      <c r="B60" s="52"/>
      <c r="C60" s="52" t="s">
        <v>850</v>
      </c>
      <c r="D60" s="35"/>
      <c r="E60" s="13"/>
      <c r="F60" s="36">
        <f>Source!AO35</f>
        <v>1528.19</v>
      </c>
      <c r="G60" s="37" t="str">
        <f>Source!DG35</f>
        <v>)*1,15</v>
      </c>
      <c r="H60" s="36">
        <f>ROUND(Source!AF35*Source!I35, 2)</f>
        <v>21.62</v>
      </c>
      <c r="I60" s="37"/>
      <c r="J60" s="37">
        <f>IF(Source!BA35&lt;&gt; 0, Source!BA35, 1)</f>
        <v>6.11</v>
      </c>
      <c r="K60" s="36">
        <f>Source!S35</f>
        <v>132.08000000000001</v>
      </c>
      <c r="L60" s="38"/>
      <c r="R60">
        <f>H60</f>
        <v>21.62</v>
      </c>
    </row>
    <row r="61" spans="1:26" ht="14.25" x14ac:dyDescent="0.2">
      <c r="A61" s="51"/>
      <c r="B61" s="52"/>
      <c r="C61" s="52" t="s">
        <v>392</v>
      </c>
      <c r="D61" s="35"/>
      <c r="E61" s="13"/>
      <c r="F61" s="36">
        <f>Source!AM35</f>
        <v>35.36</v>
      </c>
      <c r="G61" s="37" t="str">
        <f>Source!DE35</f>
        <v>)*1,25</v>
      </c>
      <c r="H61" s="36">
        <f>ROUND(Source!AD35*Source!I35, 2)</f>
        <v>0.54</v>
      </c>
      <c r="I61" s="37"/>
      <c r="J61" s="37">
        <f>IF(Source!BB35&lt;&gt; 0, Source!BB35, 1)</f>
        <v>6.11</v>
      </c>
      <c r="K61" s="36">
        <f>Source!Q35</f>
        <v>3.32</v>
      </c>
      <c r="L61" s="38"/>
    </row>
    <row r="62" spans="1:26" ht="14.25" x14ac:dyDescent="0.2">
      <c r="A62" s="51"/>
      <c r="B62" s="52"/>
      <c r="C62" s="52" t="s">
        <v>851</v>
      </c>
      <c r="D62" s="35"/>
      <c r="E62" s="13"/>
      <c r="F62" s="36">
        <f>Source!AN35</f>
        <v>6.88</v>
      </c>
      <c r="G62" s="37" t="str">
        <f>Source!DF35</f>
        <v>)*1,25</v>
      </c>
      <c r="H62" s="39">
        <f>ROUND(Source!AE35*Source!I35, 2)</f>
        <v>0.11</v>
      </c>
      <c r="I62" s="37"/>
      <c r="J62" s="37">
        <f>IF(Source!BS35&lt;&gt; 0, Source!BS35, 1)</f>
        <v>6.11</v>
      </c>
      <c r="K62" s="39">
        <f>Source!R35</f>
        <v>0.65</v>
      </c>
      <c r="L62" s="38"/>
      <c r="R62">
        <f>H62</f>
        <v>0.11</v>
      </c>
    </row>
    <row r="63" spans="1:26" ht="14.25" x14ac:dyDescent="0.2">
      <c r="A63" s="51"/>
      <c r="B63" s="52"/>
      <c r="C63" s="52" t="s">
        <v>857</v>
      </c>
      <c r="D63" s="35"/>
      <c r="E63" s="13"/>
      <c r="F63" s="36">
        <f>Source!AL35</f>
        <v>0.36</v>
      </c>
      <c r="G63" s="37" t="str">
        <f>Source!DD35</f>
        <v/>
      </c>
      <c r="H63" s="36">
        <f>ROUND(Source!AC35*Source!I35, 2)</f>
        <v>0</v>
      </c>
      <c r="I63" s="37"/>
      <c r="J63" s="37">
        <f>IF(Source!BC35&lt;&gt; 0, Source!BC35, 1)</f>
        <v>6.11</v>
      </c>
      <c r="K63" s="36">
        <f>Source!P35</f>
        <v>0.03</v>
      </c>
      <c r="L63" s="38"/>
    </row>
    <row r="64" spans="1:26" ht="14.25" x14ac:dyDescent="0.2">
      <c r="A64" s="51"/>
      <c r="B64" s="52"/>
      <c r="C64" s="52" t="s">
        <v>852</v>
      </c>
      <c r="D64" s="35" t="s">
        <v>853</v>
      </c>
      <c r="E64" s="13">
        <f>Source!BZ35</f>
        <v>105</v>
      </c>
      <c r="F64" s="80" t="str">
        <f>CONCATENATE(" )", Source!DL35, Source!FT35, "=", Source!FX35)</f>
        <v xml:space="preserve"> )*0,9=94,5</v>
      </c>
      <c r="G64" s="91"/>
      <c r="H64" s="36">
        <f>SUM(S58:S69)</f>
        <v>20.53</v>
      </c>
      <c r="I64" s="40"/>
      <c r="J64" s="33">
        <f>Source!AT35</f>
        <v>95</v>
      </c>
      <c r="K64" s="36">
        <f>SUM(T58:T69)</f>
        <v>126.09</v>
      </c>
      <c r="L64" s="38"/>
    </row>
    <row r="65" spans="1:26" ht="14.25" x14ac:dyDescent="0.2">
      <c r="A65" s="51"/>
      <c r="B65" s="52"/>
      <c r="C65" s="52" t="s">
        <v>854</v>
      </c>
      <c r="D65" s="35" t="s">
        <v>853</v>
      </c>
      <c r="E65" s="13">
        <f>Source!CA35</f>
        <v>55</v>
      </c>
      <c r="F65" s="80" t="str">
        <f>CONCATENATE(" )", Source!DM35, Source!FU35, "=", Source!FY35)</f>
        <v xml:space="preserve"> )*0,85=46,75</v>
      </c>
      <c r="G65" s="91"/>
      <c r="H65" s="36">
        <f>SUM(U58:U69)</f>
        <v>10.16</v>
      </c>
      <c r="I65" s="40"/>
      <c r="J65" s="33">
        <f>Source!AU35</f>
        <v>47</v>
      </c>
      <c r="K65" s="36">
        <f>SUM(V58:V69)</f>
        <v>62.38</v>
      </c>
      <c r="L65" s="38"/>
    </row>
    <row r="66" spans="1:26" ht="14.25" x14ac:dyDescent="0.2">
      <c r="A66" s="51"/>
      <c r="B66" s="52"/>
      <c r="C66" s="52" t="s">
        <v>855</v>
      </c>
      <c r="D66" s="35" t="s">
        <v>856</v>
      </c>
      <c r="E66" s="13">
        <f>Source!AQ35</f>
        <v>166.47</v>
      </c>
      <c r="F66" s="36"/>
      <c r="G66" s="37" t="str">
        <f>Source!DI35</f>
        <v>)*1,15</v>
      </c>
      <c r="H66" s="36"/>
      <c r="I66" s="37"/>
      <c r="J66" s="37"/>
      <c r="K66" s="36"/>
      <c r="L66" s="47">
        <f>Source!U35</f>
        <v>2.3547181500000001</v>
      </c>
    </row>
    <row r="67" spans="1:26" ht="85.5" x14ac:dyDescent="0.2">
      <c r="A67" s="51" t="str">
        <f>Source!E37</f>
        <v>4,1</v>
      </c>
      <c r="B67" s="52" t="str">
        <f>Source!F37</f>
        <v>11.3.03.05-0011</v>
      </c>
      <c r="C67" s="52" t="str">
        <f>Source!G37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67" s="35" t="str">
        <f>Source!H37</f>
        <v>м2</v>
      </c>
      <c r="E67" s="13">
        <f>Source!I37</f>
        <v>1.2915000000000001</v>
      </c>
      <c r="F67" s="36">
        <f>Source!AL37+Source!AM37+Source!AO37</f>
        <v>59.16</v>
      </c>
      <c r="G67" s="50" t="s">
        <v>6</v>
      </c>
      <c r="H67" s="36">
        <f>ROUND(Source!AC37*Source!I37, 2)+ROUND(Source!AD37*Source!I37, 2)+ROUND(Source!AF37*Source!I37, 2)</f>
        <v>76.41</v>
      </c>
      <c r="I67" s="37"/>
      <c r="J67" s="37">
        <f>IF(Source!BC37&lt;&gt; 0, Source!BC37, 1)</f>
        <v>6.11</v>
      </c>
      <c r="K67" s="36">
        <f>Source!O37</f>
        <v>466.84</v>
      </c>
      <c r="L67" s="38"/>
      <c r="S67">
        <f>ROUND((Source!FX37/100)*((ROUND(Source!AF37*Source!I37, 2)+ROUND(Source!AE37*Source!I37, 2))), 2)</f>
        <v>0</v>
      </c>
      <c r="T67">
        <f>Source!X37</f>
        <v>0</v>
      </c>
      <c r="U67">
        <f>ROUND((Source!FY37/100)*((ROUND(Source!AF37*Source!I37, 2)+ROUND(Source!AE37*Source!I37, 2))), 2)</f>
        <v>0</v>
      </c>
      <c r="V67">
        <f>Source!Y37</f>
        <v>0</v>
      </c>
      <c r="W67">
        <f>IF(Source!BI37&lt;=1,H67, 0)</f>
        <v>76.41</v>
      </c>
      <c r="X67">
        <f>IF(Source!BI37=2,H67, 0)</f>
        <v>0</v>
      </c>
      <c r="Y67">
        <f>IF(Source!BI37=3,H67, 0)</f>
        <v>0</v>
      </c>
      <c r="Z67">
        <f>IF(Source!BI37=4,H67, 0)</f>
        <v>0</v>
      </c>
    </row>
    <row r="68" spans="1:26" ht="28.5" x14ac:dyDescent="0.2">
      <c r="A68" s="51" t="str">
        <f>Source!E39</f>
        <v>4,2</v>
      </c>
      <c r="B68" s="52" t="str">
        <f>Source!F39</f>
        <v>14.1.02.04-0102</v>
      </c>
      <c r="C68" s="52" t="str">
        <f>Source!G39</f>
        <v>Клей Forbo 522, для укладки ПВХ-покрытий</v>
      </c>
      <c r="D68" s="35" t="str">
        <f>Source!H39</f>
        <v>кг</v>
      </c>
      <c r="E68" s="13">
        <f>Source!I39</f>
        <v>0.36899999999999999</v>
      </c>
      <c r="F68" s="36">
        <f>Source!AL39+Source!AM39+Source!AO39</f>
        <v>25.56</v>
      </c>
      <c r="G68" s="50" t="s">
        <v>6</v>
      </c>
      <c r="H68" s="36">
        <f>ROUND(Source!AC39*Source!I39, 2)+ROUND(Source!AD39*Source!I39, 2)+ROUND(Source!AF39*Source!I39, 2)</f>
        <v>9.43</v>
      </c>
      <c r="I68" s="37"/>
      <c r="J68" s="37">
        <f>IF(Source!BC39&lt;&gt; 0, Source!BC39, 1)</f>
        <v>6.11</v>
      </c>
      <c r="K68" s="36">
        <f>Source!O39</f>
        <v>57.63</v>
      </c>
      <c r="L68" s="38"/>
      <c r="S68">
        <f>ROUND((Source!FX39/100)*((ROUND(Source!AF39*Source!I39, 2)+ROUND(Source!AE39*Source!I39, 2))), 2)</f>
        <v>0</v>
      </c>
      <c r="T68">
        <f>Source!X39</f>
        <v>0</v>
      </c>
      <c r="U68">
        <f>ROUND((Source!FY39/100)*((ROUND(Source!AF39*Source!I39, 2)+ROUND(Source!AE39*Source!I39, 2))), 2)</f>
        <v>0</v>
      </c>
      <c r="V68">
        <f>Source!Y39</f>
        <v>0</v>
      </c>
      <c r="W68">
        <f>IF(Source!BI39&lt;=1,H68, 0)</f>
        <v>9.43</v>
      </c>
      <c r="X68">
        <f>IF(Source!BI39=2,H68, 0)</f>
        <v>0</v>
      </c>
      <c r="Y68">
        <f>IF(Source!BI39=3,H68, 0)</f>
        <v>0</v>
      </c>
      <c r="Z68">
        <f>IF(Source!BI39=4,H68, 0)</f>
        <v>0</v>
      </c>
    </row>
    <row r="69" spans="1:26" ht="28.5" x14ac:dyDescent="0.2">
      <c r="A69" s="53" t="str">
        <f>Source!E41</f>
        <v>4,3</v>
      </c>
      <c r="B69" s="54" t="str">
        <f>Source!F41</f>
        <v>14.3.01.02-0102</v>
      </c>
      <c r="C69" s="54" t="str">
        <f>Source!G41</f>
        <v>Грунтовка: водно-дисперсионная "БИРСС Бетон-контакт"</v>
      </c>
      <c r="D69" s="41" t="str">
        <f>Source!H41</f>
        <v>т</v>
      </c>
      <c r="E69" s="42">
        <f>Source!I41</f>
        <v>1.0899999999999999E-4</v>
      </c>
      <c r="F69" s="43">
        <f>Source!AL41+Source!AM41+Source!AO41</f>
        <v>18390.16</v>
      </c>
      <c r="G69" s="48" t="s">
        <v>6</v>
      </c>
      <c r="H69" s="43">
        <f>ROUND(Source!AC41*Source!I41, 2)+ROUND(Source!AD41*Source!I41, 2)+ROUND(Source!AF41*Source!I41, 2)</f>
        <v>2</v>
      </c>
      <c r="I69" s="44"/>
      <c r="J69" s="44">
        <f>IF(Source!BC41&lt;&gt; 0, Source!BC41, 1)</f>
        <v>6.11</v>
      </c>
      <c r="K69" s="43">
        <f>Source!O41</f>
        <v>12.25</v>
      </c>
      <c r="L69" s="49"/>
      <c r="S69">
        <f>ROUND((Source!FX41/100)*((ROUND(Source!AF41*Source!I41, 2)+ROUND(Source!AE41*Source!I41, 2))), 2)</f>
        <v>0</v>
      </c>
      <c r="T69">
        <f>Source!X41</f>
        <v>0</v>
      </c>
      <c r="U69">
        <f>ROUND((Source!FY41/100)*((ROUND(Source!AF41*Source!I41, 2)+ROUND(Source!AE41*Source!I41, 2))), 2)</f>
        <v>0</v>
      </c>
      <c r="V69">
        <f>Source!Y41</f>
        <v>0</v>
      </c>
      <c r="W69">
        <f>IF(Source!BI41&lt;=1,H69, 0)</f>
        <v>2</v>
      </c>
      <c r="X69">
        <f>IF(Source!BI41=2,H69, 0)</f>
        <v>0</v>
      </c>
      <c r="Y69">
        <f>IF(Source!BI41=3,H69, 0)</f>
        <v>0</v>
      </c>
      <c r="Z69">
        <f>IF(Source!BI41=4,H69, 0)</f>
        <v>0</v>
      </c>
    </row>
    <row r="70" spans="1:26" ht="15" x14ac:dyDescent="0.25">
      <c r="G70" s="92">
        <f>H60+H61+H63+H64+H65+SUM(H67:H69)</f>
        <v>140.69</v>
      </c>
      <c r="H70" s="92"/>
      <c r="J70" s="92">
        <f>K60+K61+K63+K64+K65+SUM(K67:K69)</f>
        <v>860.62</v>
      </c>
      <c r="K70" s="92"/>
      <c r="L70" s="46">
        <f>Source!U35</f>
        <v>2.3547181500000001</v>
      </c>
      <c r="O70" s="29">
        <f>G70</f>
        <v>140.69</v>
      </c>
      <c r="P70" s="29">
        <f>J70</f>
        <v>860.62</v>
      </c>
      <c r="Q70" s="29">
        <f>L70</f>
        <v>2.3547181500000001</v>
      </c>
      <c r="W70">
        <f>IF(Source!BI35&lt;=1,H60+H61+H63+H64+H65, 0)</f>
        <v>52.849999999999994</v>
      </c>
      <c r="X70">
        <f>IF(Source!BI35=2,H60+H61+H63+H64+H65, 0)</f>
        <v>0</v>
      </c>
      <c r="Y70">
        <f>IF(Source!BI35=3,H60+H61+H63+H64+H65, 0)</f>
        <v>0</v>
      </c>
      <c r="Z70">
        <f>IF(Source!BI35=4,H60+H61+H63+H64+H65, 0)</f>
        <v>0</v>
      </c>
    </row>
    <row r="71" spans="1:26" ht="28.5" x14ac:dyDescent="0.2">
      <c r="A71" s="51" t="str">
        <f>Source!E43</f>
        <v>5</v>
      </c>
      <c r="B71" s="52" t="str">
        <f>Source!F43</f>
        <v>10-01-036-01</v>
      </c>
      <c r="C71" s="52" t="str">
        <f>Source!G43</f>
        <v>Установка уголков ПВХ на клее</v>
      </c>
      <c r="D71" s="35" t="str">
        <f>Source!H43</f>
        <v>100 м</v>
      </c>
      <c r="E71" s="13">
        <f>Source!I43</f>
        <v>6.1499999999999999E-2</v>
      </c>
      <c r="F71" s="36">
        <f>Source!AL43+Source!AM43+Source!AO43</f>
        <v>93.15</v>
      </c>
      <c r="G71" s="37"/>
      <c r="H71" s="36"/>
      <c r="I71" s="37" t="str">
        <f>Source!BO43</f>
        <v/>
      </c>
      <c r="J71" s="37"/>
      <c r="K71" s="36"/>
      <c r="L71" s="38"/>
      <c r="S71">
        <f>ROUND((Source!FX43/100)*((ROUND(Source!AF43*Source!I43, 2)+ROUND(Source!AE43*Source!I43, 2))), 2)</f>
        <v>4.29</v>
      </c>
      <c r="T71">
        <f>Source!X43</f>
        <v>26.18</v>
      </c>
      <c r="U71">
        <f>ROUND((Source!FY43/100)*((ROUND(Source!AF43*Source!I43, 2)+ROUND(Source!AE43*Source!I43, 2))), 2)</f>
        <v>2.16</v>
      </c>
      <c r="V71">
        <f>Source!Y43</f>
        <v>13.34</v>
      </c>
    </row>
    <row r="72" spans="1:26" x14ac:dyDescent="0.2">
      <c r="C72" s="28" t="str">
        <f>"Объем: "&amp;Source!I43&amp;"=6,15/"&amp;"100"</f>
        <v>Объем: 0,0615=6,15/100</v>
      </c>
    </row>
    <row r="73" spans="1:26" ht="14.25" x14ac:dyDescent="0.2">
      <c r="A73" s="51"/>
      <c r="B73" s="52"/>
      <c r="C73" s="52" t="s">
        <v>850</v>
      </c>
      <c r="D73" s="35"/>
      <c r="E73" s="13"/>
      <c r="F73" s="36">
        <f>Source!AO43</f>
        <v>57.15</v>
      </c>
      <c r="G73" s="37" t="str">
        <f>Source!DG43</f>
        <v>)*1,15</v>
      </c>
      <c r="H73" s="36">
        <f>ROUND(Source!AF43*Source!I43, 2)</f>
        <v>4.04</v>
      </c>
      <c r="I73" s="37"/>
      <c r="J73" s="37">
        <f>IF(Source!BA43&lt;&gt; 0, Source!BA43, 1)</f>
        <v>6.11</v>
      </c>
      <c r="K73" s="36">
        <f>Source!S43</f>
        <v>24.7</v>
      </c>
      <c r="L73" s="38"/>
      <c r="R73">
        <f>H73</f>
        <v>4.04</v>
      </c>
    </row>
    <row r="74" spans="1:26" ht="14.25" x14ac:dyDescent="0.2">
      <c r="A74" s="51"/>
      <c r="B74" s="52"/>
      <c r="C74" s="52" t="s">
        <v>857</v>
      </c>
      <c r="D74" s="35"/>
      <c r="E74" s="13"/>
      <c r="F74" s="36">
        <f>Source!AL43</f>
        <v>36</v>
      </c>
      <c r="G74" s="37" t="str">
        <f>Source!DD43</f>
        <v/>
      </c>
      <c r="H74" s="36">
        <f>ROUND(Source!AC43*Source!I43, 2)</f>
        <v>2.21</v>
      </c>
      <c r="I74" s="37"/>
      <c r="J74" s="37">
        <f>IF(Source!BC43&lt;&gt; 0, Source!BC43, 1)</f>
        <v>6.11</v>
      </c>
      <c r="K74" s="36">
        <f>Source!P43</f>
        <v>13.53</v>
      </c>
      <c r="L74" s="38"/>
    </row>
    <row r="75" spans="1:26" ht="14.25" x14ac:dyDescent="0.2">
      <c r="A75" s="51"/>
      <c r="B75" s="52"/>
      <c r="C75" s="52" t="s">
        <v>852</v>
      </c>
      <c r="D75" s="35" t="s">
        <v>853</v>
      </c>
      <c r="E75" s="13">
        <f>Source!BZ43</f>
        <v>118</v>
      </c>
      <c r="F75" s="80" t="str">
        <f>CONCATENATE(" )", Source!DL43, Source!FT43, "=", Source!FX43)</f>
        <v xml:space="preserve"> )*0,9=106,2</v>
      </c>
      <c r="G75" s="91"/>
      <c r="H75" s="36">
        <f>SUM(S71:S78)</f>
        <v>4.29</v>
      </c>
      <c r="I75" s="40"/>
      <c r="J75" s="33">
        <f>Source!AT43</f>
        <v>106</v>
      </c>
      <c r="K75" s="36">
        <f>SUM(T71:T78)</f>
        <v>26.18</v>
      </c>
      <c r="L75" s="38"/>
    </row>
    <row r="76" spans="1:26" ht="14.25" x14ac:dyDescent="0.2">
      <c r="A76" s="51"/>
      <c r="B76" s="52"/>
      <c r="C76" s="52" t="s">
        <v>854</v>
      </c>
      <c r="D76" s="35" t="s">
        <v>853</v>
      </c>
      <c r="E76" s="13">
        <f>Source!CA43</f>
        <v>63</v>
      </c>
      <c r="F76" s="80" t="str">
        <f>CONCATENATE(" )", Source!DM43, Source!FU43, "=", Source!FY43)</f>
        <v xml:space="preserve"> )*0,85=53,55</v>
      </c>
      <c r="G76" s="91"/>
      <c r="H76" s="36">
        <f>SUM(U71:U78)</f>
        <v>2.16</v>
      </c>
      <c r="I76" s="40"/>
      <c r="J76" s="33">
        <f>Source!AU43</f>
        <v>54</v>
      </c>
      <c r="K76" s="36">
        <f>SUM(V71:V78)</f>
        <v>13.34</v>
      </c>
      <c r="L76" s="38"/>
    </row>
    <row r="77" spans="1:26" ht="14.25" x14ac:dyDescent="0.2">
      <c r="A77" s="51"/>
      <c r="B77" s="52"/>
      <c r="C77" s="52" t="s">
        <v>855</v>
      </c>
      <c r="D77" s="35" t="s">
        <v>856</v>
      </c>
      <c r="E77" s="13">
        <f>Source!AQ43</f>
        <v>6.7</v>
      </c>
      <c r="F77" s="36"/>
      <c r="G77" s="37" t="str">
        <f>Source!DI43</f>
        <v>)*1,15</v>
      </c>
      <c r="H77" s="36"/>
      <c r="I77" s="37"/>
      <c r="J77" s="37"/>
      <c r="K77" s="36"/>
      <c r="L77" s="47">
        <f>Source!U43</f>
        <v>0.47385749999999993</v>
      </c>
    </row>
    <row r="78" spans="1:26" ht="28.5" x14ac:dyDescent="0.2">
      <c r="A78" s="53" t="str">
        <f>Source!E45</f>
        <v>5,1</v>
      </c>
      <c r="B78" s="54" t="str">
        <f>Source!F45</f>
        <v>11.3.03.13-0045</v>
      </c>
      <c r="C78" s="54" t="str">
        <f>Source!G45</f>
        <v>Уголок ПВХ, размером 30х30 мм</v>
      </c>
      <c r="D78" s="41" t="str">
        <f>Source!H45</f>
        <v>10 м</v>
      </c>
      <c r="E78" s="42">
        <f>Source!I45</f>
        <v>0.61499999999999999</v>
      </c>
      <c r="F78" s="43">
        <f>Source!AL45+Source!AM45+Source!AO45</f>
        <v>32.4</v>
      </c>
      <c r="G78" s="48" t="s">
        <v>6</v>
      </c>
      <c r="H78" s="43">
        <f>ROUND(Source!AC45*Source!I45, 2)+ROUND(Source!AD45*Source!I45, 2)+ROUND(Source!AF45*Source!I45, 2)</f>
        <v>19.93</v>
      </c>
      <c r="I78" s="44"/>
      <c r="J78" s="44">
        <f>IF(Source!BC45&lt;&gt; 0, Source!BC45, 1)</f>
        <v>6.11</v>
      </c>
      <c r="K78" s="43">
        <f>Source!O45</f>
        <v>121.75</v>
      </c>
      <c r="L78" s="49"/>
      <c r="S78">
        <f>ROUND((Source!FX45/100)*((ROUND(Source!AF45*Source!I45, 2)+ROUND(Source!AE45*Source!I45, 2))), 2)</f>
        <v>0</v>
      </c>
      <c r="T78">
        <f>Source!X45</f>
        <v>0</v>
      </c>
      <c r="U78">
        <f>ROUND((Source!FY45/100)*((ROUND(Source!AF45*Source!I45, 2)+ROUND(Source!AE45*Source!I45, 2))), 2)</f>
        <v>0</v>
      </c>
      <c r="V78">
        <f>Source!Y45</f>
        <v>0</v>
      </c>
      <c r="W78">
        <f>IF(Source!BI45&lt;=1,H78, 0)</f>
        <v>19.93</v>
      </c>
      <c r="X78">
        <f>IF(Source!BI45=2,H78, 0)</f>
        <v>0</v>
      </c>
      <c r="Y78">
        <f>IF(Source!BI45=3,H78, 0)</f>
        <v>0</v>
      </c>
      <c r="Z78">
        <f>IF(Source!BI45=4,H78, 0)</f>
        <v>0</v>
      </c>
    </row>
    <row r="79" spans="1:26" ht="15" x14ac:dyDescent="0.25">
      <c r="G79" s="92">
        <f>H73+H74+H75+H76+SUM(H78:H78)</f>
        <v>32.629999999999995</v>
      </c>
      <c r="H79" s="92"/>
      <c r="J79" s="92">
        <f>K73+K74+K75+K76+SUM(K78:K78)</f>
        <v>199.5</v>
      </c>
      <c r="K79" s="92"/>
      <c r="L79" s="46">
        <f>Source!U43</f>
        <v>0.47385749999999993</v>
      </c>
      <c r="O79" s="29">
        <f>G79</f>
        <v>32.629999999999995</v>
      </c>
      <c r="P79" s="29">
        <f>J79</f>
        <v>199.5</v>
      </c>
      <c r="Q79" s="29">
        <f>L79</f>
        <v>0.47385749999999993</v>
      </c>
      <c r="W79">
        <f>IF(Source!BI43&lt;=1,H73+H74+H75+H76, 0)</f>
        <v>12.7</v>
      </c>
      <c r="X79">
        <f>IF(Source!BI43=2,H73+H74+H75+H76, 0)</f>
        <v>0</v>
      </c>
      <c r="Y79">
        <f>IF(Source!BI43=3,H73+H74+H75+H76, 0)</f>
        <v>0</v>
      </c>
      <c r="Z79">
        <f>IF(Source!BI43=4,H73+H74+H75+H76, 0)</f>
        <v>0</v>
      </c>
    </row>
    <row r="80" spans="1:26" ht="28.5" x14ac:dyDescent="0.2">
      <c r="A80" s="51" t="str">
        <f>Source!E47</f>
        <v>6</v>
      </c>
      <c r="B80" s="52" t="str">
        <f>Source!F47</f>
        <v>09-06-001-02</v>
      </c>
      <c r="C80" s="52" t="str">
        <f>Source!G47</f>
        <v>Демонтаж лотков, решеток, затворов из полосовой и тонколистовой стали</v>
      </c>
      <c r="D80" s="35" t="str">
        <f>Source!H47</f>
        <v>т</v>
      </c>
      <c r="E80" s="13">
        <f>Source!I47</f>
        <v>2.5000000000000001E-2</v>
      </c>
      <c r="F80" s="36">
        <f>Source!AL47+Source!AM47+Source!AO47</f>
        <v>641</v>
      </c>
      <c r="G80" s="37"/>
      <c r="H80" s="36"/>
      <c r="I80" s="37" t="str">
        <f>Source!BO47</f>
        <v/>
      </c>
      <c r="J80" s="37"/>
      <c r="K80" s="36"/>
      <c r="L80" s="38"/>
      <c r="S80">
        <f>ROUND((Source!FX47/100)*((ROUND(Source!AF47*Source!I47, 2)+ROUND(Source!AE47*Source!I47, 2))), 2)</f>
        <v>6.2</v>
      </c>
      <c r="T80">
        <f>Source!X47</f>
        <v>37.85</v>
      </c>
      <c r="U80">
        <f>ROUND((Source!FY47/100)*((ROUND(Source!AF47*Source!I47, 2)+ROUND(Source!AE47*Source!I47, 2))), 2)</f>
        <v>5.53</v>
      </c>
      <c r="V80">
        <f>Source!Y47</f>
        <v>33.65</v>
      </c>
    </row>
    <row r="81" spans="1:26" ht="14.25" x14ac:dyDescent="0.2">
      <c r="A81" s="51"/>
      <c r="B81" s="52"/>
      <c r="C81" s="52" t="s">
        <v>850</v>
      </c>
      <c r="D81" s="35"/>
      <c r="E81" s="13"/>
      <c r="F81" s="36">
        <f>Source!AO47</f>
        <v>433.24</v>
      </c>
      <c r="G81" s="37" t="str">
        <f>Source!DG47</f>
        <v>)*0,7</v>
      </c>
      <c r="H81" s="36">
        <f>ROUND(Source!AF47*Source!I47, 2)</f>
        <v>7.58</v>
      </c>
      <c r="I81" s="37"/>
      <c r="J81" s="37">
        <f>IF(Source!BA47&lt;&gt; 0, Source!BA47, 1)</f>
        <v>6.11</v>
      </c>
      <c r="K81" s="36">
        <f>Source!S47</f>
        <v>46.32</v>
      </c>
      <c r="L81" s="38"/>
      <c r="R81">
        <f>H81</f>
        <v>7.58</v>
      </c>
    </row>
    <row r="82" spans="1:26" ht="14.25" x14ac:dyDescent="0.2">
      <c r="A82" s="51"/>
      <c r="B82" s="52"/>
      <c r="C82" s="52" t="s">
        <v>392</v>
      </c>
      <c r="D82" s="35"/>
      <c r="E82" s="13"/>
      <c r="F82" s="36">
        <f>Source!AM47</f>
        <v>125.8</v>
      </c>
      <c r="G82" s="37" t="str">
        <f>Source!DE47</f>
        <v>)*0,7</v>
      </c>
      <c r="H82" s="36">
        <f>ROUND(Source!AD47*Source!I47, 2)</f>
        <v>2.2000000000000002</v>
      </c>
      <c r="I82" s="37"/>
      <c r="J82" s="37">
        <f>IF(Source!BB47&lt;&gt; 0, Source!BB47, 1)</f>
        <v>6.11</v>
      </c>
      <c r="K82" s="36">
        <f>Source!Q47</f>
        <v>13.45</v>
      </c>
      <c r="L82" s="38"/>
    </row>
    <row r="83" spans="1:26" ht="14.25" x14ac:dyDescent="0.2">
      <c r="A83" s="51"/>
      <c r="B83" s="52"/>
      <c r="C83" s="52" t="s">
        <v>851</v>
      </c>
      <c r="D83" s="35"/>
      <c r="E83" s="13"/>
      <c r="F83" s="36">
        <f>Source!AN47</f>
        <v>3.82</v>
      </c>
      <c r="G83" s="37" t="str">
        <f>Source!DF47</f>
        <v>)*0,7</v>
      </c>
      <c r="H83" s="39">
        <f>ROUND(Source!AE47*Source!I47, 2)</f>
        <v>7.0000000000000007E-2</v>
      </c>
      <c r="I83" s="37"/>
      <c r="J83" s="37">
        <f>IF(Source!BS47&lt;&gt; 0, Source!BS47, 1)</f>
        <v>6.11</v>
      </c>
      <c r="K83" s="39">
        <f>Source!R47</f>
        <v>0.41</v>
      </c>
      <c r="L83" s="38"/>
      <c r="R83">
        <f>H83</f>
        <v>7.0000000000000007E-2</v>
      </c>
    </row>
    <row r="84" spans="1:26" ht="14.25" x14ac:dyDescent="0.2">
      <c r="A84" s="51"/>
      <c r="B84" s="52"/>
      <c r="C84" s="52" t="s">
        <v>852</v>
      </c>
      <c r="D84" s="35" t="s">
        <v>853</v>
      </c>
      <c r="E84" s="13">
        <f>Source!BZ47</f>
        <v>90</v>
      </c>
      <c r="F84" s="80" t="str">
        <f>CONCATENATE(" )", Source!DL47, Source!FT47, "=", Source!FX47)</f>
        <v xml:space="preserve"> )*0,9=81</v>
      </c>
      <c r="G84" s="91"/>
      <c r="H84" s="36">
        <f>SUM(S80:S86)</f>
        <v>6.2</v>
      </c>
      <c r="I84" s="40"/>
      <c r="J84" s="33">
        <f>Source!AT47</f>
        <v>81</v>
      </c>
      <c r="K84" s="36">
        <f>SUM(T80:T86)</f>
        <v>37.85</v>
      </c>
      <c r="L84" s="38"/>
    </row>
    <row r="85" spans="1:26" ht="14.25" x14ac:dyDescent="0.2">
      <c r="A85" s="51"/>
      <c r="B85" s="52"/>
      <c r="C85" s="52" t="s">
        <v>854</v>
      </c>
      <c r="D85" s="35" t="s">
        <v>853</v>
      </c>
      <c r="E85" s="13">
        <f>Source!CA47</f>
        <v>85</v>
      </c>
      <c r="F85" s="80" t="str">
        <f>CONCATENATE(" )", Source!DM47, Source!FU47, "=", Source!FY47)</f>
        <v xml:space="preserve"> )*0,85=72,25</v>
      </c>
      <c r="G85" s="91"/>
      <c r="H85" s="36">
        <f>SUM(U80:U86)</f>
        <v>5.53</v>
      </c>
      <c r="I85" s="40"/>
      <c r="J85" s="33">
        <f>Source!AU47</f>
        <v>72</v>
      </c>
      <c r="K85" s="36">
        <f>SUM(V80:V86)</f>
        <v>33.65</v>
      </c>
      <c r="L85" s="38"/>
    </row>
    <row r="86" spans="1:26" ht="14.25" x14ac:dyDescent="0.2">
      <c r="A86" s="53"/>
      <c r="B86" s="54"/>
      <c r="C86" s="54" t="s">
        <v>855</v>
      </c>
      <c r="D86" s="41" t="s">
        <v>856</v>
      </c>
      <c r="E86" s="42">
        <f>Source!AQ47</f>
        <v>50.79</v>
      </c>
      <c r="F86" s="43"/>
      <c r="G86" s="44" t="str">
        <f>Source!DI47</f>
        <v>)*0,7</v>
      </c>
      <c r="H86" s="43"/>
      <c r="I86" s="44"/>
      <c r="J86" s="44"/>
      <c r="K86" s="43"/>
      <c r="L86" s="45">
        <f>Source!U47</f>
        <v>0.88882499999999998</v>
      </c>
    </row>
    <row r="87" spans="1:26" ht="15" x14ac:dyDescent="0.25">
      <c r="G87" s="92">
        <f>H81+H82+H84+H85</f>
        <v>21.51</v>
      </c>
      <c r="H87" s="92"/>
      <c r="J87" s="92">
        <f>K81+K82+K84+K85</f>
        <v>131.27000000000001</v>
      </c>
      <c r="K87" s="92"/>
      <c r="L87" s="46">
        <f>Source!U47</f>
        <v>0.88882499999999998</v>
      </c>
      <c r="O87" s="29">
        <f>G87</f>
        <v>21.51</v>
      </c>
      <c r="P87" s="29">
        <f>J87</f>
        <v>131.27000000000001</v>
      </c>
      <c r="Q87" s="29">
        <f>L87</f>
        <v>0.88882499999999998</v>
      </c>
      <c r="W87">
        <f>IF(Source!BI47&lt;=1,H81+H82+H84+H85, 0)</f>
        <v>21.51</v>
      </c>
      <c r="X87">
        <f>IF(Source!BI47=2,H81+H82+H84+H85, 0)</f>
        <v>0</v>
      </c>
      <c r="Y87">
        <f>IF(Source!BI47=3,H81+H82+H84+H85, 0)</f>
        <v>0</v>
      </c>
      <c r="Z87">
        <f>IF(Source!BI47=4,H81+H82+H84+H85, 0)</f>
        <v>0</v>
      </c>
    </row>
    <row r="88" spans="1:26" ht="42.75" x14ac:dyDescent="0.2">
      <c r="A88" s="51" t="str">
        <f>Source!E49</f>
        <v>7</v>
      </c>
      <c r="B88" s="52" t="str">
        <f>Source!F49</f>
        <v>58-20-1</v>
      </c>
      <c r="C88" s="52" t="str">
        <f>Source!G49</f>
        <v>Смена обделок из листовой стали (поясков, сандриков, отливов, карнизов) шириной до 0,4 м</v>
      </c>
      <c r="D88" s="35" t="str">
        <f>Source!H49</f>
        <v>100 м</v>
      </c>
      <c r="E88" s="13">
        <f>Source!I49</f>
        <v>1.4E-2</v>
      </c>
      <c r="F88" s="36">
        <f>Source!AL49+Source!AM49+Source!AO49</f>
        <v>454.41</v>
      </c>
      <c r="G88" s="37"/>
      <c r="H88" s="36"/>
      <c r="I88" s="37" t="str">
        <f>Source!BO49</f>
        <v/>
      </c>
      <c r="J88" s="37"/>
      <c r="K88" s="36"/>
      <c r="L88" s="38"/>
      <c r="S88">
        <f>ROUND((Source!FX49/100)*((ROUND(Source!AF49*Source!I49, 2)+ROUND(Source!AE49*Source!I49, 2))), 2)</f>
        <v>4.13</v>
      </c>
      <c r="T88">
        <f>Source!X49</f>
        <v>25.19</v>
      </c>
      <c r="U88">
        <f>ROUND((Source!FY49/100)*((ROUND(Source!AF49*Source!I49, 2)+ROUND(Source!AE49*Source!I49, 2))), 2)</f>
        <v>3.23</v>
      </c>
      <c r="V88">
        <f>Source!Y49</f>
        <v>19.73</v>
      </c>
    </row>
    <row r="89" spans="1:26" x14ac:dyDescent="0.2">
      <c r="C89" s="28" t="str">
        <f>"Объем: "&amp;Source!I49&amp;"=1,4/"&amp;"100"</f>
        <v>Объем: 0,014=1,4/100</v>
      </c>
    </row>
    <row r="90" spans="1:26" ht="14.25" x14ac:dyDescent="0.2">
      <c r="A90" s="51"/>
      <c r="B90" s="52"/>
      <c r="C90" s="52" t="s">
        <v>850</v>
      </c>
      <c r="D90" s="35"/>
      <c r="E90" s="13"/>
      <c r="F90" s="36">
        <f>Source!AO49</f>
        <v>353.23</v>
      </c>
      <c r="G90" s="37" t="str">
        <f>Source!DG49</f>
        <v/>
      </c>
      <c r="H90" s="36">
        <f>ROUND(Source!AF49*Source!I49, 2)</f>
        <v>4.95</v>
      </c>
      <c r="I90" s="37"/>
      <c r="J90" s="37">
        <f>IF(Source!BA49&lt;&gt; 0, Source!BA49, 1)</f>
        <v>6.11</v>
      </c>
      <c r="K90" s="36">
        <f>Source!S49</f>
        <v>30.22</v>
      </c>
      <c r="L90" s="38"/>
      <c r="R90">
        <f>H90</f>
        <v>4.95</v>
      </c>
    </row>
    <row r="91" spans="1:26" ht="14.25" x14ac:dyDescent="0.2">
      <c r="A91" s="51"/>
      <c r="B91" s="52"/>
      <c r="C91" s="52" t="s">
        <v>392</v>
      </c>
      <c r="D91" s="35"/>
      <c r="E91" s="13"/>
      <c r="F91" s="36">
        <f>Source!AM49</f>
        <v>5.13</v>
      </c>
      <c r="G91" s="37" t="str">
        <f>Source!DE49</f>
        <v/>
      </c>
      <c r="H91" s="36">
        <f>ROUND(Source!AD49*Source!I49, 2)</f>
        <v>7.0000000000000007E-2</v>
      </c>
      <c r="I91" s="37"/>
      <c r="J91" s="37">
        <f>IF(Source!BB49&lt;&gt; 0, Source!BB49, 1)</f>
        <v>6.11</v>
      </c>
      <c r="K91" s="36">
        <f>Source!Q49</f>
        <v>0.44</v>
      </c>
      <c r="L91" s="38"/>
    </row>
    <row r="92" spans="1:26" ht="14.25" x14ac:dyDescent="0.2">
      <c r="A92" s="51"/>
      <c r="B92" s="52"/>
      <c r="C92" s="52" t="s">
        <v>851</v>
      </c>
      <c r="D92" s="35"/>
      <c r="E92" s="13"/>
      <c r="F92" s="36">
        <f>Source!AN49</f>
        <v>1.54</v>
      </c>
      <c r="G92" s="37" t="str">
        <f>Source!DF49</f>
        <v/>
      </c>
      <c r="H92" s="39">
        <f>ROUND(Source!AE49*Source!I49, 2)</f>
        <v>0.02</v>
      </c>
      <c r="I92" s="37"/>
      <c r="J92" s="37">
        <f>IF(Source!BS49&lt;&gt; 0, Source!BS49, 1)</f>
        <v>6.11</v>
      </c>
      <c r="K92" s="39">
        <f>Source!R49</f>
        <v>0.13</v>
      </c>
      <c r="L92" s="38"/>
      <c r="R92">
        <f>H92</f>
        <v>0.02</v>
      </c>
    </row>
    <row r="93" spans="1:26" ht="14.25" x14ac:dyDescent="0.2">
      <c r="A93" s="51"/>
      <c r="B93" s="52"/>
      <c r="C93" s="52" t="s">
        <v>857</v>
      </c>
      <c r="D93" s="35"/>
      <c r="E93" s="13"/>
      <c r="F93" s="36">
        <f>Source!AL49</f>
        <v>96.05</v>
      </c>
      <c r="G93" s="37" t="str">
        <f>Source!DD49</f>
        <v/>
      </c>
      <c r="H93" s="36">
        <f>ROUND(Source!AC49*Source!I49, 2)</f>
        <v>1.34</v>
      </c>
      <c r="I93" s="37"/>
      <c r="J93" s="37">
        <f>IF(Source!BC49&lt;&gt; 0, Source!BC49, 1)</f>
        <v>6.11</v>
      </c>
      <c r="K93" s="36">
        <f>Source!P49</f>
        <v>8.2200000000000006</v>
      </c>
      <c r="L93" s="38"/>
    </row>
    <row r="94" spans="1:26" ht="14.25" x14ac:dyDescent="0.2">
      <c r="A94" s="51"/>
      <c r="B94" s="52"/>
      <c r="C94" s="52" t="s">
        <v>852</v>
      </c>
      <c r="D94" s="35" t="s">
        <v>853</v>
      </c>
      <c r="E94" s="13">
        <f>Source!BZ49</f>
        <v>83</v>
      </c>
      <c r="F94" s="55"/>
      <c r="G94" s="37"/>
      <c r="H94" s="36">
        <f>SUM(S88:S98)</f>
        <v>4.13</v>
      </c>
      <c r="I94" s="40"/>
      <c r="J94" s="33">
        <f>Source!AT49</f>
        <v>83</v>
      </c>
      <c r="K94" s="36">
        <f>SUM(T88:T98)</f>
        <v>25.19</v>
      </c>
      <c r="L94" s="38"/>
    </row>
    <row r="95" spans="1:26" ht="14.25" x14ac:dyDescent="0.2">
      <c r="A95" s="51"/>
      <c r="B95" s="52"/>
      <c r="C95" s="52" t="s">
        <v>854</v>
      </c>
      <c r="D95" s="35" t="s">
        <v>853</v>
      </c>
      <c r="E95" s="13">
        <f>Source!CA49</f>
        <v>65</v>
      </c>
      <c r="F95" s="55"/>
      <c r="G95" s="37"/>
      <c r="H95" s="36">
        <f>SUM(U88:U98)</f>
        <v>3.23</v>
      </c>
      <c r="I95" s="40"/>
      <c r="J95" s="33">
        <f>Source!AU49</f>
        <v>65</v>
      </c>
      <c r="K95" s="36">
        <f>SUM(V88:V98)</f>
        <v>19.73</v>
      </c>
      <c r="L95" s="38"/>
    </row>
    <row r="96" spans="1:26" ht="14.25" x14ac:dyDescent="0.2">
      <c r="A96" s="51"/>
      <c r="B96" s="52"/>
      <c r="C96" s="52" t="s">
        <v>855</v>
      </c>
      <c r="D96" s="35" t="s">
        <v>856</v>
      </c>
      <c r="E96" s="13">
        <f>Source!AQ49</f>
        <v>41.41</v>
      </c>
      <c r="F96" s="36"/>
      <c r="G96" s="37" t="str">
        <f>Source!DI49</f>
        <v/>
      </c>
      <c r="H96" s="36"/>
      <c r="I96" s="37"/>
      <c r="J96" s="37"/>
      <c r="K96" s="36"/>
      <c r="L96" s="47">
        <f>Source!U49</f>
        <v>0.57973999999999992</v>
      </c>
    </row>
    <row r="97" spans="1:26" ht="14.25" x14ac:dyDescent="0.2">
      <c r="A97" s="51" t="str">
        <f>Source!E51</f>
        <v>7,1</v>
      </c>
      <c r="B97" s="52" t="str">
        <f>Source!F51</f>
        <v>08.3.05.05</v>
      </c>
      <c r="C97" s="52" t="str">
        <f>Source!G51</f>
        <v>Сталь листовая оцинкованная</v>
      </c>
      <c r="D97" s="35" t="str">
        <f>Source!H51</f>
        <v>т</v>
      </c>
      <c r="E97" s="13">
        <f>Source!I51</f>
        <v>2.5760000000000002E-3</v>
      </c>
      <c r="F97" s="36">
        <f>Source!AL51+Source!AM51+Source!AO51</f>
        <v>0</v>
      </c>
      <c r="G97" s="50" t="s">
        <v>6</v>
      </c>
      <c r="H97" s="36">
        <f>ROUND(Source!AC51*Source!I51, 2)+ROUND(Source!AD51*Source!I51, 2)+ROUND(Source!AF51*Source!I51, 2)</f>
        <v>0</v>
      </c>
      <c r="I97" s="37"/>
      <c r="J97" s="37">
        <f>IF(Source!BC51&lt;&gt; 0, Source!BC51, 1)</f>
        <v>6.11</v>
      </c>
      <c r="K97" s="36">
        <f>Source!O51</f>
        <v>0</v>
      </c>
      <c r="L97" s="38"/>
      <c r="S97">
        <f>ROUND((Source!FX51/100)*((ROUND(Source!AF51*Source!I51, 2)+ROUND(Source!AE51*Source!I51, 2))), 2)</f>
        <v>0</v>
      </c>
      <c r="T97">
        <f>Source!X51</f>
        <v>0</v>
      </c>
      <c r="U97">
        <f>ROUND((Source!FY51/100)*((ROUND(Source!AF51*Source!I51, 2)+ROUND(Source!AE51*Source!I51, 2))), 2)</f>
        <v>0</v>
      </c>
      <c r="V97">
        <f>Source!Y51</f>
        <v>0</v>
      </c>
      <c r="W97">
        <f>IF(Source!BI51&lt;=1,H97, 0)</f>
        <v>0</v>
      </c>
      <c r="X97">
        <f>IF(Source!BI51=2,H97, 0)</f>
        <v>0</v>
      </c>
      <c r="Y97">
        <f>IF(Source!BI51=3,H97, 0)</f>
        <v>0</v>
      </c>
      <c r="Z97">
        <f>IF(Source!BI51=4,H97, 0)</f>
        <v>0</v>
      </c>
    </row>
    <row r="98" spans="1:26" ht="42.75" x14ac:dyDescent="0.2">
      <c r="A98" s="53" t="str">
        <f>Source!E53</f>
        <v>7,2</v>
      </c>
      <c r="B98" s="54" t="str">
        <f>Source!F53</f>
        <v>08.1.02.03-0021</v>
      </c>
      <c r="C98" s="54" t="str">
        <f>Source!G53</f>
        <v>Водоотлив оконный шириной планки 200 мм из оцинкованной стали с полимерным покрытием прим.</v>
      </c>
      <c r="D98" s="41" t="str">
        <f>Source!H53</f>
        <v>П.М</v>
      </c>
      <c r="E98" s="42">
        <f>Source!I53</f>
        <v>1.4</v>
      </c>
      <c r="F98" s="43">
        <f>Source!AL53+Source!AM53+Source!AO53</f>
        <v>26.41</v>
      </c>
      <c r="G98" s="48" t="s">
        <v>6</v>
      </c>
      <c r="H98" s="43">
        <f>ROUND(Source!AC53*Source!I53, 2)+ROUND(Source!AD53*Source!I53, 2)+ROUND(Source!AF53*Source!I53, 2)</f>
        <v>36.97</v>
      </c>
      <c r="I98" s="44"/>
      <c r="J98" s="44">
        <f>IF(Source!BC53&lt;&gt; 0, Source!BC53, 1)</f>
        <v>6.11</v>
      </c>
      <c r="K98" s="43">
        <f>Source!O53</f>
        <v>225.91</v>
      </c>
      <c r="L98" s="49"/>
      <c r="S98">
        <f>ROUND((Source!FX53/100)*((ROUND(Source!AF53*Source!I53, 2)+ROUND(Source!AE53*Source!I53, 2))), 2)</f>
        <v>0</v>
      </c>
      <c r="T98">
        <f>Source!X53</f>
        <v>0</v>
      </c>
      <c r="U98">
        <f>ROUND((Source!FY53/100)*((ROUND(Source!AF53*Source!I53, 2)+ROUND(Source!AE53*Source!I53, 2))), 2)</f>
        <v>0</v>
      </c>
      <c r="V98">
        <f>Source!Y53</f>
        <v>0</v>
      </c>
      <c r="W98">
        <f>IF(Source!BI53&lt;=1,H98, 0)</f>
        <v>36.97</v>
      </c>
      <c r="X98">
        <f>IF(Source!BI53=2,H98, 0)</f>
        <v>0</v>
      </c>
      <c r="Y98">
        <f>IF(Source!BI53=3,H98, 0)</f>
        <v>0</v>
      </c>
      <c r="Z98">
        <f>IF(Source!BI53=4,H98, 0)</f>
        <v>0</v>
      </c>
    </row>
    <row r="99" spans="1:26" ht="15" x14ac:dyDescent="0.25">
      <c r="G99" s="92">
        <f>H90+H91+H93+H94+H95+SUM(H97:H98)</f>
        <v>50.69</v>
      </c>
      <c r="H99" s="92"/>
      <c r="J99" s="92">
        <f>K90+K91+K93+K94+K95+SUM(K97:K98)</f>
        <v>309.71000000000004</v>
      </c>
      <c r="K99" s="92"/>
      <c r="L99" s="46">
        <f>Source!U49</f>
        <v>0.57973999999999992</v>
      </c>
      <c r="O99" s="29">
        <f>G99</f>
        <v>50.69</v>
      </c>
      <c r="P99" s="29">
        <f>J99</f>
        <v>309.71000000000004</v>
      </c>
      <c r="Q99" s="29">
        <f>L99</f>
        <v>0.57973999999999992</v>
      </c>
      <c r="W99">
        <f>IF(Source!BI49&lt;=1,H90+H91+H93+H94+H95, 0)</f>
        <v>13.72</v>
      </c>
      <c r="X99">
        <f>IF(Source!BI49=2,H90+H91+H93+H94+H95, 0)</f>
        <v>0</v>
      </c>
      <c r="Y99">
        <f>IF(Source!BI49=3,H90+H91+H93+H94+H95, 0)</f>
        <v>0</v>
      </c>
      <c r="Z99">
        <f>IF(Source!BI49=4,H90+H91+H93+H94+H95, 0)</f>
        <v>0</v>
      </c>
    </row>
    <row r="100" spans="1:26" ht="42.75" x14ac:dyDescent="0.2">
      <c r="A100" s="51" t="str">
        <f>Source!E55</f>
        <v>8</v>
      </c>
      <c r="B100" s="52" t="str">
        <f>Source!F55</f>
        <v>15-01-047-15</v>
      </c>
      <c r="C100" s="52" t="str">
        <f>Source!G55</f>
        <v>Устройство подвесных потолков типа &lt;Армстронг&gt; по каркасу из оцинкованного профиля</v>
      </c>
      <c r="D100" s="35" t="str">
        <f>Source!H55</f>
        <v>100 м2</v>
      </c>
      <c r="E100" s="13">
        <f>Source!I55</f>
        <v>0.48599999999999999</v>
      </c>
      <c r="F100" s="36">
        <f>Source!AL55+Source!AM55+Source!AO55</f>
        <v>6623.23</v>
      </c>
      <c r="G100" s="37"/>
      <c r="H100" s="36"/>
      <c r="I100" s="37" t="str">
        <f>Source!BO55</f>
        <v/>
      </c>
      <c r="J100" s="37"/>
      <c r="K100" s="36"/>
      <c r="L100" s="38"/>
      <c r="S100">
        <f>ROUND((Source!FX55/100)*((ROUND(Source!AF55*Source!I55, 2)+ROUND(Source!AE55*Source!I55, 2))), 2)</f>
        <v>545.08000000000004</v>
      </c>
      <c r="T100">
        <f>Source!X55</f>
        <v>3348.03</v>
      </c>
      <c r="U100">
        <f>ROUND((Source!FY55/100)*((ROUND(Source!AF55*Source!I55, 2)+ROUND(Source!AE55*Source!I55, 2))), 2)</f>
        <v>269.64999999999998</v>
      </c>
      <c r="V100">
        <f>Source!Y55</f>
        <v>1656.39</v>
      </c>
    </row>
    <row r="101" spans="1:26" x14ac:dyDescent="0.2">
      <c r="C101" s="28" t="str">
        <f>"Объем: "&amp;Source!I55&amp;"=48,6/"&amp;"100"</f>
        <v>Объем: 0,486=48,6/100</v>
      </c>
    </row>
    <row r="102" spans="1:26" ht="14.25" x14ac:dyDescent="0.2">
      <c r="A102" s="51"/>
      <c r="B102" s="52"/>
      <c r="C102" s="52" t="s">
        <v>850</v>
      </c>
      <c r="D102" s="35"/>
      <c r="E102" s="13"/>
      <c r="F102" s="36">
        <f>Source!AO55</f>
        <v>963.12</v>
      </c>
      <c r="G102" s="37" t="str">
        <f>Source!DG55</f>
        <v>)*1,15</v>
      </c>
      <c r="H102" s="36">
        <f>ROUND(Source!AF55*Source!I55, 2)</f>
        <v>538.29</v>
      </c>
      <c r="I102" s="37"/>
      <c r="J102" s="37">
        <f>IF(Source!BA55&lt;&gt; 0, Source!BA55, 1)</f>
        <v>6.11</v>
      </c>
      <c r="K102" s="36">
        <f>Source!S55</f>
        <v>3288.94</v>
      </c>
      <c r="L102" s="38"/>
      <c r="R102">
        <f>H102</f>
        <v>538.29</v>
      </c>
    </row>
    <row r="103" spans="1:26" ht="14.25" x14ac:dyDescent="0.2">
      <c r="A103" s="51"/>
      <c r="B103" s="52"/>
      <c r="C103" s="52" t="s">
        <v>392</v>
      </c>
      <c r="D103" s="35"/>
      <c r="E103" s="13"/>
      <c r="F103" s="36">
        <f>Source!AM55</f>
        <v>324.70999999999998</v>
      </c>
      <c r="G103" s="37" t="str">
        <f>Source!DE55</f>
        <v>)*1,25</v>
      </c>
      <c r="H103" s="36">
        <f>ROUND(Source!AD55*Source!I55, 2)</f>
        <v>197.26</v>
      </c>
      <c r="I103" s="37"/>
      <c r="J103" s="37">
        <f>IF(Source!BB55&lt;&gt; 0, Source!BB55, 1)</f>
        <v>6.11</v>
      </c>
      <c r="K103" s="36">
        <f>Source!Q55</f>
        <v>1205.27</v>
      </c>
      <c r="L103" s="38"/>
    </row>
    <row r="104" spans="1:26" ht="14.25" x14ac:dyDescent="0.2">
      <c r="A104" s="51"/>
      <c r="B104" s="52"/>
      <c r="C104" s="52" t="s">
        <v>851</v>
      </c>
      <c r="D104" s="35"/>
      <c r="E104" s="13"/>
      <c r="F104" s="36">
        <f>Source!AN55</f>
        <v>63.39</v>
      </c>
      <c r="G104" s="37" t="str">
        <f>Source!DF55</f>
        <v>)*1,25</v>
      </c>
      <c r="H104" s="39">
        <f>ROUND(Source!AE55*Source!I55, 2)</f>
        <v>38.51</v>
      </c>
      <c r="I104" s="37"/>
      <c r="J104" s="37">
        <f>IF(Source!BS55&lt;&gt; 0, Source!BS55, 1)</f>
        <v>6.11</v>
      </c>
      <c r="K104" s="39">
        <f>Source!R55</f>
        <v>235.3</v>
      </c>
      <c r="L104" s="38"/>
      <c r="R104">
        <f>H104</f>
        <v>38.51</v>
      </c>
    </row>
    <row r="105" spans="1:26" ht="14.25" x14ac:dyDescent="0.2">
      <c r="A105" s="51"/>
      <c r="B105" s="52"/>
      <c r="C105" s="52" t="s">
        <v>857</v>
      </c>
      <c r="D105" s="35"/>
      <c r="E105" s="13"/>
      <c r="F105" s="36">
        <f>Source!AL55</f>
        <v>5335.4</v>
      </c>
      <c r="G105" s="37" t="str">
        <f>Source!DD55</f>
        <v/>
      </c>
      <c r="H105" s="36">
        <f>ROUND(Source!AC55*Source!I55, 2)</f>
        <v>2593</v>
      </c>
      <c r="I105" s="37"/>
      <c r="J105" s="37">
        <f>IF(Source!BC55&lt;&gt; 0, Source!BC55, 1)</f>
        <v>6.11</v>
      </c>
      <c r="K105" s="36">
        <f>Source!P55</f>
        <v>15843.26</v>
      </c>
      <c r="L105" s="38"/>
    </row>
    <row r="106" spans="1:26" ht="14.25" x14ac:dyDescent="0.2">
      <c r="A106" s="51"/>
      <c r="B106" s="52"/>
      <c r="C106" s="52" t="s">
        <v>852</v>
      </c>
      <c r="D106" s="35" t="s">
        <v>853</v>
      </c>
      <c r="E106" s="13">
        <f>Source!BZ55</f>
        <v>105</v>
      </c>
      <c r="F106" s="80" t="str">
        <f>CONCATENATE(" )", Source!DL55, Source!FT55, "=", Source!FX55)</f>
        <v xml:space="preserve"> )*0,9=94,5</v>
      </c>
      <c r="G106" s="91"/>
      <c r="H106" s="36">
        <f>SUM(S100:S108)</f>
        <v>545.08000000000004</v>
      </c>
      <c r="I106" s="40"/>
      <c r="J106" s="33">
        <f>Source!AT55</f>
        <v>95</v>
      </c>
      <c r="K106" s="36">
        <f>SUM(T100:T108)</f>
        <v>3348.03</v>
      </c>
      <c r="L106" s="38"/>
    </row>
    <row r="107" spans="1:26" ht="14.25" x14ac:dyDescent="0.2">
      <c r="A107" s="51"/>
      <c r="B107" s="52"/>
      <c r="C107" s="52" t="s">
        <v>854</v>
      </c>
      <c r="D107" s="35" t="s">
        <v>853</v>
      </c>
      <c r="E107" s="13">
        <f>Source!CA55</f>
        <v>55</v>
      </c>
      <c r="F107" s="80" t="str">
        <f>CONCATENATE(" )", Source!DM55, Source!FU55, "=", Source!FY55)</f>
        <v xml:space="preserve"> )*0,85=46,75</v>
      </c>
      <c r="G107" s="91"/>
      <c r="H107" s="36">
        <f>SUM(U100:U108)</f>
        <v>269.64999999999998</v>
      </c>
      <c r="I107" s="40"/>
      <c r="J107" s="33">
        <f>Source!AU55</f>
        <v>47</v>
      </c>
      <c r="K107" s="36">
        <f>SUM(V100:V108)</f>
        <v>1656.39</v>
      </c>
      <c r="L107" s="38"/>
    </row>
    <row r="108" spans="1:26" ht="14.25" x14ac:dyDescent="0.2">
      <c r="A108" s="53"/>
      <c r="B108" s="54"/>
      <c r="C108" s="54" t="s">
        <v>855</v>
      </c>
      <c r="D108" s="41" t="s">
        <v>856</v>
      </c>
      <c r="E108" s="42">
        <f>Source!AQ55</f>
        <v>102.46</v>
      </c>
      <c r="F108" s="43"/>
      <c r="G108" s="44" t="str">
        <f>Source!DI55</f>
        <v>)*1,15</v>
      </c>
      <c r="H108" s="43"/>
      <c r="I108" s="44"/>
      <c r="J108" s="44"/>
      <c r="K108" s="43"/>
      <c r="L108" s="45">
        <f>Source!U55</f>
        <v>57.264893999999991</v>
      </c>
    </row>
    <row r="109" spans="1:26" ht="15" x14ac:dyDescent="0.25">
      <c r="G109" s="92">
        <f>H102+H103+H105+H106+H107</f>
        <v>4143.28</v>
      </c>
      <c r="H109" s="92"/>
      <c r="J109" s="92">
        <f>K102+K103+K105+K106+K107</f>
        <v>25341.89</v>
      </c>
      <c r="K109" s="92"/>
      <c r="L109" s="46">
        <f>Source!U55</f>
        <v>57.264893999999991</v>
      </c>
      <c r="O109" s="29">
        <f>G109</f>
        <v>4143.28</v>
      </c>
      <c r="P109" s="29">
        <f>J109</f>
        <v>25341.89</v>
      </c>
      <c r="Q109" s="29">
        <f>L109</f>
        <v>57.264893999999991</v>
      </c>
      <c r="W109">
        <f>IF(Source!BI55&lt;=1,H102+H103+H105+H106+H107, 0)</f>
        <v>4143.28</v>
      </c>
      <c r="X109">
        <f>IF(Source!BI55=2,H102+H103+H105+H106+H107, 0)</f>
        <v>0</v>
      </c>
      <c r="Y109">
        <f>IF(Source!BI55=3,H102+H103+H105+H106+H107, 0)</f>
        <v>0</v>
      </c>
      <c r="Z109">
        <f>IF(Source!BI55=4,H102+H103+H105+H106+H107, 0)</f>
        <v>0</v>
      </c>
    </row>
    <row r="110" spans="1:26" ht="28.5" x14ac:dyDescent="0.2">
      <c r="A110" s="51" t="str">
        <f>Source!E57</f>
        <v>9</v>
      </c>
      <c r="B110" s="52" t="str">
        <f>Source!F57</f>
        <v>57-2-3</v>
      </c>
      <c r="C110" s="52" t="str">
        <f>Source!G57</f>
        <v>Разборка покрытий полов из керамических плиток</v>
      </c>
      <c r="D110" s="35" t="str">
        <f>Source!H57</f>
        <v>100 м2</v>
      </c>
      <c r="E110" s="13">
        <f>Source!I57</f>
        <v>0.47199999999999998</v>
      </c>
      <c r="F110" s="36">
        <f>Source!AL57+Source!AM57+Source!AO57</f>
        <v>641</v>
      </c>
      <c r="G110" s="37"/>
      <c r="H110" s="36"/>
      <c r="I110" s="37" t="str">
        <f>Source!BO57</f>
        <v/>
      </c>
      <c r="J110" s="37"/>
      <c r="K110" s="36"/>
      <c r="L110" s="38"/>
      <c r="S110">
        <f>ROUND((Source!FX57/100)*((ROUND(Source!AF57*Source!I57, 2)+ROUND(Source!AE57*Source!I57, 2))), 2)</f>
        <v>232.39</v>
      </c>
      <c r="T110">
        <f>Source!X57</f>
        <v>1419.88</v>
      </c>
      <c r="U110">
        <f>ROUND((Source!FY57/100)*((ROUND(Source!AF57*Source!I57, 2)+ROUND(Source!AE57*Source!I57, 2))), 2)</f>
        <v>197.53</v>
      </c>
      <c r="V110">
        <f>Source!Y57</f>
        <v>1206.9000000000001</v>
      </c>
    </row>
    <row r="111" spans="1:26" x14ac:dyDescent="0.2">
      <c r="C111" s="28" t="str">
        <f>"Объем: "&amp;Source!I57&amp;"=47,2/"&amp;"100"</f>
        <v>Объем: 0,472=47,2/100</v>
      </c>
    </row>
    <row r="112" spans="1:26" ht="14.25" x14ac:dyDescent="0.2">
      <c r="A112" s="51"/>
      <c r="B112" s="52"/>
      <c r="C112" s="52" t="s">
        <v>850</v>
      </c>
      <c r="D112" s="35"/>
      <c r="E112" s="13"/>
      <c r="F112" s="36">
        <f>Source!AO57</f>
        <v>595.99</v>
      </c>
      <c r="G112" s="37" t="str">
        <f>Source!DG57</f>
        <v/>
      </c>
      <c r="H112" s="36">
        <f>ROUND(Source!AF57*Source!I57, 2)</f>
        <v>281.31</v>
      </c>
      <c r="I112" s="37"/>
      <c r="J112" s="37">
        <f>IF(Source!BA57&lt;&gt; 0, Source!BA57, 1)</f>
        <v>6.11</v>
      </c>
      <c r="K112" s="36">
        <f>Source!S57</f>
        <v>1718.79</v>
      </c>
      <c r="L112" s="38"/>
      <c r="R112">
        <f>H112</f>
        <v>281.31</v>
      </c>
    </row>
    <row r="113" spans="1:26" ht="14.25" x14ac:dyDescent="0.2">
      <c r="A113" s="51"/>
      <c r="B113" s="52"/>
      <c r="C113" s="52" t="s">
        <v>392</v>
      </c>
      <c r="D113" s="35"/>
      <c r="E113" s="13"/>
      <c r="F113" s="36">
        <f>Source!AM57</f>
        <v>45.01</v>
      </c>
      <c r="G113" s="37" t="str">
        <f>Source!DE57</f>
        <v/>
      </c>
      <c r="H113" s="36">
        <f>ROUND(Source!AD57*Source!I57, 2)</f>
        <v>21.24</v>
      </c>
      <c r="I113" s="37"/>
      <c r="J113" s="37">
        <f>IF(Source!BB57&lt;&gt; 0, Source!BB57, 1)</f>
        <v>6.11</v>
      </c>
      <c r="K113" s="36">
        <f>Source!Q57</f>
        <v>129.81</v>
      </c>
      <c r="L113" s="38"/>
    </row>
    <row r="114" spans="1:26" ht="14.25" x14ac:dyDescent="0.2">
      <c r="A114" s="51"/>
      <c r="B114" s="52"/>
      <c r="C114" s="52" t="s">
        <v>851</v>
      </c>
      <c r="D114" s="35"/>
      <c r="E114" s="13"/>
      <c r="F114" s="36">
        <f>Source!AN57</f>
        <v>19.440000000000001</v>
      </c>
      <c r="G114" s="37" t="str">
        <f>Source!DF57</f>
        <v/>
      </c>
      <c r="H114" s="39">
        <f>ROUND(Source!AE57*Source!I57, 2)</f>
        <v>9.18</v>
      </c>
      <c r="I114" s="37"/>
      <c r="J114" s="37">
        <f>IF(Source!BS57&lt;&gt; 0, Source!BS57, 1)</f>
        <v>6.11</v>
      </c>
      <c r="K114" s="39">
        <f>Source!R57</f>
        <v>56.06</v>
      </c>
      <c r="L114" s="38"/>
      <c r="R114">
        <f>H114</f>
        <v>9.18</v>
      </c>
    </row>
    <row r="115" spans="1:26" ht="14.25" x14ac:dyDescent="0.2">
      <c r="A115" s="51"/>
      <c r="B115" s="52"/>
      <c r="C115" s="52" t="s">
        <v>852</v>
      </c>
      <c r="D115" s="35" t="s">
        <v>853</v>
      </c>
      <c r="E115" s="13">
        <f>Source!BZ57</f>
        <v>80</v>
      </c>
      <c r="F115" s="55"/>
      <c r="G115" s="37"/>
      <c r="H115" s="36">
        <f>SUM(S110:S117)</f>
        <v>232.39</v>
      </c>
      <c r="I115" s="40"/>
      <c r="J115" s="33">
        <f>Source!AT57</f>
        <v>80</v>
      </c>
      <c r="K115" s="36">
        <f>SUM(T110:T117)</f>
        <v>1419.88</v>
      </c>
      <c r="L115" s="38"/>
    </row>
    <row r="116" spans="1:26" ht="14.25" x14ac:dyDescent="0.2">
      <c r="A116" s="51"/>
      <c r="B116" s="52"/>
      <c r="C116" s="52" t="s">
        <v>854</v>
      </c>
      <c r="D116" s="35" t="s">
        <v>853</v>
      </c>
      <c r="E116" s="13">
        <f>Source!CA57</f>
        <v>68</v>
      </c>
      <c r="F116" s="55"/>
      <c r="G116" s="37"/>
      <c r="H116" s="36">
        <f>SUM(U110:U117)</f>
        <v>197.53</v>
      </c>
      <c r="I116" s="40"/>
      <c r="J116" s="33">
        <f>Source!AU57</f>
        <v>68</v>
      </c>
      <c r="K116" s="36">
        <f>SUM(V110:V117)</f>
        <v>1206.9000000000001</v>
      </c>
      <c r="L116" s="38"/>
    </row>
    <row r="117" spans="1:26" ht="14.25" x14ac:dyDescent="0.2">
      <c r="A117" s="53"/>
      <c r="B117" s="54"/>
      <c r="C117" s="54" t="s">
        <v>855</v>
      </c>
      <c r="D117" s="41" t="s">
        <v>856</v>
      </c>
      <c r="E117" s="42">
        <f>Source!AQ57</f>
        <v>69.87</v>
      </c>
      <c r="F117" s="43"/>
      <c r="G117" s="44" t="str">
        <f>Source!DI57</f>
        <v/>
      </c>
      <c r="H117" s="43"/>
      <c r="I117" s="44"/>
      <c r="J117" s="44"/>
      <c r="K117" s="43"/>
      <c r="L117" s="45">
        <f>Source!U57</f>
        <v>32.978639999999999</v>
      </c>
    </row>
    <row r="118" spans="1:26" ht="15" x14ac:dyDescent="0.25">
      <c r="G118" s="92">
        <f>H112+H113+H115+H116</f>
        <v>732.47</v>
      </c>
      <c r="H118" s="92"/>
      <c r="J118" s="92">
        <f>K112+K113+K115+K116</f>
        <v>4475.38</v>
      </c>
      <c r="K118" s="92"/>
      <c r="L118" s="46">
        <f>Source!U57</f>
        <v>32.978639999999999</v>
      </c>
      <c r="O118" s="29">
        <f>G118</f>
        <v>732.47</v>
      </c>
      <c r="P118" s="29">
        <f>J118</f>
        <v>4475.38</v>
      </c>
      <c r="Q118" s="29">
        <f>L118</f>
        <v>32.978639999999999</v>
      </c>
      <c r="W118">
        <f>IF(Source!BI57&lt;=1,H112+H113+H115+H116, 0)</f>
        <v>732.47</v>
      </c>
      <c r="X118">
        <f>IF(Source!BI57=2,H112+H113+H115+H116, 0)</f>
        <v>0</v>
      </c>
      <c r="Y118">
        <f>IF(Source!BI57=3,H112+H113+H115+H116, 0)</f>
        <v>0</v>
      </c>
      <c r="Z118">
        <f>IF(Source!BI57=4,H112+H113+H115+H116, 0)</f>
        <v>0</v>
      </c>
    </row>
    <row r="119" spans="1:26" ht="28.5" x14ac:dyDescent="0.2">
      <c r="A119" s="51" t="str">
        <f>Source!E59</f>
        <v>10</v>
      </c>
      <c r="B119" s="52" t="str">
        <f>Source!F59</f>
        <v>57-2-2</v>
      </c>
      <c r="C119" s="52" t="str">
        <f>Source!G59</f>
        <v>Разборка покрытий полов из плиток поливинилхлоридных</v>
      </c>
      <c r="D119" s="35" t="str">
        <f>Source!H59</f>
        <v>100 м2</v>
      </c>
      <c r="E119" s="13">
        <f>Source!I59</f>
        <v>0.47199999999999998</v>
      </c>
      <c r="F119" s="36">
        <f>Source!AL59+Source!AM59+Source!AO59</f>
        <v>280.88</v>
      </c>
      <c r="G119" s="37"/>
      <c r="H119" s="36"/>
      <c r="I119" s="37" t="str">
        <f>Source!BO59</f>
        <v/>
      </c>
      <c r="J119" s="37"/>
      <c r="K119" s="36"/>
      <c r="L119" s="38"/>
      <c r="S119">
        <f>ROUND((Source!FX59/100)*((ROUND(Source!AF59*Source!I59, 2)+ROUND(Source!AE59*Source!I59, 2))), 2)</f>
        <v>120.87</v>
      </c>
      <c r="T119">
        <f>Source!X59</f>
        <v>738.52</v>
      </c>
      <c r="U119">
        <f>ROUND((Source!FY59/100)*((ROUND(Source!AF59*Source!I59, 2)+ROUND(Source!AE59*Source!I59, 2))), 2)</f>
        <v>102.74</v>
      </c>
      <c r="V119">
        <f>Source!Y59</f>
        <v>627.74</v>
      </c>
    </row>
    <row r="120" spans="1:26" x14ac:dyDescent="0.2">
      <c r="C120" s="28" t="str">
        <f>"Объем: "&amp;Source!I59&amp;"=47,2/"&amp;"100"</f>
        <v>Объем: 0,472=47,2/100</v>
      </c>
    </row>
    <row r="121" spans="1:26" ht="14.25" x14ac:dyDescent="0.2">
      <c r="A121" s="51"/>
      <c r="B121" s="52"/>
      <c r="C121" s="52" t="s">
        <v>850</v>
      </c>
      <c r="D121" s="35"/>
      <c r="E121" s="13"/>
      <c r="F121" s="36">
        <f>Source!AO59</f>
        <v>276.82</v>
      </c>
      <c r="G121" s="37" t="str">
        <f>Source!DG59</f>
        <v>)*1,15</v>
      </c>
      <c r="H121" s="36">
        <f>ROUND(Source!AF59*Source!I59, 2)</f>
        <v>150.26</v>
      </c>
      <c r="I121" s="37"/>
      <c r="J121" s="37">
        <f>IF(Source!BA59&lt;&gt; 0, Source!BA59, 1)</f>
        <v>6.11</v>
      </c>
      <c r="K121" s="36">
        <f>Source!S59</f>
        <v>918.07</v>
      </c>
      <c r="L121" s="38"/>
      <c r="R121">
        <f>H121</f>
        <v>150.26</v>
      </c>
    </row>
    <row r="122" spans="1:26" ht="14.25" x14ac:dyDescent="0.2">
      <c r="A122" s="51"/>
      <c r="B122" s="52"/>
      <c r="C122" s="52" t="s">
        <v>392</v>
      </c>
      <c r="D122" s="35"/>
      <c r="E122" s="13"/>
      <c r="F122" s="36">
        <f>Source!AM59</f>
        <v>4.0599999999999996</v>
      </c>
      <c r="G122" s="37" t="str">
        <f>Source!DE59</f>
        <v/>
      </c>
      <c r="H122" s="36">
        <f>ROUND(Source!AD59*Source!I59, 2)</f>
        <v>1.92</v>
      </c>
      <c r="I122" s="37"/>
      <c r="J122" s="37">
        <f>IF(Source!BB59&lt;&gt; 0, Source!BB59, 1)</f>
        <v>6.11</v>
      </c>
      <c r="K122" s="36">
        <f>Source!Q59</f>
        <v>11.71</v>
      </c>
      <c r="L122" s="38"/>
    </row>
    <row r="123" spans="1:26" ht="14.25" x14ac:dyDescent="0.2">
      <c r="A123" s="51"/>
      <c r="B123" s="52"/>
      <c r="C123" s="52" t="s">
        <v>851</v>
      </c>
      <c r="D123" s="35"/>
      <c r="E123" s="13"/>
      <c r="F123" s="36">
        <f>Source!AN59</f>
        <v>1.76</v>
      </c>
      <c r="G123" s="37" t="str">
        <f>Source!DF59</f>
        <v/>
      </c>
      <c r="H123" s="39">
        <f>ROUND(Source!AE59*Source!I59, 2)</f>
        <v>0.83</v>
      </c>
      <c r="I123" s="37"/>
      <c r="J123" s="37">
        <f>IF(Source!BS59&lt;&gt; 0, Source!BS59, 1)</f>
        <v>6.11</v>
      </c>
      <c r="K123" s="39">
        <f>Source!R59</f>
        <v>5.08</v>
      </c>
      <c r="L123" s="38"/>
      <c r="R123">
        <f>H123</f>
        <v>0.83</v>
      </c>
    </row>
    <row r="124" spans="1:26" ht="14.25" x14ac:dyDescent="0.2">
      <c r="A124" s="51"/>
      <c r="B124" s="52"/>
      <c r="C124" s="52" t="s">
        <v>852</v>
      </c>
      <c r="D124" s="35" t="s">
        <v>853</v>
      </c>
      <c r="E124" s="13">
        <f>Source!BZ59</f>
        <v>80</v>
      </c>
      <c r="F124" s="55"/>
      <c r="G124" s="37"/>
      <c r="H124" s="36">
        <f>SUM(S119:S126)</f>
        <v>120.87</v>
      </c>
      <c r="I124" s="40"/>
      <c r="J124" s="33">
        <f>Source!AT59</f>
        <v>80</v>
      </c>
      <c r="K124" s="36">
        <f>SUM(T119:T126)</f>
        <v>738.52</v>
      </c>
      <c r="L124" s="38"/>
    </row>
    <row r="125" spans="1:26" ht="14.25" x14ac:dyDescent="0.2">
      <c r="A125" s="51"/>
      <c r="B125" s="52"/>
      <c r="C125" s="52" t="s">
        <v>854</v>
      </c>
      <c r="D125" s="35" t="s">
        <v>853</v>
      </c>
      <c r="E125" s="13">
        <f>Source!CA59</f>
        <v>68</v>
      </c>
      <c r="F125" s="55"/>
      <c r="G125" s="37"/>
      <c r="H125" s="36">
        <f>SUM(U119:U126)</f>
        <v>102.74</v>
      </c>
      <c r="I125" s="40"/>
      <c r="J125" s="33">
        <f>Source!AU59</f>
        <v>68</v>
      </c>
      <c r="K125" s="36">
        <f>SUM(V119:V126)</f>
        <v>627.74</v>
      </c>
      <c r="L125" s="38"/>
    </row>
    <row r="126" spans="1:26" ht="14.25" x14ac:dyDescent="0.2">
      <c r="A126" s="53"/>
      <c r="B126" s="54"/>
      <c r="C126" s="54" t="s">
        <v>855</v>
      </c>
      <c r="D126" s="41" t="s">
        <v>856</v>
      </c>
      <c r="E126" s="42">
        <f>Source!AQ59</f>
        <v>35.49</v>
      </c>
      <c r="F126" s="43"/>
      <c r="G126" s="44" t="str">
        <f>Source!DI59</f>
        <v>)*1,15</v>
      </c>
      <c r="H126" s="43"/>
      <c r="I126" s="44"/>
      <c r="J126" s="44"/>
      <c r="K126" s="43"/>
      <c r="L126" s="45">
        <f>Source!U59</f>
        <v>19.263971999999999</v>
      </c>
    </row>
    <row r="127" spans="1:26" ht="15" x14ac:dyDescent="0.25">
      <c r="G127" s="92">
        <f>H121+H122+H124+H125</f>
        <v>375.78999999999996</v>
      </c>
      <c r="H127" s="92"/>
      <c r="J127" s="92">
        <f>K121+K122+K124+K125</f>
        <v>2296.04</v>
      </c>
      <c r="K127" s="92"/>
      <c r="L127" s="46">
        <f>Source!U59</f>
        <v>19.263971999999999</v>
      </c>
      <c r="O127" s="29">
        <f>G127</f>
        <v>375.78999999999996</v>
      </c>
      <c r="P127" s="29">
        <f>J127</f>
        <v>2296.04</v>
      </c>
      <c r="Q127" s="29">
        <f>L127</f>
        <v>19.263971999999999</v>
      </c>
      <c r="W127">
        <f>IF(Source!BI59&lt;=1,H121+H122+H124+H125, 0)</f>
        <v>375.78999999999996</v>
      </c>
      <c r="X127">
        <f>IF(Source!BI59=2,H121+H122+H124+H125, 0)</f>
        <v>0</v>
      </c>
      <c r="Y127">
        <f>IF(Source!BI59=3,H121+H122+H124+H125, 0)</f>
        <v>0</v>
      </c>
      <c r="Z127">
        <f>IF(Source!BI59=4,H121+H122+H124+H125, 0)</f>
        <v>0</v>
      </c>
    </row>
    <row r="128" spans="1:26" ht="28.5" x14ac:dyDescent="0.2">
      <c r="A128" s="51" t="str">
        <f>Source!E61</f>
        <v>11</v>
      </c>
      <c r="B128" s="52" t="str">
        <f>Source!F61</f>
        <v>57-3-2</v>
      </c>
      <c r="C128" s="52" t="str">
        <f>Source!G61</f>
        <v>Разборка плинтусов цементных и из керамической плитки</v>
      </c>
      <c r="D128" s="35" t="str">
        <f>Source!H61</f>
        <v>100 м</v>
      </c>
      <c r="E128" s="13">
        <f>Source!I61</f>
        <v>0.245</v>
      </c>
      <c r="F128" s="36">
        <f>Source!AL61+Source!AM61+Source!AO61</f>
        <v>111.38</v>
      </c>
      <c r="G128" s="37"/>
      <c r="H128" s="36"/>
      <c r="I128" s="37" t="str">
        <f>Source!BO61</f>
        <v/>
      </c>
      <c r="J128" s="37"/>
      <c r="K128" s="36"/>
      <c r="L128" s="38"/>
      <c r="S128">
        <f>ROUND((Source!FX61/100)*((ROUND(Source!AF61*Source!I61, 2)+ROUND(Source!AE61*Source!I61, 2))), 2)</f>
        <v>25.1</v>
      </c>
      <c r="T128">
        <f>Source!X61</f>
        <v>153.38999999999999</v>
      </c>
      <c r="U128">
        <f>ROUND((Source!FY61/100)*((ROUND(Source!AF61*Source!I61, 2)+ROUND(Source!AE61*Source!I61, 2))), 2)</f>
        <v>21.34</v>
      </c>
      <c r="V128">
        <f>Source!Y61</f>
        <v>130.38</v>
      </c>
    </row>
    <row r="129" spans="1:26" x14ac:dyDescent="0.2">
      <c r="C129" s="28" t="str">
        <f>"Объем: "&amp;Source!I61&amp;"=24,5/"&amp;"100"</f>
        <v>Объем: 0,245=24,5/100</v>
      </c>
    </row>
    <row r="130" spans="1:26" ht="14.25" x14ac:dyDescent="0.2">
      <c r="A130" s="51"/>
      <c r="B130" s="52"/>
      <c r="C130" s="52" t="s">
        <v>850</v>
      </c>
      <c r="D130" s="35"/>
      <c r="E130" s="13"/>
      <c r="F130" s="36">
        <f>Source!AO61</f>
        <v>111.38</v>
      </c>
      <c r="G130" s="37" t="str">
        <f>Source!DG61</f>
        <v>)*1,15</v>
      </c>
      <c r="H130" s="36">
        <f>ROUND(Source!AF61*Source!I61, 2)</f>
        <v>31.38</v>
      </c>
      <c r="I130" s="37"/>
      <c r="J130" s="37">
        <f>IF(Source!BA61&lt;&gt; 0, Source!BA61, 1)</f>
        <v>6.11</v>
      </c>
      <c r="K130" s="36">
        <f>Source!S61</f>
        <v>191.74</v>
      </c>
      <c r="L130" s="38"/>
      <c r="R130">
        <f>H130</f>
        <v>31.38</v>
      </c>
    </row>
    <row r="131" spans="1:26" ht="14.25" x14ac:dyDescent="0.2">
      <c r="A131" s="51"/>
      <c r="B131" s="52"/>
      <c r="C131" s="52" t="s">
        <v>852</v>
      </c>
      <c r="D131" s="35" t="s">
        <v>853</v>
      </c>
      <c r="E131" s="13">
        <f>Source!BZ61</f>
        <v>80</v>
      </c>
      <c r="F131" s="55"/>
      <c r="G131" s="37"/>
      <c r="H131" s="36">
        <f>SUM(S128:S133)</f>
        <v>25.1</v>
      </c>
      <c r="I131" s="40"/>
      <c r="J131" s="33">
        <f>Source!AT61</f>
        <v>80</v>
      </c>
      <c r="K131" s="36">
        <f>SUM(T128:T133)</f>
        <v>153.38999999999999</v>
      </c>
      <c r="L131" s="38"/>
    </row>
    <row r="132" spans="1:26" ht="14.25" x14ac:dyDescent="0.2">
      <c r="A132" s="51"/>
      <c r="B132" s="52"/>
      <c r="C132" s="52" t="s">
        <v>854</v>
      </c>
      <c r="D132" s="35" t="s">
        <v>853</v>
      </c>
      <c r="E132" s="13">
        <f>Source!CA61</f>
        <v>68</v>
      </c>
      <c r="F132" s="55"/>
      <c r="G132" s="37"/>
      <c r="H132" s="36">
        <f>SUM(U128:U133)</f>
        <v>21.34</v>
      </c>
      <c r="I132" s="40"/>
      <c r="J132" s="33">
        <f>Source!AU61</f>
        <v>68</v>
      </c>
      <c r="K132" s="36">
        <f>SUM(V128:V133)</f>
        <v>130.38</v>
      </c>
      <c r="L132" s="38"/>
    </row>
    <row r="133" spans="1:26" ht="14.25" x14ac:dyDescent="0.2">
      <c r="A133" s="53"/>
      <c r="B133" s="54"/>
      <c r="C133" s="54" t="s">
        <v>855</v>
      </c>
      <c r="D133" s="41" t="s">
        <v>856</v>
      </c>
      <c r="E133" s="42">
        <f>Source!AQ61</f>
        <v>14.28</v>
      </c>
      <c r="F133" s="43"/>
      <c r="G133" s="44" t="str">
        <f>Source!DI61</f>
        <v>)*1,15</v>
      </c>
      <c r="H133" s="43"/>
      <c r="I133" s="44"/>
      <c r="J133" s="44"/>
      <c r="K133" s="43"/>
      <c r="L133" s="45">
        <f>Source!U61</f>
        <v>4.0233899999999991</v>
      </c>
    </row>
    <row r="134" spans="1:26" ht="15" x14ac:dyDescent="0.25">
      <c r="G134" s="92">
        <f>H130+H131+H132</f>
        <v>77.820000000000007</v>
      </c>
      <c r="H134" s="92"/>
      <c r="J134" s="92">
        <f>K130+K131+K132</f>
        <v>475.51</v>
      </c>
      <c r="K134" s="92"/>
      <c r="L134" s="46">
        <f>Source!U61</f>
        <v>4.0233899999999991</v>
      </c>
      <c r="O134" s="29">
        <f>G134</f>
        <v>77.820000000000007</v>
      </c>
      <c r="P134" s="29">
        <f>J134</f>
        <v>475.51</v>
      </c>
      <c r="Q134" s="29">
        <f>L134</f>
        <v>4.0233899999999991</v>
      </c>
      <c r="W134">
        <f>IF(Source!BI61&lt;=1,H130+H131+H132, 0)</f>
        <v>77.820000000000007</v>
      </c>
      <c r="X134">
        <f>IF(Source!BI61=2,H130+H131+H132, 0)</f>
        <v>0</v>
      </c>
      <c r="Y134">
        <f>IF(Source!BI61=3,H130+H131+H132, 0)</f>
        <v>0</v>
      </c>
      <c r="Z134">
        <f>IF(Source!BI61=4,H130+H131+H132, 0)</f>
        <v>0</v>
      </c>
    </row>
    <row r="135" spans="1:26" ht="28.5" x14ac:dyDescent="0.2">
      <c r="A135" s="51" t="str">
        <f>Source!E63</f>
        <v>12</v>
      </c>
      <c r="B135" s="52" t="str">
        <f>Source!F63</f>
        <v>11-01-011-01</v>
      </c>
      <c r="C135" s="52" t="str">
        <f>Source!G63</f>
        <v>Устройство стяжек цементных толщиной 20 мм</v>
      </c>
      <c r="D135" s="35" t="str">
        <f>Source!H63</f>
        <v>100 м2</v>
      </c>
      <c r="E135" s="13">
        <f>Source!I63</f>
        <v>0.47199999999999998</v>
      </c>
      <c r="F135" s="36">
        <f>Source!AL63+Source!AM63+Source!AO63</f>
        <v>366.49</v>
      </c>
      <c r="G135" s="37"/>
      <c r="H135" s="36"/>
      <c r="I135" s="37" t="str">
        <f>Source!BO63</f>
        <v/>
      </c>
      <c r="J135" s="37"/>
      <c r="K135" s="36"/>
      <c r="L135" s="38"/>
      <c r="S135">
        <f>ROUND((Source!FX63/100)*((ROUND(Source!AF63*Source!I63, 2)+ROUND(Source!AE63*Source!I63, 2))), 2)</f>
        <v>199.7</v>
      </c>
      <c r="T135">
        <f>Source!X63</f>
        <v>1223.51</v>
      </c>
      <c r="U135">
        <f>ROUND((Source!FY63/100)*((ROUND(Source!AF63*Source!I63, 2)+ROUND(Source!AE63*Source!I63, 2))), 2)</f>
        <v>115.01</v>
      </c>
      <c r="V135">
        <f>Source!Y63</f>
        <v>705.45</v>
      </c>
    </row>
    <row r="136" spans="1:26" x14ac:dyDescent="0.2">
      <c r="C136" s="28" t="str">
        <f>"Объем: "&amp;Source!I63&amp;"=47,2/"&amp;"100"</f>
        <v>Объем: 0,472=47,2/100</v>
      </c>
    </row>
    <row r="137" spans="1:26" ht="14.25" x14ac:dyDescent="0.2">
      <c r="A137" s="51"/>
      <c r="B137" s="52"/>
      <c r="C137" s="52" t="s">
        <v>850</v>
      </c>
      <c r="D137" s="35"/>
      <c r="E137" s="13"/>
      <c r="F137" s="36">
        <f>Source!AO63</f>
        <v>313.70999999999998</v>
      </c>
      <c r="G137" s="37" t="str">
        <f>Source!DG63</f>
        <v>)*1,15</v>
      </c>
      <c r="H137" s="36">
        <f>ROUND(Source!AF63*Source!I63, 2)</f>
        <v>170.28</v>
      </c>
      <c r="I137" s="37"/>
      <c r="J137" s="37">
        <f>IF(Source!BA63&lt;&gt; 0, Source!BA63, 1)</f>
        <v>6.11</v>
      </c>
      <c r="K137" s="36">
        <f>Source!S63</f>
        <v>1040.43</v>
      </c>
      <c r="L137" s="38"/>
      <c r="R137">
        <f>H137</f>
        <v>170.28</v>
      </c>
    </row>
    <row r="138" spans="1:26" ht="14.25" x14ac:dyDescent="0.2">
      <c r="A138" s="51"/>
      <c r="B138" s="52"/>
      <c r="C138" s="52" t="s">
        <v>392</v>
      </c>
      <c r="D138" s="35"/>
      <c r="E138" s="13"/>
      <c r="F138" s="36">
        <f>Source!AM63</f>
        <v>44.24</v>
      </c>
      <c r="G138" s="37" t="str">
        <f>Source!DE63</f>
        <v>)*1,25</v>
      </c>
      <c r="H138" s="36">
        <f>ROUND(Source!AD63*Source!I63, 2)</f>
        <v>26.1</v>
      </c>
      <c r="I138" s="37"/>
      <c r="J138" s="37">
        <f>IF(Source!BB63&lt;&gt; 0, Source!BB63, 1)</f>
        <v>6.11</v>
      </c>
      <c r="K138" s="36">
        <f>Source!Q63</f>
        <v>159.47999999999999</v>
      </c>
      <c r="L138" s="38"/>
    </row>
    <row r="139" spans="1:26" ht="14.25" x14ac:dyDescent="0.2">
      <c r="A139" s="51"/>
      <c r="B139" s="52"/>
      <c r="C139" s="52" t="s">
        <v>851</v>
      </c>
      <c r="D139" s="35"/>
      <c r="E139" s="13"/>
      <c r="F139" s="36">
        <f>Source!AN63</f>
        <v>17.149999999999999</v>
      </c>
      <c r="G139" s="37" t="str">
        <f>Source!DF63</f>
        <v>)*1,25</v>
      </c>
      <c r="H139" s="39">
        <f>ROUND(Source!AE63*Source!I63, 2)</f>
        <v>10.119999999999999</v>
      </c>
      <c r="I139" s="37"/>
      <c r="J139" s="37">
        <f>IF(Source!BS63&lt;&gt; 0, Source!BS63, 1)</f>
        <v>6.11</v>
      </c>
      <c r="K139" s="39">
        <f>Source!R63</f>
        <v>61.83</v>
      </c>
      <c r="L139" s="38"/>
      <c r="R139">
        <f>H139</f>
        <v>10.119999999999999</v>
      </c>
    </row>
    <row r="140" spans="1:26" ht="14.25" x14ac:dyDescent="0.2">
      <c r="A140" s="51"/>
      <c r="B140" s="52"/>
      <c r="C140" s="52" t="s">
        <v>857</v>
      </c>
      <c r="D140" s="35"/>
      <c r="E140" s="13"/>
      <c r="F140" s="36">
        <f>Source!AL63</f>
        <v>8.5399999999999991</v>
      </c>
      <c r="G140" s="37" t="str">
        <f>Source!DD63</f>
        <v/>
      </c>
      <c r="H140" s="36">
        <f>ROUND(Source!AC63*Source!I63, 2)</f>
        <v>4.03</v>
      </c>
      <c r="I140" s="37"/>
      <c r="J140" s="37">
        <f>IF(Source!BC63&lt;&gt; 0, Source!BC63, 1)</f>
        <v>6.11</v>
      </c>
      <c r="K140" s="36">
        <f>Source!P63</f>
        <v>24.63</v>
      </c>
      <c r="L140" s="38"/>
    </row>
    <row r="141" spans="1:26" ht="14.25" x14ac:dyDescent="0.2">
      <c r="A141" s="51"/>
      <c r="B141" s="52"/>
      <c r="C141" s="52" t="s">
        <v>852</v>
      </c>
      <c r="D141" s="35" t="s">
        <v>853</v>
      </c>
      <c r="E141" s="13">
        <f>Source!BZ63</f>
        <v>123</v>
      </c>
      <c r="F141" s="80" t="str">
        <f>CONCATENATE(" )", Source!DL63, Source!FT63, "=", Source!FX63)</f>
        <v xml:space="preserve"> )*0,9=110,7</v>
      </c>
      <c r="G141" s="91"/>
      <c r="H141" s="36">
        <f>SUM(S135:S144)</f>
        <v>199.7</v>
      </c>
      <c r="I141" s="40"/>
      <c r="J141" s="33">
        <f>Source!AT63</f>
        <v>111</v>
      </c>
      <c r="K141" s="36">
        <f>SUM(T135:T144)</f>
        <v>1223.51</v>
      </c>
      <c r="L141" s="38"/>
    </row>
    <row r="142" spans="1:26" ht="14.25" x14ac:dyDescent="0.2">
      <c r="A142" s="51"/>
      <c r="B142" s="52"/>
      <c r="C142" s="52" t="s">
        <v>854</v>
      </c>
      <c r="D142" s="35" t="s">
        <v>853</v>
      </c>
      <c r="E142" s="13">
        <f>Source!CA63</f>
        <v>75</v>
      </c>
      <c r="F142" s="80" t="str">
        <f>CONCATENATE(" )", Source!DM63, Source!FU63, "=", Source!FY63)</f>
        <v xml:space="preserve"> )*0,85=63,75</v>
      </c>
      <c r="G142" s="91"/>
      <c r="H142" s="36">
        <f>SUM(U135:U144)</f>
        <v>115.01</v>
      </c>
      <c r="I142" s="40"/>
      <c r="J142" s="33">
        <f>Source!AU63</f>
        <v>64</v>
      </c>
      <c r="K142" s="36">
        <f>SUM(V135:V144)</f>
        <v>705.45</v>
      </c>
      <c r="L142" s="38"/>
    </row>
    <row r="143" spans="1:26" ht="14.25" x14ac:dyDescent="0.2">
      <c r="A143" s="51"/>
      <c r="B143" s="52"/>
      <c r="C143" s="52" t="s">
        <v>855</v>
      </c>
      <c r="D143" s="35" t="s">
        <v>856</v>
      </c>
      <c r="E143" s="13">
        <f>Source!AQ63</f>
        <v>39.51</v>
      </c>
      <c r="F143" s="36"/>
      <c r="G143" s="37" t="str">
        <f>Source!DI63</f>
        <v>)*1,15</v>
      </c>
      <c r="H143" s="36"/>
      <c r="I143" s="37"/>
      <c r="J143" s="37"/>
      <c r="K143" s="36"/>
      <c r="L143" s="47">
        <f>Source!U63</f>
        <v>21.446027999999998</v>
      </c>
    </row>
    <row r="144" spans="1:26" ht="28.5" x14ac:dyDescent="0.2">
      <c r="A144" s="53" t="str">
        <f>Source!E65</f>
        <v>12,1</v>
      </c>
      <c r="B144" s="54" t="str">
        <f>Source!F65</f>
        <v>04.3.01.09-0015</v>
      </c>
      <c r="C144" s="54" t="str">
        <f>Source!G65</f>
        <v>Раствор готовый кладочный цементный марки 150</v>
      </c>
      <c r="D144" s="41" t="str">
        <f>Source!H65</f>
        <v>м3</v>
      </c>
      <c r="E144" s="42">
        <f>Source!I65</f>
        <v>0.96287999999999996</v>
      </c>
      <c r="F144" s="43">
        <f>Source!AL65+Source!AM65+Source!AO65</f>
        <v>548.29999999999995</v>
      </c>
      <c r="G144" s="48" t="s">
        <v>6</v>
      </c>
      <c r="H144" s="43">
        <f>ROUND(Source!AC65*Source!I65, 2)+ROUND(Source!AD65*Source!I65, 2)+ROUND(Source!AF65*Source!I65, 2)</f>
        <v>527.95000000000005</v>
      </c>
      <c r="I144" s="44"/>
      <c r="J144" s="44">
        <f>IF(Source!BC65&lt;&gt; 0, Source!BC65, 1)</f>
        <v>6.11</v>
      </c>
      <c r="K144" s="43">
        <f>Source!O65</f>
        <v>3225.76</v>
      </c>
      <c r="L144" s="49"/>
      <c r="S144">
        <f>ROUND((Source!FX65/100)*((ROUND(Source!AF65*Source!I65, 2)+ROUND(Source!AE65*Source!I65, 2))), 2)</f>
        <v>0</v>
      </c>
      <c r="T144">
        <f>Source!X65</f>
        <v>0</v>
      </c>
      <c r="U144">
        <f>ROUND((Source!FY65/100)*((ROUND(Source!AF65*Source!I65, 2)+ROUND(Source!AE65*Source!I65, 2))), 2)</f>
        <v>0</v>
      </c>
      <c r="V144">
        <f>Source!Y65</f>
        <v>0</v>
      </c>
      <c r="W144">
        <f>IF(Source!BI65&lt;=1,H144, 0)</f>
        <v>527.95000000000005</v>
      </c>
      <c r="X144">
        <f>IF(Source!BI65=2,H144, 0)</f>
        <v>0</v>
      </c>
      <c r="Y144">
        <f>IF(Source!BI65=3,H144, 0)</f>
        <v>0</v>
      </c>
      <c r="Z144">
        <f>IF(Source!BI65=4,H144, 0)</f>
        <v>0</v>
      </c>
    </row>
    <row r="145" spans="1:26" ht="15" x14ac:dyDescent="0.25">
      <c r="G145" s="92">
        <f>H137+H138+H140+H141+H142+SUM(H144:H144)</f>
        <v>1043.0700000000002</v>
      </c>
      <c r="H145" s="92"/>
      <c r="J145" s="92">
        <f>K137+K138+K140+K141+K142+SUM(K144:K144)</f>
        <v>6379.26</v>
      </c>
      <c r="K145" s="92"/>
      <c r="L145" s="46">
        <f>Source!U63</f>
        <v>21.446027999999998</v>
      </c>
      <c r="O145" s="29">
        <f>G145</f>
        <v>1043.0700000000002</v>
      </c>
      <c r="P145" s="29">
        <f>J145</f>
        <v>6379.26</v>
      </c>
      <c r="Q145" s="29">
        <f>L145</f>
        <v>21.446027999999998</v>
      </c>
      <c r="W145">
        <f>IF(Source!BI63&lt;=1,H137+H138+H140+H141+H142, 0)</f>
        <v>515.12</v>
      </c>
      <c r="X145">
        <f>IF(Source!BI63=2,H137+H138+H140+H141+H142, 0)</f>
        <v>0</v>
      </c>
      <c r="Y145">
        <f>IF(Source!BI63=3,H137+H138+H140+H141+H142, 0)</f>
        <v>0</v>
      </c>
      <c r="Z145">
        <f>IF(Source!BI63=4,H137+H138+H140+H141+H142, 0)</f>
        <v>0</v>
      </c>
    </row>
    <row r="146" spans="1:26" ht="42.75" x14ac:dyDescent="0.2">
      <c r="A146" s="51" t="str">
        <f>Source!E67</f>
        <v>13</v>
      </c>
      <c r="B146" s="52" t="str">
        <f>Source!F67</f>
        <v>11-01-011-08</v>
      </c>
      <c r="C146" s="52" t="str">
        <f>Source!G67</f>
        <v>Устройство стяжек из выравнивающей смеси типа "Ветонит" 5000, толщиной 5 мм</v>
      </c>
      <c r="D146" s="35" t="str">
        <f>Source!H67</f>
        <v>100 м2</v>
      </c>
      <c r="E146" s="13">
        <f>Source!I67</f>
        <v>0.47199999999999998</v>
      </c>
      <c r="F146" s="36">
        <f>Source!AL67+Source!AM67+Source!AO67</f>
        <v>11028.89</v>
      </c>
      <c r="G146" s="37"/>
      <c r="H146" s="36"/>
      <c r="I146" s="37" t="str">
        <f>Source!BO67</f>
        <v/>
      </c>
      <c r="J146" s="37"/>
      <c r="K146" s="36"/>
      <c r="L146" s="38"/>
      <c r="S146">
        <f>ROUND((Source!FX67/100)*((ROUND(Source!AF67*Source!I67, 2)+ROUND(Source!AE67*Source!I67, 2))), 2)</f>
        <v>194.37</v>
      </c>
      <c r="T146">
        <f>Source!X67</f>
        <v>1190.79</v>
      </c>
      <c r="U146">
        <f>ROUND((Source!FY67/100)*((ROUND(Source!AF67*Source!I67, 2)+ROUND(Source!AE67*Source!I67, 2))), 2)</f>
        <v>111.93</v>
      </c>
      <c r="V146">
        <f>Source!Y67</f>
        <v>686.58</v>
      </c>
    </row>
    <row r="147" spans="1:26" x14ac:dyDescent="0.2">
      <c r="C147" s="28" t="str">
        <f>"Объем: "&amp;Source!I67&amp;"=47,2/"&amp;"100"</f>
        <v>Объем: 0,472=47,2/100</v>
      </c>
    </row>
    <row r="148" spans="1:26" ht="14.25" x14ac:dyDescent="0.2">
      <c r="A148" s="51"/>
      <c r="B148" s="52"/>
      <c r="C148" s="52" t="s">
        <v>850</v>
      </c>
      <c r="D148" s="35"/>
      <c r="E148" s="13"/>
      <c r="F148" s="36">
        <f>Source!AO67</f>
        <v>321.33</v>
      </c>
      <c r="G148" s="37" t="str">
        <f>Source!DG67</f>
        <v>)*1,15</v>
      </c>
      <c r="H148" s="36">
        <f>ROUND(Source!AF67*Source!I67, 2)</f>
        <v>174.42</v>
      </c>
      <c r="I148" s="37"/>
      <c r="J148" s="37">
        <f>IF(Source!BA67&lt;&gt; 0, Source!BA67, 1)</f>
        <v>6.11</v>
      </c>
      <c r="K148" s="36">
        <f>Source!S67</f>
        <v>1065.69</v>
      </c>
      <c r="L148" s="38"/>
      <c r="R148">
        <f>H148</f>
        <v>174.42</v>
      </c>
    </row>
    <row r="149" spans="1:26" ht="14.25" x14ac:dyDescent="0.2">
      <c r="A149" s="51"/>
      <c r="B149" s="52"/>
      <c r="C149" s="52" t="s">
        <v>392</v>
      </c>
      <c r="D149" s="35"/>
      <c r="E149" s="13"/>
      <c r="F149" s="36">
        <f>Source!AM67</f>
        <v>6.23</v>
      </c>
      <c r="G149" s="37" t="str">
        <f>Source!DE67</f>
        <v>)*1,25</v>
      </c>
      <c r="H149" s="36">
        <f>ROUND(Source!AD67*Source!I67, 2)</f>
        <v>3.68</v>
      </c>
      <c r="I149" s="37"/>
      <c r="J149" s="37">
        <f>IF(Source!BB67&lt;&gt; 0, Source!BB67, 1)</f>
        <v>6.11</v>
      </c>
      <c r="K149" s="36">
        <f>Source!Q67</f>
        <v>22.47</v>
      </c>
      <c r="L149" s="38"/>
    </row>
    <row r="150" spans="1:26" ht="14.25" x14ac:dyDescent="0.2">
      <c r="A150" s="51"/>
      <c r="B150" s="52"/>
      <c r="C150" s="52" t="s">
        <v>851</v>
      </c>
      <c r="D150" s="35"/>
      <c r="E150" s="13"/>
      <c r="F150" s="36">
        <f>Source!AN67</f>
        <v>1.97</v>
      </c>
      <c r="G150" s="37" t="str">
        <f>Source!DF67</f>
        <v>)*1,25</v>
      </c>
      <c r="H150" s="39">
        <f>ROUND(Source!AE67*Source!I67, 2)</f>
        <v>1.1599999999999999</v>
      </c>
      <c r="I150" s="37"/>
      <c r="J150" s="37">
        <f>IF(Source!BS67&lt;&gt; 0, Source!BS67, 1)</f>
        <v>6.11</v>
      </c>
      <c r="K150" s="39">
        <f>Source!R67</f>
        <v>7.09</v>
      </c>
      <c r="L150" s="38"/>
      <c r="R150">
        <f>H150</f>
        <v>1.1599999999999999</v>
      </c>
    </row>
    <row r="151" spans="1:26" ht="14.25" x14ac:dyDescent="0.2">
      <c r="A151" s="51"/>
      <c r="B151" s="52"/>
      <c r="C151" s="52" t="s">
        <v>857</v>
      </c>
      <c r="D151" s="35"/>
      <c r="E151" s="13"/>
      <c r="F151" s="36">
        <f>Source!AL67</f>
        <v>10701.33</v>
      </c>
      <c r="G151" s="37" t="str">
        <f>Source!DD67</f>
        <v/>
      </c>
      <c r="H151" s="36">
        <f>ROUND(Source!AC67*Source!I67, 2)</f>
        <v>5051.03</v>
      </c>
      <c r="I151" s="37"/>
      <c r="J151" s="37">
        <f>IF(Source!BC67&lt;&gt; 0, Source!BC67, 1)</f>
        <v>6.11</v>
      </c>
      <c r="K151" s="36">
        <f>Source!P67</f>
        <v>30861.78</v>
      </c>
      <c r="L151" s="38"/>
    </row>
    <row r="152" spans="1:26" ht="14.25" x14ac:dyDescent="0.2">
      <c r="A152" s="51"/>
      <c r="B152" s="52"/>
      <c r="C152" s="52" t="s">
        <v>852</v>
      </c>
      <c r="D152" s="35" t="s">
        <v>853</v>
      </c>
      <c r="E152" s="13">
        <f>Source!BZ67</f>
        <v>123</v>
      </c>
      <c r="F152" s="80" t="str">
        <f>CONCATENATE(" )", Source!DL67, Source!FT67, "=", Source!FX67)</f>
        <v xml:space="preserve"> )*0,9=110,7</v>
      </c>
      <c r="G152" s="91"/>
      <c r="H152" s="36">
        <f>SUM(S146:S154)</f>
        <v>194.37</v>
      </c>
      <c r="I152" s="40"/>
      <c r="J152" s="33">
        <f>Source!AT67</f>
        <v>111</v>
      </c>
      <c r="K152" s="36">
        <f>SUM(T146:T154)</f>
        <v>1190.79</v>
      </c>
      <c r="L152" s="38"/>
    </row>
    <row r="153" spans="1:26" ht="14.25" x14ac:dyDescent="0.2">
      <c r="A153" s="51"/>
      <c r="B153" s="52"/>
      <c r="C153" s="52" t="s">
        <v>854</v>
      </c>
      <c r="D153" s="35" t="s">
        <v>853</v>
      </c>
      <c r="E153" s="13">
        <f>Source!CA67</f>
        <v>75</v>
      </c>
      <c r="F153" s="80" t="str">
        <f>CONCATENATE(" )", Source!DM67, Source!FU67, "=", Source!FY67)</f>
        <v xml:space="preserve"> )*0,85=63,75</v>
      </c>
      <c r="G153" s="91"/>
      <c r="H153" s="36">
        <f>SUM(U146:U154)</f>
        <v>111.93</v>
      </c>
      <c r="I153" s="40"/>
      <c r="J153" s="33">
        <f>Source!AU67</f>
        <v>64</v>
      </c>
      <c r="K153" s="36">
        <f>SUM(V146:V154)</f>
        <v>686.58</v>
      </c>
      <c r="L153" s="38"/>
    </row>
    <row r="154" spans="1:26" ht="14.25" x14ac:dyDescent="0.2">
      <c r="A154" s="53"/>
      <c r="B154" s="54"/>
      <c r="C154" s="54" t="s">
        <v>855</v>
      </c>
      <c r="D154" s="41" t="s">
        <v>856</v>
      </c>
      <c r="E154" s="42">
        <f>Source!AQ67</f>
        <v>37.67</v>
      </c>
      <c r="F154" s="43"/>
      <c r="G154" s="44" t="str">
        <f>Source!DI67</f>
        <v>)*1,15</v>
      </c>
      <c r="H154" s="43"/>
      <c r="I154" s="44"/>
      <c r="J154" s="44"/>
      <c r="K154" s="43"/>
      <c r="L154" s="45">
        <f>Source!U67</f>
        <v>20.447275999999995</v>
      </c>
    </row>
    <row r="155" spans="1:26" ht="15" x14ac:dyDescent="0.25">
      <c r="G155" s="92">
        <f>H148+H149+H151+H152+H153</f>
        <v>5535.43</v>
      </c>
      <c r="H155" s="92"/>
      <c r="J155" s="92">
        <f>K148+K149+K151+K152+K153</f>
        <v>33827.31</v>
      </c>
      <c r="K155" s="92"/>
      <c r="L155" s="46">
        <f>Source!U67</f>
        <v>20.447275999999995</v>
      </c>
      <c r="O155" s="29">
        <f>G155</f>
        <v>5535.43</v>
      </c>
      <c r="P155" s="29">
        <f>J155</f>
        <v>33827.31</v>
      </c>
      <c r="Q155" s="29">
        <f>L155</f>
        <v>20.447275999999995</v>
      </c>
      <c r="W155">
        <f>IF(Source!BI67&lt;=1,H148+H149+H151+H152+H153, 0)</f>
        <v>5535.43</v>
      </c>
      <c r="X155">
        <f>IF(Source!BI67=2,H148+H149+H151+H152+H153, 0)</f>
        <v>0</v>
      </c>
      <c r="Y155">
        <f>IF(Source!BI67=3,H148+H149+H151+H152+H153, 0)</f>
        <v>0</v>
      </c>
      <c r="Z155">
        <f>IF(Source!BI67=4,H148+H149+H151+H152+H153, 0)</f>
        <v>0</v>
      </c>
    </row>
    <row r="156" spans="1:26" ht="28.5" x14ac:dyDescent="0.2">
      <c r="A156" s="51" t="str">
        <f>Source!E69</f>
        <v>14</v>
      </c>
      <c r="B156" s="52" t="str">
        <f>Source!F69</f>
        <v>11-01-047-01</v>
      </c>
      <c r="C156" s="52" t="str">
        <f>Source!G69</f>
        <v>Устройство покрытий из плит керамогранитных размером 40х40 см</v>
      </c>
      <c r="D156" s="35" t="str">
        <f>Source!H69</f>
        <v>100 м2</v>
      </c>
      <c r="E156" s="13">
        <f>Source!I69</f>
        <v>0.47199999999999998</v>
      </c>
      <c r="F156" s="36">
        <f>Source!AL69+Source!AM69+Source!AO69</f>
        <v>21576.86</v>
      </c>
      <c r="G156" s="37"/>
      <c r="H156" s="36"/>
      <c r="I156" s="37" t="str">
        <f>Source!BO69</f>
        <v/>
      </c>
      <c r="J156" s="37"/>
      <c r="K156" s="36"/>
      <c r="L156" s="38"/>
      <c r="S156">
        <f>ROUND((Source!FX69/100)*((ROUND(Source!AF69*Source!I69, 2)+ROUND(Source!AE69*Source!I69, 2))), 2)</f>
        <v>1641.66</v>
      </c>
      <c r="T156">
        <f>Source!X69</f>
        <v>10057.77</v>
      </c>
      <c r="U156">
        <f>ROUND((Source!FY69/100)*((ROUND(Source!AF69*Source!I69, 2)+ROUND(Source!AE69*Source!I69, 2))), 2)</f>
        <v>945.4</v>
      </c>
      <c r="V156">
        <f>Source!Y69</f>
        <v>5799.07</v>
      </c>
    </row>
    <row r="157" spans="1:26" x14ac:dyDescent="0.2">
      <c r="C157" s="28" t="str">
        <f>"Объем: "&amp;Source!I69&amp;"=47,2/"&amp;"100"</f>
        <v>Объем: 0,472=47,2/100</v>
      </c>
    </row>
    <row r="158" spans="1:26" ht="14.25" x14ac:dyDescent="0.2">
      <c r="A158" s="51"/>
      <c r="B158" s="52"/>
      <c r="C158" s="52" t="s">
        <v>850</v>
      </c>
      <c r="D158" s="35"/>
      <c r="E158" s="13"/>
      <c r="F158" s="36">
        <f>Source!AO69</f>
        <v>2713.07</v>
      </c>
      <c r="G158" s="37" t="str">
        <f>Source!DG69</f>
        <v>)*1,15</v>
      </c>
      <c r="H158" s="36">
        <f>ROUND(Source!AF69*Source!I69, 2)</f>
        <v>1472.65</v>
      </c>
      <c r="I158" s="37"/>
      <c r="J158" s="37">
        <f>IF(Source!BA69&lt;&gt; 0, Source!BA69, 1)</f>
        <v>6.11</v>
      </c>
      <c r="K158" s="36">
        <f>Source!S69</f>
        <v>8997.92</v>
      </c>
      <c r="L158" s="38"/>
      <c r="R158">
        <f>H158</f>
        <v>1472.65</v>
      </c>
    </row>
    <row r="159" spans="1:26" ht="14.25" x14ac:dyDescent="0.2">
      <c r="A159" s="51"/>
      <c r="B159" s="52"/>
      <c r="C159" s="52" t="s">
        <v>392</v>
      </c>
      <c r="D159" s="35"/>
      <c r="E159" s="13"/>
      <c r="F159" s="36">
        <f>Source!AM69</f>
        <v>24.15</v>
      </c>
      <c r="G159" s="37" t="str">
        <f>Source!DE69</f>
        <v>)*1,25</v>
      </c>
      <c r="H159" s="36">
        <f>ROUND(Source!AD69*Source!I69, 2)</f>
        <v>14.25</v>
      </c>
      <c r="I159" s="37"/>
      <c r="J159" s="37">
        <f>IF(Source!BB69&lt;&gt; 0, Source!BB69, 1)</f>
        <v>6.11</v>
      </c>
      <c r="K159" s="36">
        <f>Source!Q69</f>
        <v>87.07</v>
      </c>
      <c r="L159" s="38"/>
    </row>
    <row r="160" spans="1:26" ht="14.25" x14ac:dyDescent="0.2">
      <c r="A160" s="51"/>
      <c r="B160" s="52"/>
      <c r="C160" s="52" t="s">
        <v>851</v>
      </c>
      <c r="D160" s="35"/>
      <c r="E160" s="13"/>
      <c r="F160" s="36">
        <f>Source!AN69</f>
        <v>17.510000000000002</v>
      </c>
      <c r="G160" s="37" t="str">
        <f>Source!DF69</f>
        <v>)*1,25</v>
      </c>
      <c r="H160" s="39">
        <f>ROUND(Source!AE69*Source!I69, 2)</f>
        <v>10.33</v>
      </c>
      <c r="I160" s="37"/>
      <c r="J160" s="37">
        <f>IF(Source!BS69&lt;&gt; 0, Source!BS69, 1)</f>
        <v>6.11</v>
      </c>
      <c r="K160" s="39">
        <f>Source!R69</f>
        <v>63.13</v>
      </c>
      <c r="L160" s="38"/>
      <c r="R160">
        <f>H160</f>
        <v>10.33</v>
      </c>
    </row>
    <row r="161" spans="1:26" ht="14.25" x14ac:dyDescent="0.2">
      <c r="A161" s="51"/>
      <c r="B161" s="52"/>
      <c r="C161" s="52" t="s">
        <v>857</v>
      </c>
      <c r="D161" s="35"/>
      <c r="E161" s="13"/>
      <c r="F161" s="36">
        <f>Source!AL69</f>
        <v>18839.64</v>
      </c>
      <c r="G161" s="37" t="str">
        <f>Source!DD69</f>
        <v/>
      </c>
      <c r="H161" s="36">
        <f>ROUND(Source!AC69*Source!I69, 2)</f>
        <v>8892.31</v>
      </c>
      <c r="I161" s="37"/>
      <c r="J161" s="37">
        <f>IF(Source!BC69&lt;&gt; 0, Source!BC69, 1)</f>
        <v>6.11</v>
      </c>
      <c r="K161" s="36">
        <f>Source!P69</f>
        <v>54332.01</v>
      </c>
      <c r="L161" s="38"/>
    </row>
    <row r="162" spans="1:26" ht="14.25" x14ac:dyDescent="0.2">
      <c r="A162" s="51"/>
      <c r="B162" s="52"/>
      <c r="C162" s="52" t="s">
        <v>852</v>
      </c>
      <c r="D162" s="35" t="s">
        <v>853</v>
      </c>
      <c r="E162" s="13">
        <f>Source!BZ69</f>
        <v>123</v>
      </c>
      <c r="F162" s="80" t="str">
        <f>CONCATENATE(" )", Source!DL69, Source!FT69, "=", Source!FX69)</f>
        <v xml:space="preserve"> )*0,9=110,7</v>
      </c>
      <c r="G162" s="91"/>
      <c r="H162" s="36">
        <f>SUM(S156:S167)</f>
        <v>1641.66</v>
      </c>
      <c r="I162" s="40"/>
      <c r="J162" s="33">
        <f>Source!AT69</f>
        <v>111</v>
      </c>
      <c r="K162" s="36">
        <f>SUM(T156:T167)</f>
        <v>10057.77</v>
      </c>
      <c r="L162" s="38"/>
    </row>
    <row r="163" spans="1:26" ht="14.25" x14ac:dyDescent="0.2">
      <c r="A163" s="51"/>
      <c r="B163" s="52"/>
      <c r="C163" s="52" t="s">
        <v>854</v>
      </c>
      <c r="D163" s="35" t="s">
        <v>853</v>
      </c>
      <c r="E163" s="13">
        <f>Source!CA69</f>
        <v>75</v>
      </c>
      <c r="F163" s="80" t="str">
        <f>CONCATENATE(" )", Source!DM69, Source!FU69, "=", Source!FY69)</f>
        <v xml:space="preserve"> )*0,85=63,75</v>
      </c>
      <c r="G163" s="91"/>
      <c r="H163" s="36">
        <f>SUM(U156:U167)</f>
        <v>945.4</v>
      </c>
      <c r="I163" s="40"/>
      <c r="J163" s="33">
        <f>Source!AU69</f>
        <v>64</v>
      </c>
      <c r="K163" s="36">
        <f>SUM(V156:V167)</f>
        <v>5799.07</v>
      </c>
      <c r="L163" s="38"/>
    </row>
    <row r="164" spans="1:26" ht="14.25" x14ac:dyDescent="0.2">
      <c r="A164" s="51"/>
      <c r="B164" s="52"/>
      <c r="C164" s="52" t="s">
        <v>855</v>
      </c>
      <c r="D164" s="35" t="s">
        <v>856</v>
      </c>
      <c r="E164" s="13">
        <f>Source!AQ69</f>
        <v>310.42</v>
      </c>
      <c r="F164" s="36"/>
      <c r="G164" s="37" t="str">
        <f>Source!DI69</f>
        <v>)*1,15</v>
      </c>
      <c r="H164" s="36"/>
      <c r="I164" s="37"/>
      <c r="J164" s="37"/>
      <c r="K164" s="36"/>
      <c r="L164" s="47">
        <f>Source!U69</f>
        <v>168.49597599999998</v>
      </c>
    </row>
    <row r="165" spans="1:26" ht="28.5" x14ac:dyDescent="0.2">
      <c r="A165" s="51" t="str">
        <f>Source!E71</f>
        <v>14,1</v>
      </c>
      <c r="B165" s="52" t="str">
        <f>Source!F71</f>
        <v>14.4.01.02-0113</v>
      </c>
      <c r="C165" s="52" t="str">
        <f>Source!G71</f>
        <v>Грунтовка акриловая НОРТЕКС-ГРУНТ</v>
      </c>
      <c r="D165" s="35" t="str">
        <f>Source!H71</f>
        <v>кг</v>
      </c>
      <c r="E165" s="13">
        <f>Source!I71</f>
        <v>6.1360000000000001</v>
      </c>
      <c r="F165" s="36">
        <f>Source!AL71+Source!AM71+Source!AO71</f>
        <v>15.25</v>
      </c>
      <c r="G165" s="50" t="s">
        <v>6</v>
      </c>
      <c r="H165" s="36">
        <f>ROUND(Source!AC71*Source!I71, 2)+ROUND(Source!AD71*Source!I71, 2)+ROUND(Source!AF71*Source!I71, 2)</f>
        <v>93.57</v>
      </c>
      <c r="I165" s="37"/>
      <c r="J165" s="37">
        <f>IF(Source!BC71&lt;&gt; 0, Source!BC71, 1)</f>
        <v>6.11</v>
      </c>
      <c r="K165" s="36">
        <f>Source!O71</f>
        <v>571.74</v>
      </c>
      <c r="L165" s="38"/>
      <c r="S165">
        <f>ROUND((Source!FX71/100)*((ROUND(Source!AF71*Source!I71, 2)+ROUND(Source!AE71*Source!I71, 2))), 2)</f>
        <v>0</v>
      </c>
      <c r="T165">
        <f>Source!X71</f>
        <v>0</v>
      </c>
      <c r="U165">
        <f>ROUND((Source!FY71/100)*((ROUND(Source!AF71*Source!I71, 2)+ROUND(Source!AE71*Source!I71, 2))), 2)</f>
        <v>0</v>
      </c>
      <c r="V165">
        <f>Source!Y71</f>
        <v>0</v>
      </c>
      <c r="W165">
        <f>IF(Source!BI71&lt;=1,H165, 0)</f>
        <v>93.57</v>
      </c>
      <c r="X165">
        <f>IF(Source!BI71=2,H165, 0)</f>
        <v>0</v>
      </c>
      <c r="Y165">
        <f>IF(Source!BI71=3,H165, 0)</f>
        <v>0</v>
      </c>
      <c r="Z165">
        <f>IF(Source!BI71=4,H165, 0)</f>
        <v>0</v>
      </c>
    </row>
    <row r="166" spans="1:26" ht="42.75" x14ac:dyDescent="0.2">
      <c r="A166" s="51" t="str">
        <f>Source!E73</f>
        <v>14,2</v>
      </c>
      <c r="B166" s="52" t="str">
        <f>Source!F73</f>
        <v>06.2.05.03-0003</v>
      </c>
      <c r="C166" s="52" t="str">
        <f>Source!G73</f>
        <v>Гранит керамический многоцветный неполированный, размером 400х400х9 мм</v>
      </c>
      <c r="D166" s="35" t="str">
        <f>Source!H73</f>
        <v>м2</v>
      </c>
      <c r="E166" s="13">
        <f>Source!I73</f>
        <v>-48.143999999999998</v>
      </c>
      <c r="F166" s="36">
        <f>Source!AL73+Source!AM73+Source!AO73</f>
        <v>140.44999999999999</v>
      </c>
      <c r="G166" s="50" t="s">
        <v>6</v>
      </c>
      <c r="H166" s="36">
        <f>ROUND(Source!AC73*Source!I73, 2)+ROUND(Source!AD73*Source!I73, 2)+ROUND(Source!AF73*Source!I73, 2)</f>
        <v>-6761.82</v>
      </c>
      <c r="I166" s="37"/>
      <c r="J166" s="37">
        <f>IF(Source!BC73&lt;&gt; 0, Source!BC73, 1)</f>
        <v>6.11</v>
      </c>
      <c r="K166" s="36">
        <f>Source!O73</f>
        <v>-41314.75</v>
      </c>
      <c r="L166" s="38"/>
      <c r="S166">
        <f>ROUND((Source!FX73/100)*((ROUND(Source!AF73*Source!I73, 2)+ROUND(Source!AE73*Source!I73, 2))), 2)</f>
        <v>0</v>
      </c>
      <c r="T166">
        <f>Source!X73</f>
        <v>0</v>
      </c>
      <c r="U166">
        <f>ROUND((Source!FY73/100)*((ROUND(Source!AF73*Source!I73, 2)+ROUND(Source!AE73*Source!I73, 2))), 2)</f>
        <v>0</v>
      </c>
      <c r="V166">
        <f>Source!Y73</f>
        <v>0</v>
      </c>
      <c r="W166">
        <f>IF(Source!BI73&lt;=1,H166, 0)</f>
        <v>-6761.82</v>
      </c>
      <c r="X166">
        <f>IF(Source!BI73=2,H166, 0)</f>
        <v>0</v>
      </c>
      <c r="Y166">
        <f>IF(Source!BI73=3,H166, 0)</f>
        <v>0</v>
      </c>
      <c r="Z166">
        <f>IF(Source!BI73=4,H166, 0)</f>
        <v>0</v>
      </c>
    </row>
    <row r="167" spans="1:26" ht="28.5" x14ac:dyDescent="0.2">
      <c r="A167" s="53" t="str">
        <f>Source!E75</f>
        <v>14,3</v>
      </c>
      <c r="B167" s="54" t="str">
        <f>Source!F75</f>
        <v>06.2.05.03-0047</v>
      </c>
      <c r="C167" s="54" t="str">
        <f>Source!G75</f>
        <v>Плитки керамогранитные размером 300х300х8 мм</v>
      </c>
      <c r="D167" s="41" t="str">
        <f>Source!H75</f>
        <v>м2</v>
      </c>
      <c r="E167" s="42">
        <f>Source!I75</f>
        <v>48.143999999999998</v>
      </c>
      <c r="F167" s="43">
        <f>Source!AL75+Source!AM75+Source!AO75</f>
        <v>83.2</v>
      </c>
      <c r="G167" s="48" t="s">
        <v>6</v>
      </c>
      <c r="H167" s="43">
        <f>ROUND(Source!AC75*Source!I75, 2)+ROUND(Source!AD75*Source!I75, 2)+ROUND(Source!AF75*Source!I75, 2)</f>
        <v>4005.58</v>
      </c>
      <c r="I167" s="44"/>
      <c r="J167" s="44">
        <f>IF(Source!BC75&lt;&gt; 0, Source!BC75, 1)</f>
        <v>6.11</v>
      </c>
      <c r="K167" s="43">
        <f>Source!O75</f>
        <v>24474.1</v>
      </c>
      <c r="L167" s="49"/>
      <c r="S167">
        <f>ROUND((Source!FX75/100)*((ROUND(Source!AF75*Source!I75, 2)+ROUND(Source!AE75*Source!I75, 2))), 2)</f>
        <v>0</v>
      </c>
      <c r="T167">
        <f>Source!X75</f>
        <v>0</v>
      </c>
      <c r="U167">
        <f>ROUND((Source!FY75/100)*((ROUND(Source!AF75*Source!I75, 2)+ROUND(Source!AE75*Source!I75, 2))), 2)</f>
        <v>0</v>
      </c>
      <c r="V167">
        <f>Source!Y75</f>
        <v>0</v>
      </c>
      <c r="W167">
        <f>IF(Source!BI75&lt;=1,H167, 0)</f>
        <v>4005.58</v>
      </c>
      <c r="X167">
        <f>IF(Source!BI75=2,H167, 0)</f>
        <v>0</v>
      </c>
      <c r="Y167">
        <f>IF(Source!BI75=3,H167, 0)</f>
        <v>0</v>
      </c>
      <c r="Z167">
        <f>IF(Source!BI75=4,H167, 0)</f>
        <v>0</v>
      </c>
    </row>
    <row r="168" spans="1:26" ht="15" x14ac:dyDescent="0.25">
      <c r="G168" s="92">
        <f>H158+H159+H161+H162+H163+SUM(H165:H167)</f>
        <v>10303.599999999999</v>
      </c>
      <c r="H168" s="92"/>
      <c r="J168" s="92">
        <f>K158+K159+K161+K162+K163+SUM(K165:K167)</f>
        <v>63004.929999999993</v>
      </c>
      <c r="K168" s="92"/>
      <c r="L168" s="46">
        <f>Source!U69</f>
        <v>168.49597599999998</v>
      </c>
      <c r="O168" s="29">
        <f>G168</f>
        <v>10303.599999999999</v>
      </c>
      <c r="P168" s="29">
        <f>J168</f>
        <v>63004.929999999993</v>
      </c>
      <c r="Q168" s="29">
        <f>L168</f>
        <v>168.49597599999998</v>
      </c>
      <c r="W168">
        <f>IF(Source!BI69&lt;=1,H158+H159+H161+H162+H163, 0)</f>
        <v>12966.269999999999</v>
      </c>
      <c r="X168">
        <f>IF(Source!BI69=2,H158+H159+H161+H162+H163, 0)</f>
        <v>0</v>
      </c>
      <c r="Y168">
        <f>IF(Source!BI69=3,H158+H159+H161+H162+H163, 0)</f>
        <v>0</v>
      </c>
      <c r="Z168">
        <f>IF(Source!BI69=4,H158+H159+H161+H162+H163, 0)</f>
        <v>0</v>
      </c>
    </row>
    <row r="169" spans="1:26" ht="28.5" x14ac:dyDescent="0.2">
      <c r="A169" s="51" t="str">
        <f>Source!E77</f>
        <v>15</v>
      </c>
      <c r="B169" s="52" t="str">
        <f>Source!F77</f>
        <v>15-04-006-03</v>
      </c>
      <c r="C169" s="52" t="str">
        <f>Source!G77</f>
        <v>Покрытие поверхностей грунтовкой глубокого проникновения за 1 раз стен</v>
      </c>
      <c r="D169" s="35" t="str">
        <f>Source!H77</f>
        <v>100 м2</v>
      </c>
      <c r="E169" s="13">
        <f>Source!I77</f>
        <v>0.95799999999999996</v>
      </c>
      <c r="F169" s="36">
        <f>Source!AL77+Source!AM77+Source!AO77</f>
        <v>64.16</v>
      </c>
      <c r="G169" s="37"/>
      <c r="H169" s="36"/>
      <c r="I169" s="37" t="str">
        <f>Source!BO77</f>
        <v/>
      </c>
      <c r="J169" s="37"/>
      <c r="K169" s="36"/>
      <c r="L169" s="38"/>
      <c r="S169">
        <f>ROUND((Source!FX77/100)*((ROUND(Source!AF77*Source!I77, 2)+ROUND(Source!AE77*Source!I77, 2))), 2)</f>
        <v>65.900000000000006</v>
      </c>
      <c r="T169">
        <f>Source!X77</f>
        <v>404.77</v>
      </c>
      <c r="U169">
        <f>ROUND((Source!FY77/100)*((ROUND(Source!AF77*Source!I77, 2)+ROUND(Source!AE77*Source!I77, 2))), 2)</f>
        <v>32.6</v>
      </c>
      <c r="V169">
        <f>Source!Y77</f>
        <v>200.25</v>
      </c>
    </row>
    <row r="170" spans="1:26" x14ac:dyDescent="0.2">
      <c r="C170" s="28" t="str">
        <f>"Объем: "&amp;Source!I77&amp;"=95,8/"&amp;"100"</f>
        <v>Объем: 0,958=95,8/100</v>
      </c>
    </row>
    <row r="171" spans="1:26" ht="14.25" x14ac:dyDescent="0.2">
      <c r="A171" s="51"/>
      <c r="B171" s="52"/>
      <c r="C171" s="52" t="s">
        <v>850</v>
      </c>
      <c r="D171" s="35"/>
      <c r="E171" s="13"/>
      <c r="F171" s="36">
        <f>Source!AO77</f>
        <v>63.01</v>
      </c>
      <c r="G171" s="37" t="str">
        <f>Source!DG77</f>
        <v>)*1,15</v>
      </c>
      <c r="H171" s="36">
        <f>ROUND(Source!AF77*Source!I77, 2)</f>
        <v>69.42</v>
      </c>
      <c r="I171" s="37"/>
      <c r="J171" s="37">
        <f>IF(Source!BA77&lt;&gt; 0, Source!BA77, 1)</f>
        <v>6.11</v>
      </c>
      <c r="K171" s="36">
        <f>Source!S77</f>
        <v>424.14</v>
      </c>
      <c r="L171" s="38"/>
      <c r="R171">
        <f>H171</f>
        <v>69.42</v>
      </c>
    </row>
    <row r="172" spans="1:26" ht="14.25" x14ac:dyDescent="0.2">
      <c r="A172" s="51"/>
      <c r="B172" s="52"/>
      <c r="C172" s="52" t="s">
        <v>392</v>
      </c>
      <c r="D172" s="35"/>
      <c r="E172" s="13"/>
      <c r="F172" s="36">
        <f>Source!AM77</f>
        <v>0.97</v>
      </c>
      <c r="G172" s="37" t="str">
        <f>Source!DE77</f>
        <v>)*1,25</v>
      </c>
      <c r="H172" s="36">
        <f>ROUND(Source!AD77*Source!I77, 2)</f>
        <v>1.17</v>
      </c>
      <c r="I172" s="37"/>
      <c r="J172" s="37">
        <f>IF(Source!BB77&lt;&gt; 0, Source!BB77, 1)</f>
        <v>6.11</v>
      </c>
      <c r="K172" s="36">
        <f>Source!Q77</f>
        <v>7.14</v>
      </c>
      <c r="L172" s="38"/>
    </row>
    <row r="173" spans="1:26" ht="14.25" x14ac:dyDescent="0.2">
      <c r="A173" s="51"/>
      <c r="B173" s="52"/>
      <c r="C173" s="52" t="s">
        <v>851</v>
      </c>
      <c r="D173" s="35"/>
      <c r="E173" s="13"/>
      <c r="F173" s="36">
        <f>Source!AN77</f>
        <v>0.26</v>
      </c>
      <c r="G173" s="37" t="str">
        <f>Source!DF77</f>
        <v>)*1,25</v>
      </c>
      <c r="H173" s="39">
        <f>ROUND(Source!AE77*Source!I77, 2)</f>
        <v>0.32</v>
      </c>
      <c r="I173" s="37"/>
      <c r="J173" s="37">
        <f>IF(Source!BS77&lt;&gt; 0, Source!BS77, 1)</f>
        <v>6.11</v>
      </c>
      <c r="K173" s="39">
        <f>Source!R77</f>
        <v>1.93</v>
      </c>
      <c r="L173" s="38"/>
      <c r="R173">
        <f>H173</f>
        <v>0.32</v>
      </c>
    </row>
    <row r="174" spans="1:26" ht="14.25" x14ac:dyDescent="0.2">
      <c r="A174" s="51"/>
      <c r="B174" s="52"/>
      <c r="C174" s="52" t="s">
        <v>857</v>
      </c>
      <c r="D174" s="35"/>
      <c r="E174" s="13"/>
      <c r="F174" s="36">
        <f>Source!AL77</f>
        <v>0.18</v>
      </c>
      <c r="G174" s="37" t="str">
        <f>Source!DD77</f>
        <v/>
      </c>
      <c r="H174" s="36">
        <f>ROUND(Source!AC77*Source!I77, 2)</f>
        <v>0.17</v>
      </c>
      <c r="I174" s="37"/>
      <c r="J174" s="37">
        <f>IF(Source!BC77&lt;&gt; 0, Source!BC77, 1)</f>
        <v>6.11</v>
      </c>
      <c r="K174" s="36">
        <f>Source!P77</f>
        <v>1.05</v>
      </c>
      <c r="L174" s="38"/>
    </row>
    <row r="175" spans="1:26" ht="14.25" x14ac:dyDescent="0.2">
      <c r="A175" s="51"/>
      <c r="B175" s="52"/>
      <c r="C175" s="52" t="s">
        <v>852</v>
      </c>
      <c r="D175" s="35" t="s">
        <v>853</v>
      </c>
      <c r="E175" s="13">
        <f>Source!BZ77</f>
        <v>105</v>
      </c>
      <c r="F175" s="80" t="str">
        <f>CONCATENATE(" )", Source!DL77, Source!FT77, "=", Source!FX77)</f>
        <v xml:space="preserve"> )*0,9=94,5</v>
      </c>
      <c r="G175" s="91"/>
      <c r="H175" s="36">
        <f>SUM(S169:S179)</f>
        <v>65.900000000000006</v>
      </c>
      <c r="I175" s="40"/>
      <c r="J175" s="33">
        <f>Source!AT77</f>
        <v>95</v>
      </c>
      <c r="K175" s="36">
        <f>SUM(T169:T179)</f>
        <v>404.77</v>
      </c>
      <c r="L175" s="38"/>
    </row>
    <row r="176" spans="1:26" ht="14.25" x14ac:dyDescent="0.2">
      <c r="A176" s="51"/>
      <c r="B176" s="52"/>
      <c r="C176" s="52" t="s">
        <v>854</v>
      </c>
      <c r="D176" s="35" t="s">
        <v>853</v>
      </c>
      <c r="E176" s="13">
        <f>Source!CA77</f>
        <v>55</v>
      </c>
      <c r="F176" s="80" t="str">
        <f>CONCATENATE(" )", Source!DM77, Source!FU77, "=", Source!FY77)</f>
        <v xml:space="preserve"> )*0,85=46,75</v>
      </c>
      <c r="G176" s="91"/>
      <c r="H176" s="36">
        <f>SUM(U169:U179)</f>
        <v>32.6</v>
      </c>
      <c r="I176" s="40"/>
      <c r="J176" s="33">
        <f>Source!AU77</f>
        <v>47</v>
      </c>
      <c r="K176" s="36">
        <f>SUM(V169:V179)</f>
        <v>200.25</v>
      </c>
      <c r="L176" s="38"/>
    </row>
    <row r="177" spans="1:26" ht="14.25" x14ac:dyDescent="0.2">
      <c r="A177" s="51"/>
      <c r="B177" s="52"/>
      <c r="C177" s="52" t="s">
        <v>855</v>
      </c>
      <c r="D177" s="35" t="s">
        <v>856</v>
      </c>
      <c r="E177" s="13">
        <f>Source!AQ77</f>
        <v>6.55</v>
      </c>
      <c r="F177" s="36"/>
      <c r="G177" s="37" t="str">
        <f>Source!DI77</f>
        <v>)*1,15</v>
      </c>
      <c r="H177" s="36"/>
      <c r="I177" s="37"/>
      <c r="J177" s="37"/>
      <c r="K177" s="36"/>
      <c r="L177" s="47">
        <f>Source!U77</f>
        <v>7.2161349999999986</v>
      </c>
    </row>
    <row r="178" spans="1:26" ht="14.25" x14ac:dyDescent="0.2">
      <c r="A178" s="51" t="str">
        <f>Source!E79</f>
        <v>15,1</v>
      </c>
      <c r="B178" s="52" t="str">
        <f>Source!F79</f>
        <v>14.4.01.21</v>
      </c>
      <c r="C178" s="52" t="str">
        <f>Source!G79</f>
        <v>Грунтовка</v>
      </c>
      <c r="D178" s="35" t="str">
        <f>Source!H79</f>
        <v>т</v>
      </c>
      <c r="E178" s="13">
        <f>Source!I79</f>
        <v>1.2454E-2</v>
      </c>
      <c r="F178" s="36">
        <f>Source!AL79+Source!AM79+Source!AO79</f>
        <v>0</v>
      </c>
      <c r="G178" s="50" t="s">
        <v>6</v>
      </c>
      <c r="H178" s="36">
        <f>ROUND(Source!AC79*Source!I79, 2)+ROUND(Source!AD79*Source!I79, 2)+ROUND(Source!AF79*Source!I79, 2)</f>
        <v>0</v>
      </c>
      <c r="I178" s="37"/>
      <c r="J178" s="37">
        <f>IF(Source!BC79&lt;&gt; 0, Source!BC79, 1)</f>
        <v>6.11</v>
      </c>
      <c r="K178" s="36">
        <f>Source!O79</f>
        <v>0</v>
      </c>
      <c r="L178" s="38"/>
      <c r="S178">
        <f>ROUND((Source!FX79/100)*((ROUND(Source!AF79*Source!I79, 2)+ROUND(Source!AE79*Source!I79, 2))), 2)</f>
        <v>0</v>
      </c>
      <c r="T178">
        <f>Source!X79</f>
        <v>0</v>
      </c>
      <c r="U178">
        <f>ROUND((Source!FY79/100)*((ROUND(Source!AF79*Source!I79, 2)+ROUND(Source!AE79*Source!I79, 2))), 2)</f>
        <v>0</v>
      </c>
      <c r="V178">
        <f>Source!Y79</f>
        <v>0</v>
      </c>
      <c r="W178">
        <f>IF(Source!BI79&lt;=1,H178, 0)</f>
        <v>0</v>
      </c>
      <c r="X178">
        <f>IF(Source!BI79=2,H178, 0)</f>
        <v>0</v>
      </c>
      <c r="Y178">
        <f>IF(Source!BI79=3,H178, 0)</f>
        <v>0</v>
      </c>
      <c r="Z178">
        <f>IF(Source!BI79=4,H178, 0)</f>
        <v>0</v>
      </c>
    </row>
    <row r="179" spans="1:26" ht="28.5" x14ac:dyDescent="0.2">
      <c r="A179" s="53" t="str">
        <f>Source!E81</f>
        <v>15,2</v>
      </c>
      <c r="B179" s="54" t="str">
        <f>Source!F81</f>
        <v>14.4.01.04-0001</v>
      </c>
      <c r="C179" s="54" t="str">
        <f>Source!G81</f>
        <v>Грунтовка для внутренних работ ВАК-01-У</v>
      </c>
      <c r="D179" s="41" t="str">
        <f>Source!H81</f>
        <v>т</v>
      </c>
      <c r="E179" s="42">
        <f>Source!I81</f>
        <v>1.2454E-2</v>
      </c>
      <c r="F179" s="43">
        <f>Source!AL81+Source!AM81+Source!AO81</f>
        <v>11300</v>
      </c>
      <c r="G179" s="48" t="s">
        <v>6</v>
      </c>
      <c r="H179" s="43">
        <f>ROUND(Source!AC81*Source!I81, 2)+ROUND(Source!AD81*Source!I81, 2)+ROUND(Source!AF81*Source!I81, 2)</f>
        <v>140.72999999999999</v>
      </c>
      <c r="I179" s="44"/>
      <c r="J179" s="44">
        <f>IF(Source!BC81&lt;&gt; 0, Source!BC81, 1)</f>
        <v>6.11</v>
      </c>
      <c r="K179" s="43">
        <f>Source!O81</f>
        <v>859.86</v>
      </c>
      <c r="L179" s="49"/>
      <c r="S179">
        <f>ROUND((Source!FX81/100)*((ROUND(Source!AF81*Source!I81, 2)+ROUND(Source!AE81*Source!I81, 2))), 2)</f>
        <v>0</v>
      </c>
      <c r="T179">
        <f>Source!X81</f>
        <v>0</v>
      </c>
      <c r="U179">
        <f>ROUND((Source!FY81/100)*((ROUND(Source!AF81*Source!I81, 2)+ROUND(Source!AE81*Source!I81, 2))), 2)</f>
        <v>0</v>
      </c>
      <c r="V179">
        <f>Source!Y81</f>
        <v>0</v>
      </c>
      <c r="W179">
        <f>IF(Source!BI81&lt;=1,H179, 0)</f>
        <v>140.72999999999999</v>
      </c>
      <c r="X179">
        <f>IF(Source!BI81=2,H179, 0)</f>
        <v>0</v>
      </c>
      <c r="Y179">
        <f>IF(Source!BI81=3,H179, 0)</f>
        <v>0</v>
      </c>
      <c r="Z179">
        <f>IF(Source!BI81=4,H179, 0)</f>
        <v>0</v>
      </c>
    </row>
    <row r="180" spans="1:26" ht="15" x14ac:dyDescent="0.25">
      <c r="G180" s="92">
        <f>H171+H172+H174+H175+H176+SUM(H178:H179)</f>
        <v>309.99</v>
      </c>
      <c r="H180" s="92"/>
      <c r="J180" s="92">
        <f>K171+K172+K174+K175+K176+SUM(K178:K179)</f>
        <v>1897.21</v>
      </c>
      <c r="K180" s="92"/>
      <c r="L180" s="46">
        <f>Source!U77</f>
        <v>7.2161349999999986</v>
      </c>
      <c r="O180" s="29">
        <f>G180</f>
        <v>309.99</v>
      </c>
      <c r="P180" s="29">
        <f>J180</f>
        <v>1897.21</v>
      </c>
      <c r="Q180" s="29">
        <f>L180</f>
        <v>7.2161349999999986</v>
      </c>
      <c r="W180">
        <f>IF(Source!BI77&lt;=1,H171+H172+H174+H175+H176, 0)</f>
        <v>169.26000000000002</v>
      </c>
      <c r="X180">
        <f>IF(Source!BI77=2,H171+H172+H174+H175+H176, 0)</f>
        <v>0</v>
      </c>
      <c r="Y180">
        <f>IF(Source!BI77=3,H171+H172+H174+H175+H176, 0)</f>
        <v>0</v>
      </c>
      <c r="Z180">
        <f>IF(Source!BI77=4,H171+H172+H174+H175+H176, 0)</f>
        <v>0</v>
      </c>
    </row>
    <row r="181" spans="1:26" ht="28.5" x14ac:dyDescent="0.2">
      <c r="A181" s="51" t="str">
        <f>Source!E83</f>
        <v>16</v>
      </c>
      <c r="B181" s="52" t="str">
        <f>Source!F83</f>
        <v>63-7-5</v>
      </c>
      <c r="C181" s="52" t="str">
        <f>Source!G83</f>
        <v>Разборка облицовки стен из керамических глазурованных плиток</v>
      </c>
      <c r="D181" s="35" t="str">
        <f>Source!H83</f>
        <v>100 м2</v>
      </c>
      <c r="E181" s="13">
        <f>Source!I83</f>
        <v>0.47499999999999998</v>
      </c>
      <c r="F181" s="36">
        <f>Source!AL83+Source!AM83+Source!AO83</f>
        <v>654</v>
      </c>
      <c r="G181" s="37"/>
      <c r="H181" s="36"/>
      <c r="I181" s="37" t="str">
        <f>Source!BO83</f>
        <v/>
      </c>
      <c r="J181" s="37"/>
      <c r="K181" s="36"/>
      <c r="L181" s="38"/>
      <c r="S181">
        <f>ROUND((Source!FX83/100)*((ROUND(Source!AF83*Source!I83, 2)+ROUND(Source!AE83*Source!I83, 2))), 2)</f>
        <v>215.6</v>
      </c>
      <c r="T181">
        <f>Source!X83</f>
        <v>1317.31</v>
      </c>
      <c r="U181">
        <f>ROUND((Source!FY83/100)*((ROUND(Source!AF83*Source!I83, 2)+ROUND(Source!AE83*Source!I83, 2))), 2)</f>
        <v>140</v>
      </c>
      <c r="V181">
        <f>Source!Y83</f>
        <v>855.4</v>
      </c>
    </row>
    <row r="182" spans="1:26" x14ac:dyDescent="0.2">
      <c r="C182" s="28" t="str">
        <f>"Объем: "&amp;Source!I83&amp;"=47,5/"&amp;"100"</f>
        <v>Объем: 0,475=47,5/100</v>
      </c>
    </row>
    <row r="183" spans="1:26" ht="14.25" x14ac:dyDescent="0.2">
      <c r="A183" s="51"/>
      <c r="B183" s="52"/>
      <c r="C183" s="52" t="s">
        <v>850</v>
      </c>
      <c r="D183" s="35"/>
      <c r="E183" s="13"/>
      <c r="F183" s="36">
        <f>Source!AO83</f>
        <v>584.74</v>
      </c>
      <c r="G183" s="37" t="str">
        <f>Source!DG83</f>
        <v/>
      </c>
      <c r="H183" s="36">
        <f>ROUND(Source!AF83*Source!I83, 2)</f>
        <v>277.75</v>
      </c>
      <c r="I183" s="37"/>
      <c r="J183" s="37">
        <f>IF(Source!BA83&lt;&gt; 0, Source!BA83, 1)</f>
        <v>6.11</v>
      </c>
      <c r="K183" s="36">
        <f>Source!S83</f>
        <v>1697.06</v>
      </c>
      <c r="L183" s="38"/>
      <c r="R183">
        <f>H183</f>
        <v>277.75</v>
      </c>
    </row>
    <row r="184" spans="1:26" ht="14.25" x14ac:dyDescent="0.2">
      <c r="A184" s="51"/>
      <c r="B184" s="52"/>
      <c r="C184" s="52" t="s">
        <v>392</v>
      </c>
      <c r="D184" s="35"/>
      <c r="E184" s="13"/>
      <c r="F184" s="36">
        <f>Source!AM83</f>
        <v>69.260000000000005</v>
      </c>
      <c r="G184" s="37" t="str">
        <f>Source!DE83</f>
        <v/>
      </c>
      <c r="H184" s="36">
        <f>ROUND(Source!AD83*Source!I83, 2)</f>
        <v>32.9</v>
      </c>
      <c r="I184" s="37"/>
      <c r="J184" s="37">
        <f>IF(Source!BB83&lt;&gt; 0, Source!BB83, 1)</f>
        <v>6.11</v>
      </c>
      <c r="K184" s="36">
        <f>Source!Q83</f>
        <v>201.01</v>
      </c>
      <c r="L184" s="38"/>
    </row>
    <row r="185" spans="1:26" ht="14.25" x14ac:dyDescent="0.2">
      <c r="A185" s="51"/>
      <c r="B185" s="52"/>
      <c r="C185" s="52" t="s">
        <v>851</v>
      </c>
      <c r="D185" s="35"/>
      <c r="E185" s="13"/>
      <c r="F185" s="36">
        <f>Source!AN83</f>
        <v>4.7300000000000004</v>
      </c>
      <c r="G185" s="37" t="str">
        <f>Source!DF83</f>
        <v/>
      </c>
      <c r="H185" s="39">
        <f>ROUND(Source!AE83*Source!I83, 2)</f>
        <v>2.25</v>
      </c>
      <c r="I185" s="37"/>
      <c r="J185" s="37">
        <f>IF(Source!BS83&lt;&gt; 0, Source!BS83, 1)</f>
        <v>6.11</v>
      </c>
      <c r="K185" s="39">
        <f>Source!R83</f>
        <v>13.73</v>
      </c>
      <c r="L185" s="38"/>
      <c r="R185">
        <f>H185</f>
        <v>2.25</v>
      </c>
    </row>
    <row r="186" spans="1:26" ht="14.25" x14ac:dyDescent="0.2">
      <c r="A186" s="51"/>
      <c r="B186" s="52"/>
      <c r="C186" s="52" t="s">
        <v>852</v>
      </c>
      <c r="D186" s="35" t="s">
        <v>853</v>
      </c>
      <c r="E186" s="13">
        <f>Source!BZ83</f>
        <v>77</v>
      </c>
      <c r="F186" s="55"/>
      <c r="G186" s="37"/>
      <c r="H186" s="36">
        <f>SUM(S181:S188)</f>
        <v>215.6</v>
      </c>
      <c r="I186" s="40"/>
      <c r="J186" s="33">
        <f>Source!AT83</f>
        <v>77</v>
      </c>
      <c r="K186" s="36">
        <f>SUM(T181:T188)</f>
        <v>1317.31</v>
      </c>
      <c r="L186" s="38"/>
    </row>
    <row r="187" spans="1:26" ht="14.25" x14ac:dyDescent="0.2">
      <c r="A187" s="51"/>
      <c r="B187" s="52"/>
      <c r="C187" s="52" t="s">
        <v>854</v>
      </c>
      <c r="D187" s="35" t="s">
        <v>853</v>
      </c>
      <c r="E187" s="13">
        <f>Source!CA83</f>
        <v>50</v>
      </c>
      <c r="F187" s="55"/>
      <c r="G187" s="37"/>
      <c r="H187" s="36">
        <f>SUM(U181:U188)</f>
        <v>140</v>
      </c>
      <c r="I187" s="40"/>
      <c r="J187" s="33">
        <f>Source!AU83</f>
        <v>50</v>
      </c>
      <c r="K187" s="36">
        <f>SUM(V181:V188)</f>
        <v>855.4</v>
      </c>
      <c r="L187" s="38"/>
    </row>
    <row r="188" spans="1:26" ht="14.25" x14ac:dyDescent="0.2">
      <c r="A188" s="53"/>
      <c r="B188" s="54"/>
      <c r="C188" s="54" t="s">
        <v>855</v>
      </c>
      <c r="D188" s="41" t="s">
        <v>856</v>
      </c>
      <c r="E188" s="42">
        <f>Source!AQ83</f>
        <v>74.3</v>
      </c>
      <c r="F188" s="43"/>
      <c r="G188" s="44" t="str">
        <f>Source!DI83</f>
        <v/>
      </c>
      <c r="H188" s="43"/>
      <c r="I188" s="44"/>
      <c r="J188" s="44"/>
      <c r="K188" s="43"/>
      <c r="L188" s="45">
        <f>Source!U83</f>
        <v>35.292499999999997</v>
      </c>
    </row>
    <row r="189" spans="1:26" ht="15" x14ac:dyDescent="0.25">
      <c r="G189" s="92">
        <f>H183+H184+H186+H187</f>
        <v>666.25</v>
      </c>
      <c r="H189" s="92"/>
      <c r="J189" s="92">
        <f>K183+K184+K186+K187</f>
        <v>4070.78</v>
      </c>
      <c r="K189" s="92"/>
      <c r="L189" s="46">
        <f>Source!U83</f>
        <v>35.292499999999997</v>
      </c>
      <c r="O189" s="29">
        <f>G189</f>
        <v>666.25</v>
      </c>
      <c r="P189" s="29">
        <f>J189</f>
        <v>4070.78</v>
      </c>
      <c r="Q189" s="29">
        <f>L189</f>
        <v>35.292499999999997</v>
      </c>
      <c r="W189">
        <f>IF(Source!BI83&lt;=1,H183+H184+H186+H187, 0)</f>
        <v>666.25</v>
      </c>
      <c r="X189">
        <f>IF(Source!BI83=2,H183+H184+H186+H187, 0)</f>
        <v>0</v>
      </c>
      <c r="Y189">
        <f>IF(Source!BI83=3,H183+H184+H186+H187, 0)</f>
        <v>0</v>
      </c>
      <c r="Z189">
        <f>IF(Source!BI83=4,H183+H184+H186+H187, 0)</f>
        <v>0</v>
      </c>
    </row>
    <row r="190" spans="1:26" ht="85.5" x14ac:dyDescent="0.2">
      <c r="A190" s="51" t="str">
        <f>Source!E85</f>
        <v>17</v>
      </c>
      <c r="B190" s="52" t="str">
        <f>Source!F85</f>
        <v>15-01-019-05</v>
      </c>
      <c r="C190" s="52" t="str">
        <f>Source!G85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190" s="35" t="str">
        <f>Source!H85</f>
        <v>100 м2</v>
      </c>
      <c r="E190" s="13">
        <f>Source!I85</f>
        <v>0.47499999999999998</v>
      </c>
      <c r="F190" s="36">
        <f>Source!AL85+Source!AM85+Source!AO85</f>
        <v>1500.7</v>
      </c>
      <c r="G190" s="37"/>
      <c r="H190" s="36"/>
      <c r="I190" s="37" t="str">
        <f>Source!BO85</f>
        <v/>
      </c>
      <c r="J190" s="37"/>
      <c r="K190" s="36"/>
      <c r="L190" s="38"/>
      <c r="S190">
        <f>ROUND((Source!FX85/100)*((ROUND(Source!AF85*Source!I85, 2)+ROUND(Source!AE85*Source!I85, 2))), 2)</f>
        <v>766.48</v>
      </c>
      <c r="T190">
        <f>Source!X85</f>
        <v>4707.95</v>
      </c>
      <c r="U190">
        <f>ROUND((Source!FY85/100)*((ROUND(Source!AF85*Source!I85, 2)+ROUND(Source!AE85*Source!I85, 2))), 2)</f>
        <v>379.18</v>
      </c>
      <c r="V190">
        <f>Source!Y85</f>
        <v>2329.1999999999998</v>
      </c>
    </row>
    <row r="191" spans="1:26" x14ac:dyDescent="0.2">
      <c r="C191" s="28" t="str">
        <f>"Объем: "&amp;Source!I85&amp;"=47,5/"&amp;"100"</f>
        <v>Объем: 0,475=47,5/100</v>
      </c>
    </row>
    <row r="192" spans="1:26" ht="14.25" x14ac:dyDescent="0.2">
      <c r="A192" s="51"/>
      <c r="B192" s="52"/>
      <c r="C192" s="52" t="s">
        <v>850</v>
      </c>
      <c r="D192" s="35"/>
      <c r="E192" s="13"/>
      <c r="F192" s="36">
        <f>Source!AO85</f>
        <v>1465.77</v>
      </c>
      <c r="G192" s="37" t="str">
        <f>Source!DG85</f>
        <v>)*1,15</v>
      </c>
      <c r="H192" s="36">
        <f>ROUND(Source!AF85*Source!I85, 2)</f>
        <v>800.68</v>
      </c>
      <c r="I192" s="37"/>
      <c r="J192" s="37">
        <f>IF(Source!BA85&lt;&gt; 0, Source!BA85, 1)</f>
        <v>6.11</v>
      </c>
      <c r="K192" s="36">
        <f>Source!S85</f>
        <v>4892.1499999999996</v>
      </c>
      <c r="L192" s="38"/>
      <c r="R192">
        <f>H192</f>
        <v>800.68</v>
      </c>
    </row>
    <row r="193" spans="1:26" ht="14.25" x14ac:dyDescent="0.2">
      <c r="A193" s="51"/>
      <c r="B193" s="52"/>
      <c r="C193" s="52" t="s">
        <v>392</v>
      </c>
      <c r="D193" s="35"/>
      <c r="E193" s="13"/>
      <c r="F193" s="36">
        <f>Source!AM85</f>
        <v>31.75</v>
      </c>
      <c r="G193" s="37" t="str">
        <f>Source!DE85</f>
        <v>)*1,25</v>
      </c>
      <c r="H193" s="36">
        <f>ROUND(Source!AD85*Source!I85, 2)</f>
        <v>18.850000000000001</v>
      </c>
      <c r="I193" s="37"/>
      <c r="J193" s="37">
        <f>IF(Source!BB85&lt;&gt; 0, Source!BB85, 1)</f>
        <v>6.11</v>
      </c>
      <c r="K193" s="36">
        <f>Source!Q85</f>
        <v>115.19</v>
      </c>
      <c r="L193" s="38"/>
    </row>
    <row r="194" spans="1:26" ht="14.25" x14ac:dyDescent="0.2">
      <c r="A194" s="51"/>
      <c r="B194" s="52"/>
      <c r="C194" s="52" t="s">
        <v>851</v>
      </c>
      <c r="D194" s="35"/>
      <c r="E194" s="13"/>
      <c r="F194" s="36">
        <f>Source!AN85</f>
        <v>17.53</v>
      </c>
      <c r="G194" s="37" t="str">
        <f>Source!DF85</f>
        <v>)*1,25</v>
      </c>
      <c r="H194" s="39">
        <f>ROUND(Source!AE85*Source!I85, 2)</f>
        <v>10.41</v>
      </c>
      <c r="I194" s="37"/>
      <c r="J194" s="37">
        <f>IF(Source!BS85&lt;&gt; 0, Source!BS85, 1)</f>
        <v>6.11</v>
      </c>
      <c r="K194" s="39">
        <f>Source!R85</f>
        <v>63.59</v>
      </c>
      <c r="L194" s="38"/>
      <c r="R194">
        <f>H194</f>
        <v>10.41</v>
      </c>
    </row>
    <row r="195" spans="1:26" ht="14.25" x14ac:dyDescent="0.2">
      <c r="A195" s="51"/>
      <c r="B195" s="52"/>
      <c r="C195" s="52" t="s">
        <v>857</v>
      </c>
      <c r="D195" s="35"/>
      <c r="E195" s="13"/>
      <c r="F195" s="36">
        <f>Source!AL85</f>
        <v>3.18</v>
      </c>
      <c r="G195" s="37" t="str">
        <f>Source!DD85</f>
        <v/>
      </c>
      <c r="H195" s="36">
        <f>ROUND(Source!AC85*Source!I85, 2)</f>
        <v>1.51</v>
      </c>
      <c r="I195" s="37"/>
      <c r="J195" s="37">
        <f>IF(Source!BC85&lt;&gt; 0, Source!BC85, 1)</f>
        <v>6.11</v>
      </c>
      <c r="K195" s="36">
        <f>Source!P85</f>
        <v>9.23</v>
      </c>
      <c r="L195" s="38"/>
    </row>
    <row r="196" spans="1:26" ht="14.25" x14ac:dyDescent="0.2">
      <c r="A196" s="51"/>
      <c r="B196" s="52"/>
      <c r="C196" s="52" t="s">
        <v>852</v>
      </c>
      <c r="D196" s="35" t="s">
        <v>853</v>
      </c>
      <c r="E196" s="13">
        <f>Source!BZ85</f>
        <v>105</v>
      </c>
      <c r="F196" s="80" t="str">
        <f>CONCATENATE(" )", Source!DL85, Source!FT85, "=", Source!FX85)</f>
        <v xml:space="preserve"> )*0,9=94,5</v>
      </c>
      <c r="G196" s="91"/>
      <c r="H196" s="36">
        <f>SUM(S190:S201)</f>
        <v>766.48</v>
      </c>
      <c r="I196" s="40"/>
      <c r="J196" s="33">
        <f>Source!AT85</f>
        <v>95</v>
      </c>
      <c r="K196" s="36">
        <f>SUM(T190:T201)</f>
        <v>4707.95</v>
      </c>
      <c r="L196" s="38"/>
    </row>
    <row r="197" spans="1:26" ht="14.25" x14ac:dyDescent="0.2">
      <c r="A197" s="51"/>
      <c r="B197" s="52"/>
      <c r="C197" s="52" t="s">
        <v>854</v>
      </c>
      <c r="D197" s="35" t="s">
        <v>853</v>
      </c>
      <c r="E197" s="13">
        <f>Source!CA85</f>
        <v>55</v>
      </c>
      <c r="F197" s="80" t="str">
        <f>CONCATENATE(" )", Source!DM85, Source!FU85, "=", Source!FY85)</f>
        <v xml:space="preserve"> )*0,85=46,75</v>
      </c>
      <c r="G197" s="91"/>
      <c r="H197" s="36">
        <f>SUM(U190:U201)</f>
        <v>379.18</v>
      </c>
      <c r="I197" s="40"/>
      <c r="J197" s="33">
        <f>Source!AU85</f>
        <v>47</v>
      </c>
      <c r="K197" s="36">
        <f>SUM(V190:V201)</f>
        <v>2329.1999999999998</v>
      </c>
      <c r="L197" s="38"/>
    </row>
    <row r="198" spans="1:26" ht="14.25" x14ac:dyDescent="0.2">
      <c r="A198" s="51"/>
      <c r="B198" s="52"/>
      <c r="C198" s="52" t="s">
        <v>855</v>
      </c>
      <c r="D198" s="35" t="s">
        <v>856</v>
      </c>
      <c r="E198" s="13">
        <f>Source!AQ85</f>
        <v>159.66999999999999</v>
      </c>
      <c r="F198" s="36"/>
      <c r="G198" s="37" t="str">
        <f>Source!DI85</f>
        <v>)*1,15</v>
      </c>
      <c r="H198" s="36"/>
      <c r="I198" s="37"/>
      <c r="J198" s="37"/>
      <c r="K198" s="36"/>
      <c r="L198" s="47">
        <f>Source!U85</f>
        <v>87.219737499999979</v>
      </c>
    </row>
    <row r="199" spans="1:26" ht="28.5" x14ac:dyDescent="0.2">
      <c r="A199" s="51" t="str">
        <f>Source!E87</f>
        <v>17,1</v>
      </c>
      <c r="B199" s="52" t="str">
        <f>Source!F87</f>
        <v>04.3.02.09-0741</v>
      </c>
      <c r="C199" s="52" t="str">
        <f>Source!G87</f>
        <v>Смесь сухая (фуга) АТЛАС разных цветов для заделки швов водостойкая</v>
      </c>
      <c r="D199" s="35" t="str">
        <f>Source!H87</f>
        <v>т</v>
      </c>
      <c r="E199" s="13">
        <f>Source!I87</f>
        <v>2.375E-2</v>
      </c>
      <c r="F199" s="36">
        <f>Source!AL87+Source!AM87+Source!AO87</f>
        <v>9000</v>
      </c>
      <c r="G199" s="50" t="s">
        <v>6</v>
      </c>
      <c r="H199" s="36">
        <f>ROUND(Source!AC87*Source!I87, 2)+ROUND(Source!AD87*Source!I87, 2)+ROUND(Source!AF87*Source!I87, 2)</f>
        <v>213.75</v>
      </c>
      <c r="I199" s="37"/>
      <c r="J199" s="37">
        <f>IF(Source!BC87&lt;&gt; 0, Source!BC87, 1)</f>
        <v>6.11</v>
      </c>
      <c r="K199" s="36">
        <f>Source!O87</f>
        <v>1306.01</v>
      </c>
      <c r="L199" s="38"/>
      <c r="S199">
        <f>ROUND((Source!FX87/100)*((ROUND(Source!AF87*Source!I87, 2)+ROUND(Source!AE87*Source!I87, 2))), 2)</f>
        <v>0</v>
      </c>
      <c r="T199">
        <f>Source!X87</f>
        <v>0</v>
      </c>
      <c r="U199">
        <f>ROUND((Source!FY87/100)*((ROUND(Source!AF87*Source!I87, 2)+ROUND(Source!AE87*Source!I87, 2))), 2)</f>
        <v>0</v>
      </c>
      <c r="V199">
        <f>Source!Y87</f>
        <v>0</v>
      </c>
      <c r="W199">
        <f>IF(Source!BI87&lt;=1,H199, 0)</f>
        <v>213.75</v>
      </c>
      <c r="X199">
        <f>IF(Source!BI87=2,H199, 0)</f>
        <v>0</v>
      </c>
      <c r="Y199">
        <f>IF(Source!BI87=3,H199, 0)</f>
        <v>0</v>
      </c>
      <c r="Z199">
        <f>IF(Source!BI87=4,H199, 0)</f>
        <v>0</v>
      </c>
    </row>
    <row r="200" spans="1:26" ht="71.25" x14ac:dyDescent="0.2">
      <c r="A200" s="51" t="str">
        <f>Source!E89</f>
        <v>17,2</v>
      </c>
      <c r="B200" s="52" t="str">
        <f>Source!F89</f>
        <v>06.2.01.02-0030</v>
      </c>
      <c r="C200" s="52" t="str">
        <f>Source!G89</f>
        <v>Плитки керамические глазурованные для внутренней облицовки стен многоцветные, "Итало-дизайн" (коллекция "Палермо"-эконом класс), размер 300х200х7 мм</v>
      </c>
      <c r="D200" s="35" t="str">
        <f>Source!H89</f>
        <v>м2</v>
      </c>
      <c r="E200" s="13">
        <f>Source!I89</f>
        <v>47.5</v>
      </c>
      <c r="F200" s="36">
        <f>Source!AL89+Source!AM89+Source!AO89</f>
        <v>85.71</v>
      </c>
      <c r="G200" s="50" t="s">
        <v>6</v>
      </c>
      <c r="H200" s="36">
        <f>ROUND(Source!AC89*Source!I89, 2)+ROUND(Source!AD89*Source!I89, 2)+ROUND(Source!AF89*Source!I89, 2)</f>
        <v>4071.23</v>
      </c>
      <c r="I200" s="37"/>
      <c r="J200" s="37">
        <f>IF(Source!BC89&lt;&gt; 0, Source!BC89, 1)</f>
        <v>6.11</v>
      </c>
      <c r="K200" s="36">
        <f>Source!O89</f>
        <v>24875.18</v>
      </c>
      <c r="L200" s="38"/>
      <c r="S200">
        <f>ROUND((Source!FX89/100)*((ROUND(Source!AF89*Source!I89, 2)+ROUND(Source!AE89*Source!I89, 2))), 2)</f>
        <v>0</v>
      </c>
      <c r="T200">
        <f>Source!X89</f>
        <v>0</v>
      </c>
      <c r="U200">
        <f>ROUND((Source!FY89/100)*((ROUND(Source!AF89*Source!I89, 2)+ROUND(Source!AE89*Source!I89, 2))), 2)</f>
        <v>0</v>
      </c>
      <c r="V200">
        <f>Source!Y89</f>
        <v>0</v>
      </c>
      <c r="W200">
        <f>IF(Source!BI89&lt;=1,H200, 0)</f>
        <v>4071.23</v>
      </c>
      <c r="X200">
        <f>IF(Source!BI89=2,H200, 0)</f>
        <v>0</v>
      </c>
      <c r="Y200">
        <f>IF(Source!BI89=3,H200, 0)</f>
        <v>0</v>
      </c>
      <c r="Z200">
        <f>IF(Source!BI89=4,H200, 0)</f>
        <v>0</v>
      </c>
    </row>
    <row r="201" spans="1:26" ht="28.5" x14ac:dyDescent="0.2">
      <c r="A201" s="53" t="str">
        <f>Source!E91</f>
        <v>17,3</v>
      </c>
      <c r="B201" s="54" t="str">
        <f>Source!F91</f>
        <v>14.1.06.02-0002</v>
      </c>
      <c r="C201" s="54" t="str">
        <f>Source!G91</f>
        <v>Клей для плитки "Атлас Плюс" (сухая смесь)</v>
      </c>
      <c r="D201" s="41" t="str">
        <f>Source!H91</f>
        <v>т</v>
      </c>
      <c r="E201" s="42">
        <f>Source!I91</f>
        <v>0.17812500000000001</v>
      </c>
      <c r="F201" s="43">
        <f>Source!AL91+Source!AM91+Source!AO91</f>
        <v>2919.43</v>
      </c>
      <c r="G201" s="48" t="s">
        <v>6</v>
      </c>
      <c r="H201" s="43">
        <f>ROUND(Source!AC91*Source!I91, 2)+ROUND(Source!AD91*Source!I91, 2)+ROUND(Source!AF91*Source!I91, 2)</f>
        <v>520.02</v>
      </c>
      <c r="I201" s="44"/>
      <c r="J201" s="44">
        <f>IF(Source!BC91&lt;&gt; 0, Source!BC91, 1)</f>
        <v>6.11</v>
      </c>
      <c r="K201" s="43">
        <f>Source!O91</f>
        <v>3177.34</v>
      </c>
      <c r="L201" s="49"/>
      <c r="S201">
        <f>ROUND((Source!FX91/100)*((ROUND(Source!AF91*Source!I91, 2)+ROUND(Source!AE91*Source!I91, 2))), 2)</f>
        <v>0</v>
      </c>
      <c r="T201">
        <f>Source!X91</f>
        <v>0</v>
      </c>
      <c r="U201">
        <f>ROUND((Source!FY91/100)*((ROUND(Source!AF91*Source!I91, 2)+ROUND(Source!AE91*Source!I91, 2))), 2)</f>
        <v>0</v>
      </c>
      <c r="V201">
        <f>Source!Y91</f>
        <v>0</v>
      </c>
      <c r="W201">
        <f>IF(Source!BI91&lt;=1,H201, 0)</f>
        <v>520.02</v>
      </c>
      <c r="X201">
        <f>IF(Source!BI91=2,H201, 0)</f>
        <v>0</v>
      </c>
      <c r="Y201">
        <f>IF(Source!BI91=3,H201, 0)</f>
        <v>0</v>
      </c>
      <c r="Z201">
        <f>IF(Source!BI91=4,H201, 0)</f>
        <v>0</v>
      </c>
    </row>
    <row r="202" spans="1:26" ht="15" x14ac:dyDescent="0.25">
      <c r="G202" s="92">
        <f>H192+H193+H195+H196+H197+SUM(H199:H201)</f>
        <v>6771.7</v>
      </c>
      <c r="H202" s="92"/>
      <c r="J202" s="92">
        <f>K192+K193+K195+K196+K197+SUM(K199:K201)</f>
        <v>41412.25</v>
      </c>
      <c r="K202" s="92"/>
      <c r="L202" s="46">
        <f>Source!U85</f>
        <v>87.219737499999979</v>
      </c>
      <c r="O202" s="29">
        <f>G202</f>
        <v>6771.7</v>
      </c>
      <c r="P202" s="29">
        <f>J202</f>
        <v>41412.25</v>
      </c>
      <c r="Q202" s="29">
        <f>L202</f>
        <v>87.219737499999979</v>
      </c>
      <c r="W202">
        <f>IF(Source!BI85&lt;=1,H192+H193+H195+H196+H197, 0)</f>
        <v>1966.7</v>
      </c>
      <c r="X202">
        <f>IF(Source!BI85=2,H192+H193+H195+H196+H197, 0)</f>
        <v>0</v>
      </c>
      <c r="Y202">
        <f>IF(Source!BI85=3,H192+H193+H195+H196+H197, 0)</f>
        <v>0</v>
      </c>
      <c r="Z202">
        <f>IF(Source!BI85=4,H192+H193+H195+H196+H197, 0)</f>
        <v>0</v>
      </c>
    </row>
    <row r="203" spans="1:26" ht="57" x14ac:dyDescent="0.2">
      <c r="A203" s="51" t="str">
        <f>Source!E93</f>
        <v>18</v>
      </c>
      <c r="B203" s="52" t="str">
        <f>Source!F93</f>
        <v>61-2-3</v>
      </c>
      <c r="C203" s="52" t="str">
        <f>Source!G93</f>
        <v>Ремонт штукатурки внутренних стен по камню известковым раствором площадью отдельных мест до 10 м2 толщиной слоя до 20 мм</v>
      </c>
      <c r="D203" s="35" t="str">
        <f>Source!H93</f>
        <v>100 м2</v>
      </c>
      <c r="E203" s="13">
        <f>Source!I93</f>
        <v>0.14599999999999999</v>
      </c>
      <c r="F203" s="36">
        <f>Source!AL93+Source!AM93+Source!AO93</f>
        <v>2438.8500000000004</v>
      </c>
      <c r="G203" s="37"/>
      <c r="H203" s="36"/>
      <c r="I203" s="37" t="str">
        <f>Source!BO93</f>
        <v/>
      </c>
      <c r="J203" s="37"/>
      <c r="K203" s="36"/>
      <c r="L203" s="38"/>
      <c r="S203">
        <f>ROUND((Source!FX93/100)*((ROUND(Source!AF93*Source!I93, 2)+ROUND(Source!AE93*Source!I93, 2))), 2)</f>
        <v>150.31</v>
      </c>
      <c r="T203">
        <f>Source!X93</f>
        <v>918.42</v>
      </c>
      <c r="U203">
        <f>ROUND((Source!FY93/100)*((ROUND(Source!AF93*Source!I93, 2)+ROUND(Source!AE93*Source!I93, 2))), 2)</f>
        <v>95.14</v>
      </c>
      <c r="V203">
        <f>Source!Y93</f>
        <v>581.28</v>
      </c>
    </row>
    <row r="204" spans="1:26" x14ac:dyDescent="0.2">
      <c r="C204" s="28" t="str">
        <f>"Объем: "&amp;Source!I93&amp;"=14,6/"&amp;"100"</f>
        <v>Объем: 0,146=14,6/100</v>
      </c>
    </row>
    <row r="205" spans="1:26" ht="14.25" x14ac:dyDescent="0.2">
      <c r="A205" s="51"/>
      <c r="B205" s="52"/>
      <c r="C205" s="52" t="s">
        <v>850</v>
      </c>
      <c r="D205" s="35"/>
      <c r="E205" s="13"/>
      <c r="F205" s="36">
        <f>Source!AO93</f>
        <v>1294.18</v>
      </c>
      <c r="G205" s="37" t="str">
        <f>Source!DG93</f>
        <v/>
      </c>
      <c r="H205" s="36">
        <f>ROUND(Source!AF93*Source!I93, 2)</f>
        <v>188.95</v>
      </c>
      <c r="I205" s="37"/>
      <c r="J205" s="37">
        <f>IF(Source!BA93&lt;&gt; 0, Source!BA93, 1)</f>
        <v>6.11</v>
      </c>
      <c r="K205" s="36">
        <f>Source!S93</f>
        <v>1154.49</v>
      </c>
      <c r="L205" s="38"/>
      <c r="R205">
        <f>H205</f>
        <v>188.95</v>
      </c>
    </row>
    <row r="206" spans="1:26" ht="14.25" x14ac:dyDescent="0.2">
      <c r="A206" s="51"/>
      <c r="B206" s="52"/>
      <c r="C206" s="52" t="s">
        <v>392</v>
      </c>
      <c r="D206" s="35"/>
      <c r="E206" s="13"/>
      <c r="F206" s="36">
        <f>Source!AM93</f>
        <v>20.94</v>
      </c>
      <c r="G206" s="37" t="str">
        <f>Source!DE93</f>
        <v/>
      </c>
      <c r="H206" s="36">
        <f>ROUND(Source!AD93*Source!I93, 2)</f>
        <v>3.06</v>
      </c>
      <c r="I206" s="37"/>
      <c r="J206" s="37">
        <f>IF(Source!BB93&lt;&gt; 0, Source!BB93, 1)</f>
        <v>6.11</v>
      </c>
      <c r="K206" s="36">
        <f>Source!Q93</f>
        <v>18.68</v>
      </c>
      <c r="L206" s="38"/>
    </row>
    <row r="207" spans="1:26" ht="14.25" x14ac:dyDescent="0.2">
      <c r="A207" s="51"/>
      <c r="B207" s="52"/>
      <c r="C207" s="52" t="s">
        <v>851</v>
      </c>
      <c r="D207" s="35"/>
      <c r="E207" s="13"/>
      <c r="F207" s="36">
        <f>Source!AN93</f>
        <v>9.0500000000000007</v>
      </c>
      <c r="G207" s="37" t="str">
        <f>Source!DF93</f>
        <v/>
      </c>
      <c r="H207" s="39">
        <f>ROUND(Source!AE93*Source!I93, 2)</f>
        <v>1.32</v>
      </c>
      <c r="I207" s="37"/>
      <c r="J207" s="37">
        <f>IF(Source!BS93&lt;&gt; 0, Source!BS93, 1)</f>
        <v>6.11</v>
      </c>
      <c r="K207" s="39">
        <f>Source!R93</f>
        <v>8.07</v>
      </c>
      <c r="L207" s="38"/>
      <c r="R207">
        <f>H207</f>
        <v>1.32</v>
      </c>
    </row>
    <row r="208" spans="1:26" ht="14.25" x14ac:dyDescent="0.2">
      <c r="A208" s="51"/>
      <c r="B208" s="52"/>
      <c r="C208" s="52" t="s">
        <v>857</v>
      </c>
      <c r="D208" s="35"/>
      <c r="E208" s="13"/>
      <c r="F208" s="36">
        <f>Source!AL93</f>
        <v>1123.73</v>
      </c>
      <c r="G208" s="37" t="str">
        <f>Source!DD93</f>
        <v/>
      </c>
      <c r="H208" s="36">
        <f>ROUND(Source!AC93*Source!I93, 2)</f>
        <v>164.06</v>
      </c>
      <c r="I208" s="37"/>
      <c r="J208" s="37">
        <f>IF(Source!BC93&lt;&gt; 0, Source!BC93, 1)</f>
        <v>6.11</v>
      </c>
      <c r="K208" s="36">
        <f>Source!P93</f>
        <v>1002.43</v>
      </c>
      <c r="L208" s="38"/>
    </row>
    <row r="209" spans="1:26" ht="14.25" x14ac:dyDescent="0.2">
      <c r="A209" s="51"/>
      <c r="B209" s="52"/>
      <c r="C209" s="52" t="s">
        <v>852</v>
      </c>
      <c r="D209" s="35" t="s">
        <v>853</v>
      </c>
      <c r="E209" s="13">
        <f>Source!BZ93</f>
        <v>79</v>
      </c>
      <c r="F209" s="55"/>
      <c r="G209" s="37"/>
      <c r="H209" s="36">
        <f>SUM(S203:S211)</f>
        <v>150.31</v>
      </c>
      <c r="I209" s="40"/>
      <c r="J209" s="33">
        <f>Source!AT93</f>
        <v>79</v>
      </c>
      <c r="K209" s="36">
        <f>SUM(T203:T211)</f>
        <v>918.42</v>
      </c>
      <c r="L209" s="38"/>
    </row>
    <row r="210" spans="1:26" ht="14.25" x14ac:dyDescent="0.2">
      <c r="A210" s="51"/>
      <c r="B210" s="52"/>
      <c r="C210" s="52" t="s">
        <v>854</v>
      </c>
      <c r="D210" s="35" t="s">
        <v>853</v>
      </c>
      <c r="E210" s="13">
        <f>Source!CA93</f>
        <v>50</v>
      </c>
      <c r="F210" s="55"/>
      <c r="G210" s="37"/>
      <c r="H210" s="36">
        <f>SUM(U203:U211)</f>
        <v>95.14</v>
      </c>
      <c r="I210" s="40"/>
      <c r="J210" s="33">
        <f>Source!AU93</f>
        <v>50</v>
      </c>
      <c r="K210" s="36">
        <f>SUM(V203:V211)</f>
        <v>581.28</v>
      </c>
      <c r="L210" s="38"/>
    </row>
    <row r="211" spans="1:26" ht="14.25" x14ac:dyDescent="0.2">
      <c r="A211" s="53"/>
      <c r="B211" s="54"/>
      <c r="C211" s="54" t="s">
        <v>855</v>
      </c>
      <c r="D211" s="41" t="s">
        <v>856</v>
      </c>
      <c r="E211" s="42">
        <f>Source!AQ93</f>
        <v>146.07</v>
      </c>
      <c r="F211" s="43"/>
      <c r="G211" s="44" t="str">
        <f>Source!DI93</f>
        <v/>
      </c>
      <c r="H211" s="43"/>
      <c r="I211" s="44"/>
      <c r="J211" s="44"/>
      <c r="K211" s="43"/>
      <c r="L211" s="45">
        <f>Source!U93</f>
        <v>21.326219999999999</v>
      </c>
    </row>
    <row r="212" spans="1:26" ht="15" x14ac:dyDescent="0.25">
      <c r="G212" s="92">
        <f>H205+H206+H208+H209+H210</f>
        <v>601.52</v>
      </c>
      <c r="H212" s="92"/>
      <c r="J212" s="92">
        <f>K205+K206+K208+K209+K210</f>
        <v>3675.3</v>
      </c>
      <c r="K212" s="92"/>
      <c r="L212" s="46">
        <f>Source!U93</f>
        <v>21.326219999999999</v>
      </c>
      <c r="O212" s="29">
        <f>G212</f>
        <v>601.52</v>
      </c>
      <c r="P212" s="29">
        <f>J212</f>
        <v>3675.3</v>
      </c>
      <c r="Q212" s="29">
        <f>L212</f>
        <v>21.326219999999999</v>
      </c>
      <c r="W212">
        <f>IF(Source!BI93&lt;=1,H205+H206+H208+H209+H210, 0)</f>
        <v>601.52</v>
      </c>
      <c r="X212">
        <f>IF(Source!BI93=2,H205+H206+H208+H209+H210, 0)</f>
        <v>0</v>
      </c>
      <c r="Y212">
        <f>IF(Source!BI93=3,H205+H206+H208+H209+H210, 0)</f>
        <v>0</v>
      </c>
      <c r="Z212">
        <f>IF(Source!BI93=4,H205+H206+H208+H209+H210, 0)</f>
        <v>0</v>
      </c>
    </row>
    <row r="213" spans="1:26" ht="71.25" x14ac:dyDescent="0.2">
      <c r="A213" s="51" t="str">
        <f>Source!E95</f>
        <v>19</v>
      </c>
      <c r="B213" s="52" t="str">
        <f>Source!F95</f>
        <v>62-16-4</v>
      </c>
      <c r="C213" s="52" t="str">
        <f>Source!G95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D213" s="35" t="str">
        <f>Source!H95</f>
        <v>100 м2</v>
      </c>
      <c r="E213" s="13">
        <f>Source!I95</f>
        <v>0.48299999999999998</v>
      </c>
      <c r="F213" s="36">
        <f>Source!AL95+Source!AM95+Source!AO95</f>
        <v>759.03</v>
      </c>
      <c r="G213" s="37"/>
      <c r="H213" s="36"/>
      <c r="I213" s="37" t="str">
        <f>Source!BO95</f>
        <v/>
      </c>
      <c r="J213" s="37"/>
      <c r="K213" s="36"/>
      <c r="L213" s="38"/>
      <c r="S213">
        <f>ROUND((Source!FX95/100)*((ROUND(Source!AF95*Source!I95, 2)+ROUND(Source!AE95*Source!I95, 2))), 2)</f>
        <v>99.61</v>
      </c>
      <c r="T213">
        <f>Source!X95</f>
        <v>608.62</v>
      </c>
      <c r="U213">
        <f>ROUND((Source!FY95/100)*((ROUND(Source!AF95*Source!I95, 2)+ROUND(Source!AE95*Source!I95, 2))), 2)</f>
        <v>62.26</v>
      </c>
      <c r="V213">
        <f>Source!Y95</f>
        <v>380.39</v>
      </c>
    </row>
    <row r="214" spans="1:26" x14ac:dyDescent="0.2">
      <c r="C214" s="28" t="str">
        <f>"Объем: "&amp;Source!I95&amp;"=48,3/"&amp;"100"</f>
        <v>Объем: 0,483=48,3/100</v>
      </c>
    </row>
    <row r="215" spans="1:26" ht="14.25" x14ac:dyDescent="0.2">
      <c r="A215" s="51"/>
      <c r="B215" s="52"/>
      <c r="C215" s="52" t="s">
        <v>850</v>
      </c>
      <c r="D215" s="35"/>
      <c r="E215" s="13"/>
      <c r="F215" s="36">
        <f>Source!AO95</f>
        <v>255.74</v>
      </c>
      <c r="G215" s="37" t="str">
        <f>Source!DG95</f>
        <v/>
      </c>
      <c r="H215" s="36">
        <f>ROUND(Source!AF95*Source!I95, 2)</f>
        <v>123.52</v>
      </c>
      <c r="I215" s="37"/>
      <c r="J215" s="37">
        <f>IF(Source!BA95&lt;&gt; 0, Source!BA95, 1)</f>
        <v>6.11</v>
      </c>
      <c r="K215" s="36">
        <f>Source!S95</f>
        <v>754.72</v>
      </c>
      <c r="L215" s="38"/>
      <c r="R215">
        <f>H215</f>
        <v>123.52</v>
      </c>
    </row>
    <row r="216" spans="1:26" ht="14.25" x14ac:dyDescent="0.2">
      <c r="A216" s="51"/>
      <c r="B216" s="52"/>
      <c r="C216" s="52" t="s">
        <v>392</v>
      </c>
      <c r="D216" s="35"/>
      <c r="E216" s="13"/>
      <c r="F216" s="36">
        <f>Source!AM95</f>
        <v>7.07</v>
      </c>
      <c r="G216" s="37" t="str">
        <f>Source!DE95</f>
        <v/>
      </c>
      <c r="H216" s="36">
        <f>ROUND(Source!AD95*Source!I95, 2)</f>
        <v>3.41</v>
      </c>
      <c r="I216" s="37"/>
      <c r="J216" s="37">
        <f>IF(Source!BB95&lt;&gt; 0, Source!BB95, 1)</f>
        <v>6.11</v>
      </c>
      <c r="K216" s="36">
        <f>Source!Q95</f>
        <v>20.86</v>
      </c>
      <c r="L216" s="38"/>
    </row>
    <row r="217" spans="1:26" ht="14.25" x14ac:dyDescent="0.2">
      <c r="A217" s="51"/>
      <c r="B217" s="52"/>
      <c r="C217" s="52" t="s">
        <v>851</v>
      </c>
      <c r="D217" s="35"/>
      <c r="E217" s="13"/>
      <c r="F217" s="36">
        <f>Source!AN95</f>
        <v>2.0499999999999998</v>
      </c>
      <c r="G217" s="37" t="str">
        <f>Source!DF95</f>
        <v/>
      </c>
      <c r="H217" s="39">
        <f>ROUND(Source!AE95*Source!I95, 2)</f>
        <v>0.99</v>
      </c>
      <c r="I217" s="37"/>
      <c r="J217" s="37">
        <f>IF(Source!BS95&lt;&gt; 0, Source!BS95, 1)</f>
        <v>6.11</v>
      </c>
      <c r="K217" s="39">
        <f>Source!R95</f>
        <v>6.05</v>
      </c>
      <c r="L217" s="38"/>
      <c r="R217">
        <f>H217</f>
        <v>0.99</v>
      </c>
    </row>
    <row r="218" spans="1:26" ht="14.25" x14ac:dyDescent="0.2">
      <c r="A218" s="51"/>
      <c r="B218" s="52"/>
      <c r="C218" s="52" t="s">
        <v>857</v>
      </c>
      <c r="D218" s="35"/>
      <c r="E218" s="13"/>
      <c r="F218" s="36">
        <f>Source!AL95</f>
        <v>496.22</v>
      </c>
      <c r="G218" s="37" t="str">
        <f>Source!DD95</f>
        <v/>
      </c>
      <c r="H218" s="36">
        <f>ROUND(Source!AC95*Source!I95, 2)</f>
        <v>239.67</v>
      </c>
      <c r="I218" s="37"/>
      <c r="J218" s="37">
        <f>IF(Source!BC95&lt;&gt; 0, Source!BC95, 1)</f>
        <v>6.11</v>
      </c>
      <c r="K218" s="36">
        <f>Source!P95</f>
        <v>1464.41</v>
      </c>
      <c r="L218" s="38"/>
    </row>
    <row r="219" spans="1:26" ht="14.25" x14ac:dyDescent="0.2">
      <c r="A219" s="51"/>
      <c r="B219" s="52"/>
      <c r="C219" s="52" t="s">
        <v>852</v>
      </c>
      <c r="D219" s="35" t="s">
        <v>853</v>
      </c>
      <c r="E219" s="13">
        <f>Source!BZ95</f>
        <v>80</v>
      </c>
      <c r="F219" s="55"/>
      <c r="G219" s="37"/>
      <c r="H219" s="36">
        <f>SUM(S213:S222)</f>
        <v>99.61</v>
      </c>
      <c r="I219" s="40"/>
      <c r="J219" s="33">
        <f>Source!AT95</f>
        <v>80</v>
      </c>
      <c r="K219" s="36">
        <f>SUM(T213:T222)</f>
        <v>608.62</v>
      </c>
      <c r="L219" s="38"/>
    </row>
    <row r="220" spans="1:26" ht="14.25" x14ac:dyDescent="0.2">
      <c r="A220" s="51"/>
      <c r="B220" s="52"/>
      <c r="C220" s="52" t="s">
        <v>854</v>
      </c>
      <c r="D220" s="35" t="s">
        <v>853</v>
      </c>
      <c r="E220" s="13">
        <f>Source!CA95</f>
        <v>50</v>
      </c>
      <c r="F220" s="55"/>
      <c r="G220" s="37"/>
      <c r="H220" s="36">
        <f>SUM(U213:U222)</f>
        <v>62.26</v>
      </c>
      <c r="I220" s="40"/>
      <c r="J220" s="33">
        <f>Source!AU95</f>
        <v>50</v>
      </c>
      <c r="K220" s="36">
        <f>SUM(V213:V222)</f>
        <v>380.39</v>
      </c>
      <c r="L220" s="38"/>
    </row>
    <row r="221" spans="1:26" ht="14.25" x14ac:dyDescent="0.2">
      <c r="A221" s="51"/>
      <c r="B221" s="52"/>
      <c r="C221" s="52" t="s">
        <v>855</v>
      </c>
      <c r="D221" s="35" t="s">
        <v>856</v>
      </c>
      <c r="E221" s="13">
        <f>Source!AQ95</f>
        <v>29.6</v>
      </c>
      <c r="F221" s="36"/>
      <c r="G221" s="37" t="str">
        <f>Source!DI95</f>
        <v/>
      </c>
      <c r="H221" s="36"/>
      <c r="I221" s="37"/>
      <c r="J221" s="37"/>
      <c r="K221" s="36"/>
      <c r="L221" s="47">
        <f>Source!U95</f>
        <v>14.296800000000001</v>
      </c>
    </row>
    <row r="222" spans="1:26" ht="28.5" x14ac:dyDescent="0.2">
      <c r="A222" s="53" t="str">
        <f>Source!E97</f>
        <v>19,1</v>
      </c>
      <c r="B222" s="54" t="str">
        <f>Source!F97</f>
        <v>14.3.02.01-0015</v>
      </c>
      <c r="C222" s="54" t="str">
        <f>Source!G97</f>
        <v>Краска акриловая  водно-дисперсионная ВД ОРЕОЛ</v>
      </c>
      <c r="D222" s="41" t="str">
        <f>Source!H97</f>
        <v>т</v>
      </c>
      <c r="E222" s="42">
        <f>Source!I97</f>
        <v>3.4292999999999997E-2</v>
      </c>
      <c r="F222" s="43">
        <f>Source!AL97+Source!AM97+Source!AO97</f>
        <v>13287.69</v>
      </c>
      <c r="G222" s="48" t="s">
        <v>6</v>
      </c>
      <c r="H222" s="43">
        <f>ROUND(Source!AC97*Source!I97, 2)+ROUND(Source!AD97*Source!I97, 2)+ROUND(Source!AF97*Source!I97, 2)</f>
        <v>455.67</v>
      </c>
      <c r="I222" s="44"/>
      <c r="J222" s="44">
        <f>IF(Source!BC97&lt;&gt; 0, Source!BC97, 1)</f>
        <v>6.11</v>
      </c>
      <c r="K222" s="43">
        <f>Source!O97</f>
        <v>2784.17</v>
      </c>
      <c r="L222" s="49"/>
      <c r="S222">
        <f>ROUND((Source!FX97/100)*((ROUND(Source!AF97*Source!I97, 2)+ROUND(Source!AE97*Source!I97, 2))), 2)</f>
        <v>0</v>
      </c>
      <c r="T222">
        <f>Source!X97</f>
        <v>0</v>
      </c>
      <c r="U222">
        <f>ROUND((Source!FY97/100)*((ROUND(Source!AF97*Source!I97, 2)+ROUND(Source!AE97*Source!I97, 2))), 2)</f>
        <v>0</v>
      </c>
      <c r="V222">
        <f>Source!Y97</f>
        <v>0</v>
      </c>
      <c r="W222">
        <f>IF(Source!BI97&lt;=1,H222, 0)</f>
        <v>455.67</v>
      </c>
      <c r="X222">
        <f>IF(Source!BI97=2,H222, 0)</f>
        <v>0</v>
      </c>
      <c r="Y222">
        <f>IF(Source!BI97=3,H222, 0)</f>
        <v>0</v>
      </c>
      <c r="Z222">
        <f>IF(Source!BI97=4,H222, 0)</f>
        <v>0</v>
      </c>
    </row>
    <row r="223" spans="1:26" ht="15" x14ac:dyDescent="0.25">
      <c r="G223" s="92">
        <f>H215+H216+H218+H219+H220+SUM(H222:H222)</f>
        <v>984.1400000000001</v>
      </c>
      <c r="H223" s="92"/>
      <c r="J223" s="92">
        <f>K215+K216+K218+K219+K220+SUM(K222:K222)</f>
        <v>6013.17</v>
      </c>
      <c r="K223" s="92"/>
      <c r="L223" s="46">
        <f>Source!U95</f>
        <v>14.296800000000001</v>
      </c>
      <c r="O223" s="29">
        <f>G223</f>
        <v>984.1400000000001</v>
      </c>
      <c r="P223" s="29">
        <f>J223</f>
        <v>6013.17</v>
      </c>
      <c r="Q223" s="29">
        <f>L223</f>
        <v>14.296800000000001</v>
      </c>
      <c r="W223">
        <f>IF(Source!BI95&lt;=1,H215+H216+H218+H219+H220, 0)</f>
        <v>528.47</v>
      </c>
      <c r="X223">
        <f>IF(Source!BI95=2,H215+H216+H218+H219+H220, 0)</f>
        <v>0</v>
      </c>
      <c r="Y223">
        <f>IF(Source!BI95=3,H215+H216+H218+H219+H220, 0)</f>
        <v>0</v>
      </c>
      <c r="Z223">
        <f>IF(Source!BI95=4,H215+H216+H218+H219+H220, 0)</f>
        <v>0</v>
      </c>
    </row>
    <row r="224" spans="1:26" ht="42.75" x14ac:dyDescent="0.2">
      <c r="A224" s="51" t="str">
        <f>Source!E99</f>
        <v>20</v>
      </c>
      <c r="B224" s="52" t="str">
        <f>Source!F99</f>
        <v>62-33-2</v>
      </c>
      <c r="C224" s="52" t="str">
        <f>Source!G99</f>
        <v>Окраска масляными составами ранее окрашенных поверхностей радиаторов и ребристых труб отопления за 2 раза</v>
      </c>
      <c r="D224" s="35" t="str">
        <f>Source!H99</f>
        <v>100 м2</v>
      </c>
      <c r="E224" s="13">
        <f>Source!I99</f>
        <v>3.1E-2</v>
      </c>
      <c r="F224" s="36">
        <f>Source!AL99+Source!AM99+Source!AO99</f>
        <v>729.71</v>
      </c>
      <c r="G224" s="37"/>
      <c r="H224" s="36"/>
      <c r="I224" s="37" t="str">
        <f>Source!BO99</f>
        <v/>
      </c>
      <c r="J224" s="37"/>
      <c r="K224" s="36"/>
      <c r="L224" s="38"/>
      <c r="S224">
        <f>ROUND((Source!FX99/100)*((ROUND(Source!AF99*Source!I99, 2)+ROUND(Source!AE99*Source!I99, 2))), 2)</f>
        <v>14.3</v>
      </c>
      <c r="T224">
        <f>Source!X99</f>
        <v>87.34</v>
      </c>
      <c r="U224">
        <f>ROUND((Source!FY99/100)*((ROUND(Source!AF99*Source!I99, 2)+ROUND(Source!AE99*Source!I99, 2))), 2)</f>
        <v>8.94</v>
      </c>
      <c r="V224">
        <f>Source!Y99</f>
        <v>54.59</v>
      </c>
    </row>
    <row r="225" spans="1:26" x14ac:dyDescent="0.2">
      <c r="C225" s="28" t="str">
        <f>"Объем: "&amp;Source!I99&amp;"=3,1/"&amp;"100"</f>
        <v>Объем: 0,031=3,1/100</v>
      </c>
    </row>
    <row r="226" spans="1:26" ht="14.25" x14ac:dyDescent="0.2">
      <c r="A226" s="51"/>
      <c r="B226" s="52"/>
      <c r="C226" s="52" t="s">
        <v>850</v>
      </c>
      <c r="D226" s="35"/>
      <c r="E226" s="13"/>
      <c r="F226" s="36">
        <f>Source!AO99</f>
        <v>576.32000000000005</v>
      </c>
      <c r="G226" s="37" t="str">
        <f>Source!DG99</f>
        <v/>
      </c>
      <c r="H226" s="36">
        <f>ROUND(Source!AF99*Source!I99, 2)</f>
        <v>17.87</v>
      </c>
      <c r="I226" s="37"/>
      <c r="J226" s="37">
        <f>IF(Source!BA99&lt;&gt; 0, Source!BA99, 1)</f>
        <v>6.11</v>
      </c>
      <c r="K226" s="36">
        <f>Source!S99</f>
        <v>109.16</v>
      </c>
      <c r="L226" s="38"/>
      <c r="R226">
        <f>H226</f>
        <v>17.87</v>
      </c>
    </row>
    <row r="227" spans="1:26" ht="14.25" x14ac:dyDescent="0.2">
      <c r="A227" s="51"/>
      <c r="B227" s="52"/>
      <c r="C227" s="52" t="s">
        <v>392</v>
      </c>
      <c r="D227" s="35"/>
      <c r="E227" s="13"/>
      <c r="F227" s="36">
        <f>Source!AM99</f>
        <v>0.66</v>
      </c>
      <c r="G227" s="37" t="str">
        <f>Source!DE99</f>
        <v/>
      </c>
      <c r="H227" s="36">
        <f>ROUND(Source!AD99*Source!I99, 2)</f>
        <v>0.02</v>
      </c>
      <c r="I227" s="37"/>
      <c r="J227" s="37">
        <f>IF(Source!BB99&lt;&gt; 0, Source!BB99, 1)</f>
        <v>6.11</v>
      </c>
      <c r="K227" s="36">
        <f>Source!Q99</f>
        <v>0.13</v>
      </c>
      <c r="L227" s="38"/>
    </row>
    <row r="228" spans="1:26" ht="14.25" x14ac:dyDescent="0.2">
      <c r="A228" s="51"/>
      <c r="B228" s="52"/>
      <c r="C228" s="52" t="s">
        <v>851</v>
      </c>
      <c r="D228" s="35"/>
      <c r="E228" s="13"/>
      <c r="F228" s="36">
        <f>Source!AN99</f>
        <v>0.12</v>
      </c>
      <c r="G228" s="37" t="str">
        <f>Source!DF99</f>
        <v/>
      </c>
      <c r="H228" s="39">
        <f>ROUND(Source!AE99*Source!I99, 2)</f>
        <v>0</v>
      </c>
      <c r="I228" s="37"/>
      <c r="J228" s="37">
        <f>IF(Source!BS99&lt;&gt; 0, Source!BS99, 1)</f>
        <v>6.11</v>
      </c>
      <c r="K228" s="39">
        <f>Source!R99</f>
        <v>0.02</v>
      </c>
      <c r="L228" s="38"/>
      <c r="R228">
        <f>H228</f>
        <v>0</v>
      </c>
    </row>
    <row r="229" spans="1:26" ht="14.25" x14ac:dyDescent="0.2">
      <c r="A229" s="51"/>
      <c r="B229" s="52"/>
      <c r="C229" s="52" t="s">
        <v>857</v>
      </c>
      <c r="D229" s="35"/>
      <c r="E229" s="13"/>
      <c r="F229" s="36">
        <f>Source!AL99</f>
        <v>152.72999999999999</v>
      </c>
      <c r="G229" s="37" t="str">
        <f>Source!DD99</f>
        <v/>
      </c>
      <c r="H229" s="36">
        <f>ROUND(Source!AC99*Source!I99, 2)</f>
        <v>4.7300000000000004</v>
      </c>
      <c r="I229" s="37"/>
      <c r="J229" s="37">
        <f>IF(Source!BC99&lt;&gt; 0, Source!BC99, 1)</f>
        <v>6.11</v>
      </c>
      <c r="K229" s="36">
        <f>Source!P99</f>
        <v>28.93</v>
      </c>
      <c r="L229" s="38"/>
    </row>
    <row r="230" spans="1:26" ht="14.25" x14ac:dyDescent="0.2">
      <c r="A230" s="51"/>
      <c r="B230" s="52"/>
      <c r="C230" s="52" t="s">
        <v>852</v>
      </c>
      <c r="D230" s="35" t="s">
        <v>853</v>
      </c>
      <c r="E230" s="13">
        <f>Source!BZ99</f>
        <v>80</v>
      </c>
      <c r="F230" s="55"/>
      <c r="G230" s="37"/>
      <c r="H230" s="36">
        <f>SUM(S224:S233)</f>
        <v>14.3</v>
      </c>
      <c r="I230" s="40"/>
      <c r="J230" s="33">
        <f>Source!AT99</f>
        <v>80</v>
      </c>
      <c r="K230" s="36">
        <f>SUM(T224:T233)</f>
        <v>87.34</v>
      </c>
      <c r="L230" s="38"/>
    </row>
    <row r="231" spans="1:26" ht="14.25" x14ac:dyDescent="0.2">
      <c r="A231" s="51"/>
      <c r="B231" s="52"/>
      <c r="C231" s="52" t="s">
        <v>854</v>
      </c>
      <c r="D231" s="35" t="s">
        <v>853</v>
      </c>
      <c r="E231" s="13">
        <f>Source!CA99</f>
        <v>50</v>
      </c>
      <c r="F231" s="55"/>
      <c r="G231" s="37"/>
      <c r="H231" s="36">
        <f>SUM(U224:U233)</f>
        <v>8.94</v>
      </c>
      <c r="I231" s="40"/>
      <c r="J231" s="33">
        <f>Source!AU99</f>
        <v>50</v>
      </c>
      <c r="K231" s="36">
        <f>SUM(V224:V233)</f>
        <v>54.59</v>
      </c>
      <c r="L231" s="38"/>
    </row>
    <row r="232" spans="1:26" ht="14.25" x14ac:dyDescent="0.2">
      <c r="A232" s="51"/>
      <c r="B232" s="52"/>
      <c r="C232" s="52" t="s">
        <v>855</v>
      </c>
      <c r="D232" s="35" t="s">
        <v>856</v>
      </c>
      <c r="E232" s="13">
        <f>Source!AQ99</f>
        <v>65.94</v>
      </c>
      <c r="F232" s="36"/>
      <c r="G232" s="37" t="str">
        <f>Source!DI99</f>
        <v/>
      </c>
      <c r="H232" s="36"/>
      <c r="I232" s="37"/>
      <c r="J232" s="37"/>
      <c r="K232" s="36"/>
      <c r="L232" s="47">
        <f>Source!U99</f>
        <v>2.0441400000000001</v>
      </c>
    </row>
    <row r="233" spans="1:26" ht="28.5" x14ac:dyDescent="0.2">
      <c r="A233" s="53" t="str">
        <f>Source!E101</f>
        <v>20,1</v>
      </c>
      <c r="B233" s="54" t="str">
        <f>Source!F101</f>
        <v>14.4.02.04-0152</v>
      </c>
      <c r="C233" s="54" t="str">
        <f>Source!G101</f>
        <v>Краски масляные и алкидные белила густотертые литопонные МА-025</v>
      </c>
      <c r="D233" s="41" t="str">
        <f>Source!H101</f>
        <v>т</v>
      </c>
      <c r="E233" s="42">
        <f>Source!I101</f>
        <v>4.9899999999999999E-4</v>
      </c>
      <c r="F233" s="43">
        <f>Source!AL101+Source!AM101+Source!AO101</f>
        <v>21058.67</v>
      </c>
      <c r="G233" s="48" t="s">
        <v>6</v>
      </c>
      <c r="H233" s="43">
        <f>ROUND(Source!AC101*Source!I101, 2)+ROUND(Source!AD101*Source!I101, 2)+ROUND(Source!AF101*Source!I101, 2)</f>
        <v>10.51</v>
      </c>
      <c r="I233" s="44"/>
      <c r="J233" s="44">
        <f>IF(Source!BC101&lt;&gt; 0, Source!BC101, 1)</f>
        <v>6.11</v>
      </c>
      <c r="K233" s="43">
        <f>Source!O101</f>
        <v>64.209999999999994</v>
      </c>
      <c r="L233" s="49"/>
      <c r="S233">
        <f>ROUND((Source!FX101/100)*((ROUND(Source!AF101*Source!I101, 2)+ROUND(Source!AE101*Source!I101, 2))), 2)</f>
        <v>0</v>
      </c>
      <c r="T233">
        <f>Source!X101</f>
        <v>0</v>
      </c>
      <c r="U233">
        <f>ROUND((Source!FY101/100)*((ROUND(Source!AF101*Source!I101, 2)+ROUND(Source!AE101*Source!I101, 2))), 2)</f>
        <v>0</v>
      </c>
      <c r="V233">
        <f>Source!Y101</f>
        <v>0</v>
      </c>
      <c r="W233">
        <f>IF(Source!BI101&lt;=1,H233, 0)</f>
        <v>10.51</v>
      </c>
      <c r="X233">
        <f>IF(Source!BI101=2,H233, 0)</f>
        <v>0</v>
      </c>
      <c r="Y233">
        <f>IF(Source!BI101=3,H233, 0)</f>
        <v>0</v>
      </c>
      <c r="Z233">
        <f>IF(Source!BI101=4,H233, 0)</f>
        <v>0</v>
      </c>
    </row>
    <row r="234" spans="1:26" ht="15" x14ac:dyDescent="0.25">
      <c r="G234" s="92">
        <f>H226+H227+H229+H230+H231+SUM(H233:H233)</f>
        <v>56.37</v>
      </c>
      <c r="H234" s="92"/>
      <c r="J234" s="92">
        <f>K226+K227+K229+K230+K231+SUM(K233:K233)</f>
        <v>344.35999999999996</v>
      </c>
      <c r="K234" s="92"/>
      <c r="L234" s="46">
        <f>Source!U99</f>
        <v>2.0441400000000001</v>
      </c>
      <c r="O234" s="29">
        <f>G234</f>
        <v>56.37</v>
      </c>
      <c r="P234" s="29">
        <f>J234</f>
        <v>344.35999999999996</v>
      </c>
      <c r="Q234" s="29">
        <f>L234</f>
        <v>2.0441400000000001</v>
      </c>
      <c r="W234">
        <f>IF(Source!BI99&lt;=1,H226+H227+H229+H230+H231, 0)</f>
        <v>45.86</v>
      </c>
      <c r="X234">
        <f>IF(Source!BI99=2,H226+H227+H229+H230+H231, 0)</f>
        <v>0</v>
      </c>
      <c r="Y234">
        <f>IF(Source!BI99=3,H226+H227+H229+H230+H231, 0)</f>
        <v>0</v>
      </c>
      <c r="Z234">
        <f>IF(Source!BI99=4,H226+H227+H229+H230+H231, 0)</f>
        <v>0</v>
      </c>
    </row>
    <row r="235" spans="1:26" ht="57" x14ac:dyDescent="0.2">
      <c r="A235" s="51" t="str">
        <f>Source!E103</f>
        <v>21</v>
      </c>
      <c r="B235" s="52" t="str">
        <f>Source!F103</f>
        <v>10-04-014-01</v>
      </c>
      <c r="C235" s="52" t="str">
        <f>Source!G103</f>
        <v>Демонтаж:Устройство сантехнических перегородок (стандартные туалетные кабины) на каркасе из алюминиевого профиля</v>
      </c>
      <c r="D235" s="35" t="str">
        <f>Source!H103</f>
        <v>100 м2</v>
      </c>
      <c r="E235" s="13">
        <f>Source!I103</f>
        <v>0.10199999999999999</v>
      </c>
      <c r="F235" s="36">
        <f>Source!AL103+Source!AM103+Source!AO103</f>
        <v>70425.8</v>
      </c>
      <c r="G235" s="37"/>
      <c r="H235" s="36"/>
      <c r="I235" s="37" t="str">
        <f>Source!BO103</f>
        <v/>
      </c>
      <c r="J235" s="37"/>
      <c r="K235" s="36"/>
      <c r="L235" s="38"/>
      <c r="S235">
        <f>ROUND((Source!FX103/100)*((ROUND(Source!AF103*Source!I103, 2)+ROUND(Source!AE103*Source!I103, 2))), 2)</f>
        <v>25.55</v>
      </c>
      <c r="T235">
        <f>Source!X103</f>
        <v>155.80000000000001</v>
      </c>
      <c r="U235">
        <f>ROUND((Source!FY103/100)*((ROUND(Source!AF103*Source!I103, 2)+ROUND(Source!AE103*Source!I103, 2))), 2)</f>
        <v>12.88</v>
      </c>
      <c r="V235">
        <f>Source!Y103</f>
        <v>79.37</v>
      </c>
    </row>
    <row r="236" spans="1:26" x14ac:dyDescent="0.2">
      <c r="C236" s="28" t="str">
        <f>"Объем: "&amp;Source!I103&amp;"=10,2/"&amp;"100"</f>
        <v>Объем: 0,102=10,2/100</v>
      </c>
    </row>
    <row r="237" spans="1:26" ht="14.25" x14ac:dyDescent="0.2">
      <c r="A237" s="51"/>
      <c r="B237" s="52"/>
      <c r="C237" s="52" t="s">
        <v>850</v>
      </c>
      <c r="D237" s="35"/>
      <c r="E237" s="13"/>
      <c r="F237" s="36">
        <f>Source!AO103</f>
        <v>294.8</v>
      </c>
      <c r="G237" s="37" t="str">
        <f>Source!DG103</f>
        <v>)*0,8</v>
      </c>
      <c r="H237" s="36">
        <f>ROUND(Source!AF103*Source!I103, 2)</f>
        <v>24.06</v>
      </c>
      <c r="I237" s="37"/>
      <c r="J237" s="37">
        <f>IF(Source!BA103&lt;&gt; 0, Source!BA103, 1)</f>
        <v>6.11</v>
      </c>
      <c r="K237" s="36">
        <f>Source!S103</f>
        <v>146.97999999999999</v>
      </c>
      <c r="L237" s="38"/>
      <c r="R237">
        <f>H237</f>
        <v>24.06</v>
      </c>
    </row>
    <row r="238" spans="1:26" ht="14.25" x14ac:dyDescent="0.2">
      <c r="A238" s="51"/>
      <c r="B238" s="52"/>
      <c r="C238" s="52" t="s">
        <v>852</v>
      </c>
      <c r="D238" s="35" t="s">
        <v>853</v>
      </c>
      <c r="E238" s="13">
        <f>Source!BZ103</f>
        <v>118</v>
      </c>
      <c r="F238" s="80" t="str">
        <f>CONCATENATE(" )", Source!DL103, Source!FT103, "=", Source!FX103)</f>
        <v xml:space="preserve"> )*0,9=106,2</v>
      </c>
      <c r="G238" s="91"/>
      <c r="H238" s="36">
        <f>SUM(S235:S240)</f>
        <v>25.55</v>
      </c>
      <c r="I238" s="40"/>
      <c r="J238" s="33">
        <f>Source!AT103</f>
        <v>106</v>
      </c>
      <c r="K238" s="36">
        <f>SUM(T235:T240)</f>
        <v>155.80000000000001</v>
      </c>
      <c r="L238" s="38"/>
    </row>
    <row r="239" spans="1:26" ht="14.25" x14ac:dyDescent="0.2">
      <c r="A239" s="51"/>
      <c r="B239" s="52"/>
      <c r="C239" s="52" t="s">
        <v>854</v>
      </c>
      <c r="D239" s="35" t="s">
        <v>853</v>
      </c>
      <c r="E239" s="13">
        <f>Source!CA103</f>
        <v>63</v>
      </c>
      <c r="F239" s="80" t="str">
        <f>CONCATENATE(" )", Source!DM103, Source!FU103, "=", Source!FY103)</f>
        <v xml:space="preserve"> )*0,85=53,55</v>
      </c>
      <c r="G239" s="91"/>
      <c r="H239" s="36">
        <f>SUM(U235:U240)</f>
        <v>12.88</v>
      </c>
      <c r="I239" s="40"/>
      <c r="J239" s="33">
        <f>Source!AU103</f>
        <v>54</v>
      </c>
      <c r="K239" s="36">
        <f>SUM(V235:V240)</f>
        <v>79.37</v>
      </c>
      <c r="L239" s="38"/>
    </row>
    <row r="240" spans="1:26" ht="14.25" x14ac:dyDescent="0.2">
      <c r="A240" s="53"/>
      <c r="B240" s="54"/>
      <c r="C240" s="54" t="s">
        <v>855</v>
      </c>
      <c r="D240" s="41" t="s">
        <v>856</v>
      </c>
      <c r="E240" s="42">
        <f>Source!AQ103</f>
        <v>34.56</v>
      </c>
      <c r="F240" s="43"/>
      <c r="G240" s="44" t="str">
        <f>Source!DI103</f>
        <v>)*0,8</v>
      </c>
      <c r="H240" s="43"/>
      <c r="I240" s="44"/>
      <c r="J240" s="44"/>
      <c r="K240" s="43"/>
      <c r="L240" s="45">
        <f>Source!U103</f>
        <v>2.8200959999999999</v>
      </c>
    </row>
    <row r="241" spans="1:26" ht="15" x14ac:dyDescent="0.25">
      <c r="G241" s="92">
        <f>H237+H238+H239</f>
        <v>62.49</v>
      </c>
      <c r="H241" s="92"/>
      <c r="J241" s="92">
        <f>K237+K238+K239</f>
        <v>382.15</v>
      </c>
      <c r="K241" s="92"/>
      <c r="L241" s="46">
        <f>Source!U103</f>
        <v>2.8200959999999999</v>
      </c>
      <c r="O241" s="29">
        <f>G241</f>
        <v>62.49</v>
      </c>
      <c r="P241" s="29">
        <f>J241</f>
        <v>382.15</v>
      </c>
      <c r="Q241" s="29">
        <f>L241</f>
        <v>2.8200959999999999</v>
      </c>
      <c r="W241">
        <f>IF(Source!BI103&lt;=1,H237+H238+H239, 0)</f>
        <v>62.49</v>
      </c>
      <c r="X241">
        <f>IF(Source!BI103=2,H237+H238+H239, 0)</f>
        <v>0</v>
      </c>
      <c r="Y241">
        <f>IF(Source!BI103=3,H237+H238+H239, 0)</f>
        <v>0</v>
      </c>
      <c r="Z241">
        <f>IF(Source!BI103=4,H237+H238+H239, 0)</f>
        <v>0</v>
      </c>
    </row>
    <row r="242" spans="1:26" ht="57" x14ac:dyDescent="0.2">
      <c r="A242" s="51" t="str">
        <f>Source!E105</f>
        <v>22</v>
      </c>
      <c r="B242" s="52" t="str">
        <f>Source!F105</f>
        <v>10-04-014-01</v>
      </c>
      <c r="C242" s="52" t="str">
        <f>Source!G105</f>
        <v>Устройство сантехнических перегородок (стандартные туалетные кабины) на каркасе из алюминиевого профиля</v>
      </c>
      <c r="D242" s="35" t="str">
        <f>Source!H105</f>
        <v>100 м2</v>
      </c>
      <c r="E242" s="13">
        <f>Source!I105</f>
        <v>0.21</v>
      </c>
      <c r="F242" s="36">
        <f>Source!AL105+Source!AM105+Source!AO105</f>
        <v>70425.8</v>
      </c>
      <c r="G242" s="37"/>
      <c r="H242" s="36"/>
      <c r="I242" s="37" t="str">
        <f>Source!BO105</f>
        <v/>
      </c>
      <c r="J242" s="37"/>
      <c r="K242" s="36"/>
      <c r="L242" s="38"/>
      <c r="S242">
        <f>ROUND((Source!FX105/100)*((ROUND(Source!AF105*Source!I105, 2)+ROUND(Source!AE105*Source!I105, 2))), 2)</f>
        <v>75.599999999999994</v>
      </c>
      <c r="T242">
        <f>Source!X105</f>
        <v>461.1</v>
      </c>
      <c r="U242">
        <f>ROUND((Source!FY105/100)*((ROUND(Source!AF105*Source!I105, 2)+ROUND(Source!AE105*Source!I105, 2))), 2)</f>
        <v>38.119999999999997</v>
      </c>
      <c r="V242">
        <f>Source!Y105</f>
        <v>234.9</v>
      </c>
    </row>
    <row r="243" spans="1:26" x14ac:dyDescent="0.2">
      <c r="C243" s="28" t="str">
        <f>"Объем: "&amp;Source!I105&amp;"=21/"&amp;"100"</f>
        <v>Объем: 0,21=21/100</v>
      </c>
    </row>
    <row r="244" spans="1:26" ht="14.25" x14ac:dyDescent="0.2">
      <c r="A244" s="51"/>
      <c r="B244" s="52"/>
      <c r="C244" s="52" t="s">
        <v>850</v>
      </c>
      <c r="D244" s="35"/>
      <c r="E244" s="13"/>
      <c r="F244" s="36">
        <f>Source!AO105</f>
        <v>294.8</v>
      </c>
      <c r="G244" s="37" t="str">
        <f>Source!DG105</f>
        <v>)*1,15</v>
      </c>
      <c r="H244" s="36">
        <f>ROUND(Source!AF105*Source!I105, 2)</f>
        <v>71.19</v>
      </c>
      <c r="I244" s="37"/>
      <c r="J244" s="37">
        <f>IF(Source!BA105&lt;&gt; 0, Source!BA105, 1)</f>
        <v>6.11</v>
      </c>
      <c r="K244" s="36">
        <f>Source!S105</f>
        <v>435</v>
      </c>
      <c r="L244" s="38"/>
      <c r="R244">
        <f>H244</f>
        <v>71.19</v>
      </c>
    </row>
    <row r="245" spans="1:26" ht="14.25" x14ac:dyDescent="0.2">
      <c r="A245" s="51"/>
      <c r="B245" s="52"/>
      <c r="C245" s="52" t="s">
        <v>857</v>
      </c>
      <c r="D245" s="35"/>
      <c r="E245" s="13"/>
      <c r="F245" s="36">
        <f>Source!AL105</f>
        <v>70131</v>
      </c>
      <c r="G245" s="37" t="str">
        <f>Source!DD105</f>
        <v/>
      </c>
      <c r="H245" s="36">
        <f>ROUND(Source!AC105*Source!I105, 2)</f>
        <v>14727.51</v>
      </c>
      <c r="I245" s="37"/>
      <c r="J245" s="37">
        <f>IF(Source!BC105&lt;&gt; 0, Source!BC105, 1)</f>
        <v>6.11</v>
      </c>
      <c r="K245" s="36">
        <f>Source!P105</f>
        <v>89985.09</v>
      </c>
      <c r="L245" s="38"/>
    </row>
    <row r="246" spans="1:26" ht="14.25" x14ac:dyDescent="0.2">
      <c r="A246" s="51"/>
      <c r="B246" s="52"/>
      <c r="C246" s="52" t="s">
        <v>852</v>
      </c>
      <c r="D246" s="35" t="s">
        <v>853</v>
      </c>
      <c r="E246" s="13">
        <f>Source!BZ105</f>
        <v>118</v>
      </c>
      <c r="F246" s="80" t="str">
        <f>CONCATENATE(" )", Source!DL105, Source!FT105, "=", Source!FX105)</f>
        <v xml:space="preserve"> )*0,9=106,2</v>
      </c>
      <c r="G246" s="91"/>
      <c r="H246" s="36">
        <f>SUM(S242:S250)</f>
        <v>75.599999999999994</v>
      </c>
      <c r="I246" s="40"/>
      <c r="J246" s="33">
        <f>Source!AT105</f>
        <v>106</v>
      </c>
      <c r="K246" s="36">
        <f>SUM(T242:T250)</f>
        <v>461.1</v>
      </c>
      <c r="L246" s="38"/>
    </row>
    <row r="247" spans="1:26" ht="14.25" x14ac:dyDescent="0.2">
      <c r="A247" s="51"/>
      <c r="B247" s="52"/>
      <c r="C247" s="52" t="s">
        <v>854</v>
      </c>
      <c r="D247" s="35" t="s">
        <v>853</v>
      </c>
      <c r="E247" s="13">
        <f>Source!CA105</f>
        <v>63</v>
      </c>
      <c r="F247" s="80" t="str">
        <f>CONCATENATE(" )", Source!DM105, Source!FU105, "=", Source!FY105)</f>
        <v xml:space="preserve"> )*0,85=53,55</v>
      </c>
      <c r="G247" s="91"/>
      <c r="H247" s="36">
        <f>SUM(U242:U250)</f>
        <v>38.119999999999997</v>
      </c>
      <c r="I247" s="40"/>
      <c r="J247" s="33">
        <f>Source!AU105</f>
        <v>54</v>
      </c>
      <c r="K247" s="36">
        <f>SUM(V242:V250)</f>
        <v>234.9</v>
      </c>
      <c r="L247" s="38"/>
    </row>
    <row r="248" spans="1:26" ht="14.25" x14ac:dyDescent="0.2">
      <c r="A248" s="51"/>
      <c r="B248" s="52"/>
      <c r="C248" s="52" t="s">
        <v>855</v>
      </c>
      <c r="D248" s="35" t="s">
        <v>856</v>
      </c>
      <c r="E248" s="13">
        <f>Source!AQ105</f>
        <v>34.56</v>
      </c>
      <c r="F248" s="36"/>
      <c r="G248" s="37" t="str">
        <f>Source!DI105</f>
        <v>)*1,15</v>
      </c>
      <c r="H248" s="36"/>
      <c r="I248" s="37"/>
      <c r="J248" s="37"/>
      <c r="K248" s="36"/>
      <c r="L248" s="47">
        <f>Source!U105</f>
        <v>8.3462399999999999</v>
      </c>
    </row>
    <row r="249" spans="1:26" ht="42.75" x14ac:dyDescent="0.2">
      <c r="A249" s="51" t="str">
        <f>Source!E107</f>
        <v>22,1</v>
      </c>
      <c r="B249" s="52" t="str">
        <f>Source!F107</f>
        <v>11.2.02.09-0002</v>
      </c>
      <c r="C249" s="52" t="str">
        <f>Source!G107</f>
        <v>Полотна для блоков дверных внутренних, полотно глухое высотой 2000 мм ПВГ 20-6, площадь 1,2 м2</v>
      </c>
      <c r="D249" s="35" t="str">
        <f>Source!H107</f>
        <v>м2</v>
      </c>
      <c r="E249" s="13">
        <f>Source!I107</f>
        <v>7.3398060000000003</v>
      </c>
      <c r="F249" s="36">
        <f>Source!AL107+Source!AM107+Source!AO107</f>
        <v>268.88</v>
      </c>
      <c r="G249" s="50" t="s">
        <v>6</v>
      </c>
      <c r="H249" s="36">
        <f>ROUND(Source!AC107*Source!I107, 2)+ROUND(Source!AD107*Source!I107, 2)+ROUND(Source!AF107*Source!I107, 2)</f>
        <v>1973.53</v>
      </c>
      <c r="I249" s="37"/>
      <c r="J249" s="37">
        <f>IF(Source!BC107&lt;&gt; 0, Source!BC107, 1)</f>
        <v>6.11</v>
      </c>
      <c r="K249" s="36">
        <f>Source!O107</f>
        <v>12058.25</v>
      </c>
      <c r="L249" s="38"/>
      <c r="S249">
        <f>ROUND((Source!FX107/100)*((ROUND(Source!AF107*Source!I107, 2)+ROUND(Source!AE107*Source!I107, 2))), 2)</f>
        <v>0</v>
      </c>
      <c r="T249">
        <f>Source!X107</f>
        <v>0</v>
      </c>
      <c r="U249">
        <f>ROUND((Source!FY107/100)*((ROUND(Source!AF107*Source!I107, 2)+ROUND(Source!AE107*Source!I107, 2))), 2)</f>
        <v>0</v>
      </c>
      <c r="V249">
        <f>Source!Y107</f>
        <v>0</v>
      </c>
      <c r="W249">
        <f>IF(Source!BI107&lt;=1,H249, 0)</f>
        <v>1973.53</v>
      </c>
      <c r="X249">
        <f>IF(Source!BI107=2,H249, 0)</f>
        <v>0</v>
      </c>
      <c r="Y249">
        <f>IF(Source!BI107=3,H249, 0)</f>
        <v>0</v>
      </c>
      <c r="Z249">
        <f>IF(Source!BI107=4,H249, 0)</f>
        <v>0</v>
      </c>
    </row>
    <row r="250" spans="1:26" ht="28.5" x14ac:dyDescent="0.2">
      <c r="A250" s="53" t="str">
        <f>Source!E109</f>
        <v>22,2</v>
      </c>
      <c r="B250" s="54" t="str">
        <f>Source!F109</f>
        <v>01.7.04.11-0021</v>
      </c>
      <c r="C250" s="54" t="str">
        <f>Source!G109</f>
        <v>Приборы дверные в перегородках санузлов</v>
      </c>
      <c r="D250" s="41" t="str">
        <f>Source!H109</f>
        <v>компл.</v>
      </c>
      <c r="E250" s="42">
        <f>Source!I109</f>
        <v>5</v>
      </c>
      <c r="F250" s="43">
        <f>Source!AL109+Source!AM109+Source!AO109</f>
        <v>72.77</v>
      </c>
      <c r="G250" s="48" t="s">
        <v>6</v>
      </c>
      <c r="H250" s="43">
        <f>ROUND(Source!AC109*Source!I109, 2)+ROUND(Source!AD109*Source!I109, 2)+ROUND(Source!AF109*Source!I109, 2)</f>
        <v>363.85</v>
      </c>
      <c r="I250" s="44"/>
      <c r="J250" s="44">
        <f>IF(Source!BC109&lt;&gt; 0, Source!BC109, 1)</f>
        <v>6.11</v>
      </c>
      <c r="K250" s="43">
        <f>Source!O109</f>
        <v>2223.12</v>
      </c>
      <c r="L250" s="49"/>
      <c r="S250">
        <f>ROUND((Source!FX109/100)*((ROUND(Source!AF109*Source!I109, 2)+ROUND(Source!AE109*Source!I109, 2))), 2)</f>
        <v>0</v>
      </c>
      <c r="T250">
        <f>Source!X109</f>
        <v>0</v>
      </c>
      <c r="U250">
        <f>ROUND((Source!FY109/100)*((ROUND(Source!AF109*Source!I109, 2)+ROUND(Source!AE109*Source!I109, 2))), 2)</f>
        <v>0</v>
      </c>
      <c r="V250">
        <f>Source!Y109</f>
        <v>0</v>
      </c>
      <c r="W250">
        <f>IF(Source!BI109&lt;=1,H250, 0)</f>
        <v>363.85</v>
      </c>
      <c r="X250">
        <f>IF(Source!BI109=2,H250, 0)</f>
        <v>0</v>
      </c>
      <c r="Y250">
        <f>IF(Source!BI109=3,H250, 0)</f>
        <v>0</v>
      </c>
      <c r="Z250">
        <f>IF(Source!BI109=4,H250, 0)</f>
        <v>0</v>
      </c>
    </row>
    <row r="251" spans="1:26" ht="15" x14ac:dyDescent="0.25">
      <c r="G251" s="92">
        <f>H244+H245+H246+H247+SUM(H249:H250)</f>
        <v>17249.800000000003</v>
      </c>
      <c r="H251" s="92"/>
      <c r="J251" s="92">
        <f>K244+K245+K246+K247+SUM(K249:K250)</f>
        <v>105397.45999999999</v>
      </c>
      <c r="K251" s="92"/>
      <c r="L251" s="46">
        <f>Source!U105</f>
        <v>8.3462399999999999</v>
      </c>
      <c r="O251" s="29">
        <f>G251</f>
        <v>17249.800000000003</v>
      </c>
      <c r="P251" s="29">
        <f>J251</f>
        <v>105397.45999999999</v>
      </c>
      <c r="Q251" s="29">
        <f>L251</f>
        <v>8.3462399999999999</v>
      </c>
      <c r="W251">
        <f>IF(Source!BI105&lt;=1,H244+H245+H246+H247, 0)</f>
        <v>14912.420000000002</v>
      </c>
      <c r="X251">
        <f>IF(Source!BI105=2,H244+H245+H246+H247, 0)</f>
        <v>0</v>
      </c>
      <c r="Y251">
        <f>IF(Source!BI105=3,H244+H245+H246+H247, 0)</f>
        <v>0</v>
      </c>
      <c r="Z251">
        <f>IF(Source!BI105=4,H244+H245+H246+H247, 0)</f>
        <v>0</v>
      </c>
    </row>
    <row r="252" spans="1:26" ht="57" x14ac:dyDescent="0.2">
      <c r="A252" s="51" t="str">
        <f>Source!E111</f>
        <v>23</v>
      </c>
      <c r="B252" s="52" t="str">
        <f>Source!F111</f>
        <v>46-03-001-14</v>
      </c>
      <c r="C252" s="52" t="str">
        <f>Source!G111</f>
        <v>Сверление установками алмазного бурения в железобетонных конструкциях вертикальных отверстий глубиной 200 мм диаметром 125 мм</v>
      </c>
      <c r="D252" s="35" t="str">
        <f>Source!H111</f>
        <v>100 ШТ</v>
      </c>
      <c r="E252" s="13">
        <f>Source!I111</f>
        <v>0.01</v>
      </c>
      <c r="F252" s="36">
        <f>Source!AL111+Source!AM111+Source!AO111</f>
        <v>7390.4000000000005</v>
      </c>
      <c r="G252" s="37"/>
      <c r="H252" s="36"/>
      <c r="I252" s="37" t="str">
        <f>Source!BO111</f>
        <v/>
      </c>
      <c r="J252" s="37"/>
      <c r="K252" s="36"/>
      <c r="L252" s="38"/>
      <c r="S252">
        <f>ROUND((Source!FX111/100)*((ROUND(Source!AF111*Source!I111, 2)+ROUND(Source!AE111*Source!I111, 2))), 2)</f>
        <v>5.55</v>
      </c>
      <c r="T252">
        <f>Source!X111</f>
        <v>33.96</v>
      </c>
      <c r="U252">
        <f>ROUND((Source!FY111/100)*((ROUND(Source!AF111*Source!I111, 2)+ROUND(Source!AE111*Source!I111, 2))), 2)</f>
        <v>3.34</v>
      </c>
      <c r="V252">
        <f>Source!Y111</f>
        <v>20.58</v>
      </c>
    </row>
    <row r="253" spans="1:26" x14ac:dyDescent="0.2">
      <c r="C253" s="28" t="str">
        <f>"Объем: "&amp;Source!I111&amp;"=1/"&amp;"100"</f>
        <v>Объем: 0,01=1/100</v>
      </c>
    </row>
    <row r="254" spans="1:26" ht="14.25" x14ac:dyDescent="0.2">
      <c r="A254" s="51"/>
      <c r="B254" s="52"/>
      <c r="C254" s="52" t="s">
        <v>850</v>
      </c>
      <c r="D254" s="35"/>
      <c r="E254" s="13"/>
      <c r="F254" s="36">
        <f>Source!AO111</f>
        <v>253.97</v>
      </c>
      <c r="G254" s="37" t="str">
        <f>Source!DG111</f>
        <v/>
      </c>
      <c r="H254" s="36">
        <f>ROUND(Source!AF111*Source!I111, 2)</f>
        <v>2.54</v>
      </c>
      <c r="I254" s="37"/>
      <c r="J254" s="37">
        <f>IF(Source!BA111&lt;&gt; 0, Source!BA111, 1)</f>
        <v>6.11</v>
      </c>
      <c r="K254" s="36">
        <f>Source!S111</f>
        <v>15.52</v>
      </c>
      <c r="L254" s="38"/>
      <c r="R254">
        <f>H254</f>
        <v>2.54</v>
      </c>
    </row>
    <row r="255" spans="1:26" ht="14.25" x14ac:dyDescent="0.2">
      <c r="A255" s="51"/>
      <c r="B255" s="52"/>
      <c r="C255" s="52" t="s">
        <v>392</v>
      </c>
      <c r="D255" s="35"/>
      <c r="E255" s="13"/>
      <c r="F255" s="36">
        <f>Source!AM111</f>
        <v>971.67</v>
      </c>
      <c r="G255" s="37" t="str">
        <f>Source!DE111</f>
        <v/>
      </c>
      <c r="H255" s="36">
        <f>ROUND(Source!AD111*Source!I111, 2)</f>
        <v>9.7200000000000006</v>
      </c>
      <c r="I255" s="37"/>
      <c r="J255" s="37">
        <f>IF(Source!BB111&lt;&gt; 0, Source!BB111, 1)</f>
        <v>6.11</v>
      </c>
      <c r="K255" s="36">
        <f>Source!Q111</f>
        <v>59.37</v>
      </c>
      <c r="L255" s="38"/>
    </row>
    <row r="256" spans="1:26" ht="14.25" x14ac:dyDescent="0.2">
      <c r="A256" s="51"/>
      <c r="B256" s="52"/>
      <c r="C256" s="52" t="s">
        <v>851</v>
      </c>
      <c r="D256" s="35"/>
      <c r="E256" s="13"/>
      <c r="F256" s="36">
        <f>Source!AN111</f>
        <v>307.39999999999998</v>
      </c>
      <c r="G256" s="37" t="str">
        <f>Source!DF111</f>
        <v/>
      </c>
      <c r="H256" s="39">
        <f>ROUND(Source!AE111*Source!I111, 2)</f>
        <v>3.07</v>
      </c>
      <c r="I256" s="37"/>
      <c r="J256" s="37">
        <f>IF(Source!BS111&lt;&gt; 0, Source!BS111, 1)</f>
        <v>6.11</v>
      </c>
      <c r="K256" s="39">
        <f>Source!R111</f>
        <v>18.78</v>
      </c>
      <c r="L256" s="38"/>
      <c r="R256">
        <f>H256</f>
        <v>3.07</v>
      </c>
    </row>
    <row r="257" spans="1:26" ht="14.25" x14ac:dyDescent="0.2">
      <c r="A257" s="51"/>
      <c r="B257" s="52"/>
      <c r="C257" s="52" t="s">
        <v>857</v>
      </c>
      <c r="D257" s="35"/>
      <c r="E257" s="13"/>
      <c r="F257" s="36">
        <f>Source!AL111</f>
        <v>6164.76</v>
      </c>
      <c r="G257" s="37" t="str">
        <f>Source!DD111</f>
        <v/>
      </c>
      <c r="H257" s="36">
        <f>ROUND(Source!AC111*Source!I111, 2)</f>
        <v>61.65</v>
      </c>
      <c r="I257" s="37"/>
      <c r="J257" s="37">
        <f>IF(Source!BC111&lt;&gt; 0, Source!BC111, 1)</f>
        <v>6.11</v>
      </c>
      <c r="K257" s="36">
        <f>Source!P111</f>
        <v>376.67</v>
      </c>
      <c r="L257" s="38"/>
    </row>
    <row r="258" spans="1:26" ht="14.25" x14ac:dyDescent="0.2">
      <c r="A258" s="51"/>
      <c r="B258" s="52"/>
      <c r="C258" s="52" t="s">
        <v>852</v>
      </c>
      <c r="D258" s="35" t="s">
        <v>853</v>
      </c>
      <c r="E258" s="13">
        <f>Source!BZ111</f>
        <v>110</v>
      </c>
      <c r="F258" s="80" t="str">
        <f>CONCATENATE(" )", Source!DL111, Source!FT111, "=", Source!FX111)</f>
        <v xml:space="preserve"> )*0,9=99</v>
      </c>
      <c r="G258" s="91"/>
      <c r="H258" s="36">
        <f>SUM(S252:S260)</f>
        <v>5.55</v>
      </c>
      <c r="I258" s="40"/>
      <c r="J258" s="33">
        <f>Source!AT111</f>
        <v>99</v>
      </c>
      <c r="K258" s="36">
        <f>SUM(T252:T260)</f>
        <v>33.96</v>
      </c>
      <c r="L258" s="38"/>
    </row>
    <row r="259" spans="1:26" ht="14.25" x14ac:dyDescent="0.2">
      <c r="A259" s="51"/>
      <c r="B259" s="52"/>
      <c r="C259" s="52" t="s">
        <v>854</v>
      </c>
      <c r="D259" s="35" t="s">
        <v>853</v>
      </c>
      <c r="E259" s="13">
        <f>Source!CA111</f>
        <v>70</v>
      </c>
      <c r="F259" s="80" t="str">
        <f>CONCATENATE(" )", Source!DM111, Source!FU111, "=", Source!FY111)</f>
        <v xml:space="preserve"> )*0,85=59,5</v>
      </c>
      <c r="G259" s="91"/>
      <c r="H259" s="36">
        <f>SUM(U252:U260)</f>
        <v>3.34</v>
      </c>
      <c r="I259" s="40"/>
      <c r="J259" s="33">
        <f>Source!AU111</f>
        <v>60</v>
      </c>
      <c r="K259" s="36">
        <f>SUM(V252:V260)</f>
        <v>20.58</v>
      </c>
      <c r="L259" s="38"/>
    </row>
    <row r="260" spans="1:26" ht="14.25" x14ac:dyDescent="0.2">
      <c r="A260" s="53"/>
      <c r="B260" s="54"/>
      <c r="C260" s="54" t="s">
        <v>855</v>
      </c>
      <c r="D260" s="41" t="s">
        <v>856</v>
      </c>
      <c r="E260" s="42">
        <f>Source!AQ111</f>
        <v>26.4</v>
      </c>
      <c r="F260" s="43"/>
      <c r="G260" s="44" t="str">
        <f>Source!DI111</f>
        <v/>
      </c>
      <c r="H260" s="43"/>
      <c r="I260" s="44"/>
      <c r="J260" s="44"/>
      <c r="K260" s="43"/>
      <c r="L260" s="45">
        <f>Source!U111</f>
        <v>0.26400000000000001</v>
      </c>
    </row>
    <row r="261" spans="1:26" ht="15" x14ac:dyDescent="0.25">
      <c r="G261" s="92">
        <f>H254+H255+H257+H258+H259</f>
        <v>82.8</v>
      </c>
      <c r="H261" s="92"/>
      <c r="J261" s="92">
        <f>K254+K255+K257+K258+K259</f>
        <v>506.09999999999997</v>
      </c>
      <c r="K261" s="92"/>
      <c r="L261" s="46">
        <f>Source!U111</f>
        <v>0.26400000000000001</v>
      </c>
      <c r="O261" s="29">
        <f>G261</f>
        <v>82.8</v>
      </c>
      <c r="P261" s="29">
        <f>J261</f>
        <v>506.09999999999997</v>
      </c>
      <c r="Q261" s="29">
        <f>L261</f>
        <v>0.26400000000000001</v>
      </c>
      <c r="W261">
        <f>IF(Source!BI111&lt;=1,H254+H255+H257+H258+H259, 0)</f>
        <v>82.8</v>
      </c>
      <c r="X261">
        <f>IF(Source!BI111=2,H254+H255+H257+H258+H259, 0)</f>
        <v>0</v>
      </c>
      <c r="Y261">
        <f>IF(Source!BI111=3,H254+H255+H257+H258+H259, 0)</f>
        <v>0</v>
      </c>
      <c r="Z261">
        <f>IF(Source!BI111=4,H254+H255+H257+H258+H259, 0)</f>
        <v>0</v>
      </c>
    </row>
    <row r="262" spans="1:26" ht="42.75" x14ac:dyDescent="0.2">
      <c r="A262" s="51" t="str">
        <f>Source!E113</f>
        <v>24</v>
      </c>
      <c r="B262" s="52" t="str">
        <f>Source!F113</f>
        <v>46-03-001-30</v>
      </c>
      <c r="C262" s="52" t="str">
        <f>Source!G113</f>
        <v>На каждые 10 мм изменения глубины сверления добавляется или исключается к расценке 46-03-001-14</v>
      </c>
      <c r="D262" s="35" t="str">
        <f>Source!H113</f>
        <v>100 ШТ</v>
      </c>
      <c r="E262" s="13">
        <f>Source!I113</f>
        <v>0.01</v>
      </c>
      <c r="F262" s="36">
        <f>Source!AL113+Source!AM113+Source!AO113</f>
        <v>371.28000000000003</v>
      </c>
      <c r="G262" s="37"/>
      <c r="H262" s="36"/>
      <c r="I262" s="37" t="str">
        <f>Source!BO113</f>
        <v/>
      </c>
      <c r="J262" s="37"/>
      <c r="K262" s="36"/>
      <c r="L262" s="38"/>
      <c r="S262">
        <f>ROUND((Source!FX113/100)*((ROUND(Source!AF113*Source!I113, 2)+ROUND(Source!AE113*Source!I113, 2))), 2)</f>
        <v>5.14</v>
      </c>
      <c r="T262">
        <f>Source!X113</f>
        <v>31.37</v>
      </c>
      <c r="U262">
        <f>ROUND((Source!FY113/100)*((ROUND(Source!AF113*Source!I113, 2)+ROUND(Source!AE113*Source!I113, 2))), 2)</f>
        <v>3.09</v>
      </c>
      <c r="V262">
        <f>Source!Y113</f>
        <v>19.010000000000002</v>
      </c>
    </row>
    <row r="263" spans="1:26" x14ac:dyDescent="0.2">
      <c r="C263" s="28" t="str">
        <f>"Объем: "&amp;Source!I113&amp;"=1/"&amp;"100"</f>
        <v>Объем: 0,01=1/100</v>
      </c>
    </row>
    <row r="264" spans="1:26" ht="14.25" x14ac:dyDescent="0.2">
      <c r="A264" s="51"/>
      <c r="B264" s="52"/>
      <c r="C264" s="52" t="s">
        <v>850</v>
      </c>
      <c r="D264" s="35"/>
      <c r="E264" s="13"/>
      <c r="F264" s="36">
        <f>Source!AO113</f>
        <v>20.2</v>
      </c>
      <c r="G264" s="37" t="str">
        <f>Source!DG113</f>
        <v>*15</v>
      </c>
      <c r="H264" s="36">
        <f>ROUND(Source!AF113*Source!I113, 2)</f>
        <v>3.03</v>
      </c>
      <c r="I264" s="37"/>
      <c r="J264" s="37">
        <f>IF(Source!BA113&lt;&gt; 0, Source!BA113, 1)</f>
        <v>6.11</v>
      </c>
      <c r="K264" s="36">
        <f>Source!S113</f>
        <v>18.510000000000002</v>
      </c>
      <c r="L264" s="38"/>
      <c r="R264">
        <f>H264</f>
        <v>3.03</v>
      </c>
    </row>
    <row r="265" spans="1:26" ht="14.25" x14ac:dyDescent="0.2">
      <c r="A265" s="51"/>
      <c r="B265" s="52"/>
      <c r="C265" s="52" t="s">
        <v>392</v>
      </c>
      <c r="D265" s="35"/>
      <c r="E265" s="13"/>
      <c r="F265" s="36">
        <f>Source!AM113</f>
        <v>42.84</v>
      </c>
      <c r="G265" s="37" t="str">
        <f>Source!DE113</f>
        <v>*15</v>
      </c>
      <c r="H265" s="36">
        <f>ROUND(Source!AD113*Source!I113, 2)</f>
        <v>6.43</v>
      </c>
      <c r="I265" s="37"/>
      <c r="J265" s="37">
        <f>IF(Source!BB113&lt;&gt; 0, Source!BB113, 1)</f>
        <v>6.11</v>
      </c>
      <c r="K265" s="36">
        <f>Source!Q113</f>
        <v>39.26</v>
      </c>
      <c r="L265" s="38"/>
    </row>
    <row r="266" spans="1:26" ht="14.25" x14ac:dyDescent="0.2">
      <c r="A266" s="51"/>
      <c r="B266" s="52"/>
      <c r="C266" s="52" t="s">
        <v>851</v>
      </c>
      <c r="D266" s="35"/>
      <c r="E266" s="13"/>
      <c r="F266" s="36">
        <f>Source!AN113</f>
        <v>14.38</v>
      </c>
      <c r="G266" s="37" t="str">
        <f>Source!DF113</f>
        <v>*15</v>
      </c>
      <c r="H266" s="39">
        <f>ROUND(Source!AE113*Source!I113, 2)</f>
        <v>2.16</v>
      </c>
      <c r="I266" s="37"/>
      <c r="J266" s="37">
        <f>IF(Source!BS113&lt;&gt; 0, Source!BS113, 1)</f>
        <v>6.11</v>
      </c>
      <c r="K266" s="39">
        <f>Source!R113</f>
        <v>13.18</v>
      </c>
      <c r="L266" s="38"/>
      <c r="R266">
        <f>H266</f>
        <v>2.16</v>
      </c>
    </row>
    <row r="267" spans="1:26" ht="14.25" x14ac:dyDescent="0.2">
      <c r="A267" s="51"/>
      <c r="B267" s="52"/>
      <c r="C267" s="52" t="s">
        <v>857</v>
      </c>
      <c r="D267" s="35"/>
      <c r="E267" s="13"/>
      <c r="F267" s="36">
        <f>Source!AL113</f>
        <v>308.24</v>
      </c>
      <c r="G267" s="37" t="str">
        <f>Source!DD113</f>
        <v>*15</v>
      </c>
      <c r="H267" s="36">
        <f>ROUND(Source!AC113*Source!I113, 2)</f>
        <v>46.24</v>
      </c>
      <c r="I267" s="37"/>
      <c r="J267" s="37">
        <f>IF(Source!BC113&lt;&gt; 0, Source!BC113, 1)</f>
        <v>6.11</v>
      </c>
      <c r="K267" s="36">
        <f>Source!P113</f>
        <v>282.5</v>
      </c>
      <c r="L267" s="38"/>
    </row>
    <row r="268" spans="1:26" ht="14.25" x14ac:dyDescent="0.2">
      <c r="A268" s="51"/>
      <c r="B268" s="52"/>
      <c r="C268" s="52" t="s">
        <v>852</v>
      </c>
      <c r="D268" s="35" t="s">
        <v>853</v>
      </c>
      <c r="E268" s="13">
        <f>Source!BZ113</f>
        <v>110</v>
      </c>
      <c r="F268" s="80" t="str">
        <f>CONCATENATE(" )", Source!DL113, Source!FT113, "=", Source!FX113)</f>
        <v xml:space="preserve"> )*0,9=99</v>
      </c>
      <c r="G268" s="91"/>
      <c r="H268" s="36">
        <f>SUM(S262:S270)</f>
        <v>5.14</v>
      </c>
      <c r="I268" s="40"/>
      <c r="J268" s="33">
        <f>Source!AT113</f>
        <v>99</v>
      </c>
      <c r="K268" s="36">
        <f>SUM(T262:T270)</f>
        <v>31.37</v>
      </c>
      <c r="L268" s="38"/>
    </row>
    <row r="269" spans="1:26" ht="14.25" x14ac:dyDescent="0.2">
      <c r="A269" s="51"/>
      <c r="B269" s="52"/>
      <c r="C269" s="52" t="s">
        <v>854</v>
      </c>
      <c r="D269" s="35" t="s">
        <v>853</v>
      </c>
      <c r="E269" s="13">
        <f>Source!CA113</f>
        <v>70</v>
      </c>
      <c r="F269" s="80" t="str">
        <f>CONCATENATE(" )", Source!DM113, Source!FU113, "=", Source!FY113)</f>
        <v xml:space="preserve"> )*0,85=59,5</v>
      </c>
      <c r="G269" s="91"/>
      <c r="H269" s="36">
        <f>SUM(U262:U270)</f>
        <v>3.09</v>
      </c>
      <c r="I269" s="40"/>
      <c r="J269" s="33">
        <f>Source!AU113</f>
        <v>60</v>
      </c>
      <c r="K269" s="36">
        <f>SUM(V262:V270)</f>
        <v>19.010000000000002</v>
      </c>
      <c r="L269" s="38"/>
    </row>
    <row r="270" spans="1:26" ht="14.25" x14ac:dyDescent="0.2">
      <c r="A270" s="53"/>
      <c r="B270" s="54"/>
      <c r="C270" s="54" t="s">
        <v>855</v>
      </c>
      <c r="D270" s="41" t="s">
        <v>856</v>
      </c>
      <c r="E270" s="42">
        <f>Source!AQ113</f>
        <v>2.1</v>
      </c>
      <c r="F270" s="43"/>
      <c r="G270" s="44" t="str">
        <f>Source!DI113</f>
        <v>*15</v>
      </c>
      <c r="H270" s="43"/>
      <c r="I270" s="44"/>
      <c r="J270" s="44"/>
      <c r="K270" s="43"/>
      <c r="L270" s="45">
        <f>Source!U113</f>
        <v>0.315</v>
      </c>
    </row>
    <row r="271" spans="1:26" ht="15" x14ac:dyDescent="0.25">
      <c r="G271" s="92">
        <f>H264+H265+H267+H268+H269</f>
        <v>63.930000000000007</v>
      </c>
      <c r="H271" s="92"/>
      <c r="J271" s="92">
        <f>K264+K265+K267+K268+K269</f>
        <v>390.65</v>
      </c>
      <c r="K271" s="92"/>
      <c r="L271" s="46">
        <f>Source!U113</f>
        <v>0.315</v>
      </c>
      <c r="O271" s="29">
        <f>G271</f>
        <v>63.930000000000007</v>
      </c>
      <c r="P271" s="29">
        <f>J271</f>
        <v>390.65</v>
      </c>
      <c r="Q271" s="29">
        <f>L271</f>
        <v>0.315</v>
      </c>
      <c r="W271">
        <f>IF(Source!BI113&lt;=1,H264+H265+H267+H268+H269, 0)</f>
        <v>63.930000000000007</v>
      </c>
      <c r="X271">
        <f>IF(Source!BI113=2,H264+H265+H267+H268+H269, 0)</f>
        <v>0</v>
      </c>
      <c r="Y271">
        <f>IF(Source!BI113=3,H264+H265+H267+H268+H269, 0)</f>
        <v>0</v>
      </c>
      <c r="Z271">
        <f>IF(Source!BI113=4,H264+H265+H267+H268+H269, 0)</f>
        <v>0</v>
      </c>
    </row>
    <row r="272" spans="1:26" ht="42.75" x14ac:dyDescent="0.2">
      <c r="A272" s="51" t="str">
        <f>Source!E115</f>
        <v>25</v>
      </c>
      <c r="B272" s="52" t="str">
        <f>Source!F115</f>
        <v>46-03-017-05</v>
      </c>
      <c r="C272" s="52" t="str">
        <f>Source!G115</f>
        <v>Заделка отверстий, гнезд и борозд в стенах и перегородках бетонных площадью до 0,1 м2</v>
      </c>
      <c r="D272" s="35" t="str">
        <f>Source!H115</f>
        <v>м3</v>
      </c>
      <c r="E272" s="13">
        <f>Source!I115</f>
        <v>3.0000000000000001E-3</v>
      </c>
      <c r="F272" s="36">
        <f>Source!AL115+Source!AM115+Source!AO115</f>
        <v>1229.96</v>
      </c>
      <c r="G272" s="37"/>
      <c r="H272" s="36"/>
      <c r="I272" s="37" t="str">
        <f>Source!BO115</f>
        <v/>
      </c>
      <c r="J272" s="37"/>
      <c r="K272" s="36"/>
      <c r="L272" s="38"/>
      <c r="S272">
        <f>ROUND((Source!FX115/100)*((ROUND(Source!AF115*Source!I115, 2)+ROUND(Source!AE115*Source!I115, 2))), 2)</f>
        <v>1.82</v>
      </c>
      <c r="T272">
        <f>Source!X115</f>
        <v>11.13</v>
      </c>
      <c r="U272">
        <f>ROUND((Source!FY115/100)*((ROUND(Source!AF115*Source!I115, 2)+ROUND(Source!AE115*Source!I115, 2))), 2)</f>
        <v>1.0900000000000001</v>
      </c>
      <c r="V272">
        <f>Source!Y115</f>
        <v>6.74</v>
      </c>
    </row>
    <row r="273" spans="1:26" ht="14.25" x14ac:dyDescent="0.2">
      <c r="A273" s="51"/>
      <c r="B273" s="52"/>
      <c r="C273" s="52" t="s">
        <v>850</v>
      </c>
      <c r="D273" s="35"/>
      <c r="E273" s="13"/>
      <c r="F273" s="36">
        <f>Source!AO115</f>
        <v>608.53</v>
      </c>
      <c r="G273" s="37" t="str">
        <f>Source!DG115</f>
        <v/>
      </c>
      <c r="H273" s="36">
        <f>ROUND(Source!AF115*Source!I115, 2)</f>
        <v>1.83</v>
      </c>
      <c r="I273" s="37"/>
      <c r="J273" s="37">
        <f>IF(Source!BA115&lt;&gt; 0, Source!BA115, 1)</f>
        <v>6.11</v>
      </c>
      <c r="K273" s="36">
        <f>Source!S115</f>
        <v>11.15</v>
      </c>
      <c r="L273" s="38"/>
      <c r="R273">
        <f>H273</f>
        <v>1.83</v>
      </c>
    </row>
    <row r="274" spans="1:26" ht="14.25" x14ac:dyDescent="0.2">
      <c r="A274" s="51"/>
      <c r="B274" s="52"/>
      <c r="C274" s="52" t="s">
        <v>392</v>
      </c>
      <c r="D274" s="35"/>
      <c r="E274" s="13"/>
      <c r="F274" s="36">
        <f>Source!AM115</f>
        <v>26.64</v>
      </c>
      <c r="G274" s="37" t="str">
        <f>Source!DE115</f>
        <v/>
      </c>
      <c r="H274" s="36">
        <f>ROUND(Source!AD115*Source!I115, 2)</f>
        <v>0.08</v>
      </c>
      <c r="I274" s="37"/>
      <c r="J274" s="37">
        <f>IF(Source!BB115&lt;&gt; 0, Source!BB115, 1)</f>
        <v>6.11</v>
      </c>
      <c r="K274" s="36">
        <f>Source!Q115</f>
        <v>0.49</v>
      </c>
      <c r="L274" s="38"/>
    </row>
    <row r="275" spans="1:26" ht="14.25" x14ac:dyDescent="0.2">
      <c r="A275" s="51"/>
      <c r="B275" s="52"/>
      <c r="C275" s="52" t="s">
        <v>851</v>
      </c>
      <c r="D275" s="35"/>
      <c r="E275" s="13"/>
      <c r="F275" s="36">
        <f>Source!AN115</f>
        <v>4.6399999999999997</v>
      </c>
      <c r="G275" s="37" t="str">
        <f>Source!DF115</f>
        <v/>
      </c>
      <c r="H275" s="39">
        <f>ROUND(Source!AE115*Source!I115, 2)</f>
        <v>0.01</v>
      </c>
      <c r="I275" s="37"/>
      <c r="J275" s="37">
        <f>IF(Source!BS115&lt;&gt; 0, Source!BS115, 1)</f>
        <v>6.11</v>
      </c>
      <c r="K275" s="39">
        <f>Source!R115</f>
        <v>0.09</v>
      </c>
      <c r="L275" s="38"/>
      <c r="R275">
        <f>H275</f>
        <v>0.01</v>
      </c>
    </row>
    <row r="276" spans="1:26" ht="14.25" x14ac:dyDescent="0.2">
      <c r="A276" s="51"/>
      <c r="B276" s="52"/>
      <c r="C276" s="52" t="s">
        <v>857</v>
      </c>
      <c r="D276" s="35"/>
      <c r="E276" s="13"/>
      <c r="F276" s="36">
        <f>Source!AL115</f>
        <v>594.79</v>
      </c>
      <c r="G276" s="37" t="str">
        <f>Source!DD115</f>
        <v/>
      </c>
      <c r="H276" s="36">
        <f>ROUND(Source!AC115*Source!I115, 2)</f>
        <v>1.78</v>
      </c>
      <c r="I276" s="37"/>
      <c r="J276" s="37">
        <f>IF(Source!BC115&lt;&gt; 0, Source!BC115, 1)</f>
        <v>6.11</v>
      </c>
      <c r="K276" s="36">
        <f>Source!P115</f>
        <v>10.9</v>
      </c>
      <c r="L276" s="38"/>
    </row>
    <row r="277" spans="1:26" ht="14.25" x14ac:dyDescent="0.2">
      <c r="A277" s="51"/>
      <c r="B277" s="52"/>
      <c r="C277" s="52" t="s">
        <v>852</v>
      </c>
      <c r="D277" s="35" t="s">
        <v>853</v>
      </c>
      <c r="E277" s="13">
        <f>Source!BZ115</f>
        <v>110</v>
      </c>
      <c r="F277" s="80" t="str">
        <f>CONCATENATE(" )", Source!DL115, Source!FT115, "=", Source!FX115)</f>
        <v xml:space="preserve"> )*0,9=99</v>
      </c>
      <c r="G277" s="91"/>
      <c r="H277" s="36">
        <f>SUM(S272:S280)</f>
        <v>1.82</v>
      </c>
      <c r="I277" s="40"/>
      <c r="J277" s="33">
        <f>Source!AT115</f>
        <v>99</v>
      </c>
      <c r="K277" s="36">
        <f>SUM(T272:T280)</f>
        <v>11.13</v>
      </c>
      <c r="L277" s="38"/>
    </row>
    <row r="278" spans="1:26" ht="14.25" x14ac:dyDescent="0.2">
      <c r="A278" s="51"/>
      <c r="B278" s="52"/>
      <c r="C278" s="52" t="s">
        <v>854</v>
      </c>
      <c r="D278" s="35" t="s">
        <v>853</v>
      </c>
      <c r="E278" s="13">
        <f>Source!CA115</f>
        <v>70</v>
      </c>
      <c r="F278" s="80" t="str">
        <f>CONCATENATE(" )", Source!DM115, Source!FU115, "=", Source!FY115)</f>
        <v xml:space="preserve"> )*0,85=59,5</v>
      </c>
      <c r="G278" s="91"/>
      <c r="H278" s="36">
        <f>SUM(U272:U280)</f>
        <v>1.0900000000000001</v>
      </c>
      <c r="I278" s="40"/>
      <c r="J278" s="33">
        <f>Source!AU115</f>
        <v>60</v>
      </c>
      <c r="K278" s="36">
        <f>SUM(V272:V280)</f>
        <v>6.74</v>
      </c>
      <c r="L278" s="38"/>
    </row>
    <row r="279" spans="1:26" ht="14.25" x14ac:dyDescent="0.2">
      <c r="A279" s="51"/>
      <c r="B279" s="52"/>
      <c r="C279" s="52" t="s">
        <v>855</v>
      </c>
      <c r="D279" s="35" t="s">
        <v>856</v>
      </c>
      <c r="E279" s="13">
        <f>Source!AQ115</f>
        <v>75.22</v>
      </c>
      <c r="F279" s="36"/>
      <c r="G279" s="37" t="str">
        <f>Source!DI115</f>
        <v/>
      </c>
      <c r="H279" s="36"/>
      <c r="I279" s="37"/>
      <c r="J279" s="37"/>
      <c r="K279" s="36"/>
      <c r="L279" s="47">
        <f>Source!U115</f>
        <v>0.22566</v>
      </c>
    </row>
    <row r="280" spans="1:26" ht="28.5" x14ac:dyDescent="0.2">
      <c r="A280" s="53" t="str">
        <f>Source!E117</f>
        <v>25,1</v>
      </c>
      <c r="B280" s="54" t="str">
        <f>Source!F117</f>
        <v>04.3.01.09-0022</v>
      </c>
      <c r="C280" s="54" t="str">
        <f>Source!G117</f>
        <v>Раствор готовый отделочный тяжелый, цементный 1:2</v>
      </c>
      <c r="D280" s="41" t="str">
        <f>Source!H117</f>
        <v>м3</v>
      </c>
      <c r="E280" s="42">
        <f>Source!I117</f>
        <v>3.1200000000000004E-3</v>
      </c>
      <c r="F280" s="43">
        <f>Source!AL117+Source!AM117+Source!AO117</f>
        <v>519.79999999999995</v>
      </c>
      <c r="G280" s="48" t="s">
        <v>6</v>
      </c>
      <c r="H280" s="43">
        <f>ROUND(Source!AC117*Source!I117, 2)+ROUND(Source!AD117*Source!I117, 2)+ROUND(Source!AF117*Source!I117, 2)</f>
        <v>1.62</v>
      </c>
      <c r="I280" s="44"/>
      <c r="J280" s="44">
        <f>IF(Source!BC117&lt;&gt; 0, Source!BC117, 1)</f>
        <v>6.11</v>
      </c>
      <c r="K280" s="43">
        <f>Source!O117</f>
        <v>9.91</v>
      </c>
      <c r="L280" s="49"/>
      <c r="S280">
        <f>ROUND((Source!FX117/100)*((ROUND(Source!AF117*Source!I117, 2)+ROUND(Source!AE117*Source!I117, 2))), 2)</f>
        <v>0</v>
      </c>
      <c r="T280">
        <f>Source!X117</f>
        <v>0</v>
      </c>
      <c r="U280">
        <f>ROUND((Source!FY117/100)*((ROUND(Source!AF117*Source!I117, 2)+ROUND(Source!AE117*Source!I117, 2))), 2)</f>
        <v>0</v>
      </c>
      <c r="V280">
        <f>Source!Y117</f>
        <v>0</v>
      </c>
      <c r="W280">
        <f>IF(Source!BI117&lt;=1,H280, 0)</f>
        <v>1.62</v>
      </c>
      <c r="X280">
        <f>IF(Source!BI117=2,H280, 0)</f>
        <v>0</v>
      </c>
      <c r="Y280">
        <f>IF(Source!BI117=3,H280, 0)</f>
        <v>0</v>
      </c>
      <c r="Z280">
        <f>IF(Source!BI117=4,H280, 0)</f>
        <v>0</v>
      </c>
    </row>
    <row r="281" spans="1:26" ht="15" x14ac:dyDescent="0.25">
      <c r="G281" s="92">
        <f>H273+H274+H276+H277+H278+SUM(H280:H280)</f>
        <v>8.2200000000000006</v>
      </c>
      <c r="H281" s="92"/>
      <c r="J281" s="92">
        <f>K273+K274+K276+K277+K278+SUM(K280:K280)</f>
        <v>50.320000000000007</v>
      </c>
      <c r="K281" s="92"/>
      <c r="L281" s="46">
        <f>Source!U115</f>
        <v>0.22566</v>
      </c>
      <c r="O281" s="29">
        <f>G281</f>
        <v>8.2200000000000006</v>
      </c>
      <c r="P281" s="29">
        <f>J281</f>
        <v>50.320000000000007</v>
      </c>
      <c r="Q281" s="29">
        <f>L281</f>
        <v>0.22566</v>
      </c>
      <c r="W281">
        <f>IF(Source!BI115&lt;=1,H273+H274+H276+H277+H278, 0)</f>
        <v>6.6000000000000005</v>
      </c>
      <c r="X281">
        <f>IF(Source!BI115=2,H273+H274+H276+H277+H278, 0)</f>
        <v>0</v>
      </c>
      <c r="Y281">
        <f>IF(Source!BI115=3,H273+H274+H276+H277+H278, 0)</f>
        <v>0</v>
      </c>
      <c r="Z281">
        <f>IF(Source!BI115=4,H273+H274+H276+H277+H278, 0)</f>
        <v>0</v>
      </c>
    </row>
    <row r="282" spans="1:26" ht="57" x14ac:dyDescent="0.2">
      <c r="A282" s="51" t="str">
        <f>Source!E119</f>
        <v>26</v>
      </c>
      <c r="B282" s="52" t="str">
        <f>Source!F119</f>
        <v>46-03-014-01</v>
      </c>
      <c r="C282" s="52" t="str">
        <f>Source!G119</f>
        <v>Сверление вертикальных отверстий в железобетонных конструкциях полов перфоратором глубиной 200 мм диаметром 20 мм</v>
      </c>
      <c r="D282" s="35" t="str">
        <f>Source!H119</f>
        <v>100 ШТ</v>
      </c>
      <c r="E282" s="13">
        <f>Source!I119</f>
        <v>0.66</v>
      </c>
      <c r="F282" s="36">
        <f>Source!AL119+Source!AM119+Source!AO119</f>
        <v>58.35</v>
      </c>
      <c r="G282" s="37"/>
      <c r="H282" s="36"/>
      <c r="I282" s="37" t="str">
        <f>Source!BO119</f>
        <v/>
      </c>
      <c r="J282" s="37"/>
      <c r="K282" s="36"/>
      <c r="L282" s="38"/>
      <c r="S282">
        <f>ROUND((Source!FX119/100)*((ROUND(Source!AF119*Source!I119, 2)+ROUND(Source!AE119*Source!I119, 2))), 2)</f>
        <v>38.119999999999997</v>
      </c>
      <c r="T282">
        <f>Source!X119</f>
        <v>232.95</v>
      </c>
      <c r="U282">
        <f>ROUND((Source!FY119/100)*((ROUND(Source!AF119*Source!I119, 2)+ROUND(Source!AE119*Source!I119, 2))), 2)</f>
        <v>22.91</v>
      </c>
      <c r="V282">
        <f>Source!Y119</f>
        <v>141.18</v>
      </c>
    </row>
    <row r="283" spans="1:26" x14ac:dyDescent="0.2">
      <c r="C283" s="28" t="str">
        <f>"Объем: "&amp;Source!I119&amp;"=66/"&amp;"100"</f>
        <v>Объем: 0,66=66/100</v>
      </c>
    </row>
    <row r="284" spans="1:26" ht="14.25" x14ac:dyDescent="0.2">
      <c r="A284" s="51"/>
      <c r="B284" s="52"/>
      <c r="C284" s="52" t="s">
        <v>850</v>
      </c>
      <c r="D284" s="35"/>
      <c r="E284" s="13"/>
      <c r="F284" s="36">
        <f>Source!AO119</f>
        <v>58.35</v>
      </c>
      <c r="G284" s="37" t="str">
        <f>Source!DG119</f>
        <v/>
      </c>
      <c r="H284" s="36">
        <f>ROUND(Source!AF119*Source!I119, 2)</f>
        <v>38.51</v>
      </c>
      <c r="I284" s="37"/>
      <c r="J284" s="37">
        <f>IF(Source!BA119&lt;&gt; 0, Source!BA119, 1)</f>
        <v>6.11</v>
      </c>
      <c r="K284" s="36">
        <f>Source!S119</f>
        <v>235.3</v>
      </c>
      <c r="L284" s="38"/>
      <c r="R284">
        <f>H284</f>
        <v>38.51</v>
      </c>
    </row>
    <row r="285" spans="1:26" ht="14.25" x14ac:dyDescent="0.2">
      <c r="A285" s="51"/>
      <c r="B285" s="52"/>
      <c r="C285" s="52" t="s">
        <v>852</v>
      </c>
      <c r="D285" s="35" t="s">
        <v>853</v>
      </c>
      <c r="E285" s="13">
        <f>Source!BZ119</f>
        <v>110</v>
      </c>
      <c r="F285" s="80" t="str">
        <f>CONCATENATE(" )", Source!DL119, Source!FT119, "=", Source!FX119)</f>
        <v xml:space="preserve"> )*0,9=99</v>
      </c>
      <c r="G285" s="91"/>
      <c r="H285" s="36">
        <f>SUM(S282:S287)</f>
        <v>38.119999999999997</v>
      </c>
      <c r="I285" s="40"/>
      <c r="J285" s="33">
        <f>Source!AT119</f>
        <v>99</v>
      </c>
      <c r="K285" s="36">
        <f>SUM(T282:T287)</f>
        <v>232.95</v>
      </c>
      <c r="L285" s="38"/>
    </row>
    <row r="286" spans="1:26" ht="14.25" x14ac:dyDescent="0.2">
      <c r="A286" s="51"/>
      <c r="B286" s="52"/>
      <c r="C286" s="52" t="s">
        <v>854</v>
      </c>
      <c r="D286" s="35" t="s">
        <v>853</v>
      </c>
      <c r="E286" s="13">
        <f>Source!CA119</f>
        <v>70</v>
      </c>
      <c r="F286" s="80" t="str">
        <f>CONCATENATE(" )", Source!DM119, Source!FU119, "=", Source!FY119)</f>
        <v xml:space="preserve"> )*0,85=59,5</v>
      </c>
      <c r="G286" s="91"/>
      <c r="H286" s="36">
        <f>SUM(U282:U287)</f>
        <v>22.91</v>
      </c>
      <c r="I286" s="40"/>
      <c r="J286" s="33">
        <f>Source!AU119</f>
        <v>60</v>
      </c>
      <c r="K286" s="36">
        <f>SUM(V282:V287)</f>
        <v>141.18</v>
      </c>
      <c r="L286" s="38"/>
    </row>
    <row r="287" spans="1:26" ht="14.25" x14ac:dyDescent="0.2">
      <c r="A287" s="53"/>
      <c r="B287" s="54"/>
      <c r="C287" s="54" t="s">
        <v>855</v>
      </c>
      <c r="D287" s="41" t="s">
        <v>856</v>
      </c>
      <c r="E287" s="42">
        <f>Source!AQ119</f>
        <v>6.84</v>
      </c>
      <c r="F287" s="43"/>
      <c r="G287" s="44" t="str">
        <f>Source!DI119</f>
        <v/>
      </c>
      <c r="H287" s="43"/>
      <c r="I287" s="44"/>
      <c r="J287" s="44"/>
      <c r="K287" s="43"/>
      <c r="L287" s="45">
        <f>Source!U119</f>
        <v>4.5144000000000002</v>
      </c>
    </row>
    <row r="288" spans="1:26" ht="15" x14ac:dyDescent="0.25">
      <c r="G288" s="92">
        <f>H284+H285+H286</f>
        <v>99.539999999999992</v>
      </c>
      <c r="H288" s="92"/>
      <c r="J288" s="92">
        <f>K284+K285+K286</f>
        <v>609.43000000000006</v>
      </c>
      <c r="K288" s="92"/>
      <c r="L288" s="46">
        <f>Source!U119</f>
        <v>4.5144000000000002</v>
      </c>
      <c r="O288" s="29">
        <f>G288</f>
        <v>99.539999999999992</v>
      </c>
      <c r="P288" s="29">
        <f>J288</f>
        <v>609.43000000000006</v>
      </c>
      <c r="Q288" s="29">
        <f>L288</f>
        <v>4.5144000000000002</v>
      </c>
      <c r="W288">
        <f>IF(Source!BI119&lt;=1,H284+H285+H286, 0)</f>
        <v>99.539999999999992</v>
      </c>
      <c r="X288">
        <f>IF(Source!BI119=2,H284+H285+H286, 0)</f>
        <v>0</v>
      </c>
      <c r="Y288">
        <f>IF(Source!BI119=3,H284+H285+H286, 0)</f>
        <v>0</v>
      </c>
      <c r="Z288">
        <f>IF(Source!BI119=4,H284+H285+H286, 0)</f>
        <v>0</v>
      </c>
    </row>
    <row r="289" spans="1:26" ht="28.5" x14ac:dyDescent="0.2">
      <c r="A289" s="51" t="str">
        <f>Source!E121</f>
        <v>27</v>
      </c>
      <c r="B289" s="52" t="str">
        <f>Source!F121</f>
        <v>06-01-015-01</v>
      </c>
      <c r="C289" s="52" t="str">
        <f>Source!G121</f>
        <v>Установка анкерных болтов в готовые гнезда с заделкой длиной до 1 м</v>
      </c>
      <c r="D289" s="35" t="str">
        <f>Source!H121</f>
        <v>т</v>
      </c>
      <c r="E289" s="13">
        <f>Source!I121</f>
        <v>1.2E-2</v>
      </c>
      <c r="F289" s="36">
        <f>Source!AL121+Source!AM121+Source!AO121</f>
        <v>12943.3</v>
      </c>
      <c r="G289" s="37"/>
      <c r="H289" s="36"/>
      <c r="I289" s="37" t="str">
        <f>Source!BO121</f>
        <v/>
      </c>
      <c r="J289" s="37"/>
      <c r="K289" s="36"/>
      <c r="L289" s="38"/>
      <c r="S289">
        <f>ROUND((Source!FX121/100)*((ROUND(Source!AF121*Source!I121, 2)+ROUND(Source!AE121*Source!I121, 2))), 2)</f>
        <v>36.51</v>
      </c>
      <c r="T289">
        <f>Source!X121</f>
        <v>224.23</v>
      </c>
      <c r="U289">
        <f>ROUND((Source!FY121/100)*((ROUND(Source!AF121*Source!I121, 2)+ROUND(Source!AE121*Source!I121, 2))), 2)</f>
        <v>21.35</v>
      </c>
      <c r="V289">
        <f>Source!Y121</f>
        <v>129.82</v>
      </c>
    </row>
    <row r="290" spans="1:26" ht="14.25" x14ac:dyDescent="0.2">
      <c r="A290" s="51"/>
      <c r="B290" s="52"/>
      <c r="C290" s="52" t="s">
        <v>850</v>
      </c>
      <c r="D290" s="35"/>
      <c r="E290" s="13"/>
      <c r="F290" s="36">
        <f>Source!AO121</f>
        <v>2790.99</v>
      </c>
      <c r="G290" s="37" t="str">
        <f>Source!DG121</f>
        <v>)*1,15</v>
      </c>
      <c r="H290" s="36">
        <f>ROUND(Source!AF121*Source!I121, 2)</f>
        <v>38.520000000000003</v>
      </c>
      <c r="I290" s="37"/>
      <c r="J290" s="37">
        <f>IF(Source!BA121&lt;&gt; 0, Source!BA121, 1)</f>
        <v>6.11</v>
      </c>
      <c r="K290" s="36">
        <f>Source!S121</f>
        <v>235.33</v>
      </c>
      <c r="L290" s="38"/>
      <c r="R290">
        <f>H290</f>
        <v>38.520000000000003</v>
      </c>
    </row>
    <row r="291" spans="1:26" ht="14.25" x14ac:dyDescent="0.2">
      <c r="A291" s="51"/>
      <c r="B291" s="52"/>
      <c r="C291" s="52" t="s">
        <v>392</v>
      </c>
      <c r="D291" s="35"/>
      <c r="E291" s="13"/>
      <c r="F291" s="36">
        <f>Source!AM121</f>
        <v>52.31</v>
      </c>
      <c r="G291" s="37" t="str">
        <f>Source!DE121</f>
        <v>)*1,25</v>
      </c>
      <c r="H291" s="36">
        <f>ROUND(Source!AD121*Source!I121, 2)</f>
        <v>0.78</v>
      </c>
      <c r="I291" s="37"/>
      <c r="J291" s="37">
        <f>IF(Source!BB121&lt;&gt; 0, Source!BB121, 1)</f>
        <v>6.11</v>
      </c>
      <c r="K291" s="36">
        <f>Source!Q121</f>
        <v>4.79</v>
      </c>
      <c r="L291" s="38"/>
    </row>
    <row r="292" spans="1:26" ht="14.25" x14ac:dyDescent="0.2">
      <c r="A292" s="51"/>
      <c r="B292" s="52"/>
      <c r="C292" s="52" t="s">
        <v>851</v>
      </c>
      <c r="D292" s="35"/>
      <c r="E292" s="13"/>
      <c r="F292" s="36">
        <f>Source!AN121</f>
        <v>7.67</v>
      </c>
      <c r="G292" s="37" t="str">
        <f>Source!DF121</f>
        <v>)*1,25</v>
      </c>
      <c r="H292" s="39">
        <f>ROUND(Source!AE121*Source!I121, 2)</f>
        <v>0.12</v>
      </c>
      <c r="I292" s="37"/>
      <c r="J292" s="37">
        <f>IF(Source!BS121&lt;&gt; 0, Source!BS121, 1)</f>
        <v>6.11</v>
      </c>
      <c r="K292" s="39">
        <f>Source!R121</f>
        <v>0.7</v>
      </c>
      <c r="L292" s="38"/>
      <c r="R292">
        <f>H292</f>
        <v>0.12</v>
      </c>
    </row>
    <row r="293" spans="1:26" ht="14.25" x14ac:dyDescent="0.2">
      <c r="A293" s="51"/>
      <c r="B293" s="52"/>
      <c r="C293" s="52" t="s">
        <v>857</v>
      </c>
      <c r="D293" s="35"/>
      <c r="E293" s="13"/>
      <c r="F293" s="36">
        <f>Source!AL121</f>
        <v>10100</v>
      </c>
      <c r="G293" s="37" t="str">
        <f>Source!DD121</f>
        <v/>
      </c>
      <c r="H293" s="36">
        <f>ROUND(Source!AC121*Source!I121, 2)</f>
        <v>121.2</v>
      </c>
      <c r="I293" s="37"/>
      <c r="J293" s="37">
        <f>IF(Source!BC121&lt;&gt; 0, Source!BC121, 1)</f>
        <v>6.11</v>
      </c>
      <c r="K293" s="36">
        <f>Source!P121</f>
        <v>740.53</v>
      </c>
      <c r="L293" s="38"/>
    </row>
    <row r="294" spans="1:26" ht="14.25" x14ac:dyDescent="0.2">
      <c r="A294" s="51"/>
      <c r="B294" s="52"/>
      <c r="C294" s="52" t="s">
        <v>852</v>
      </c>
      <c r="D294" s="35" t="s">
        <v>853</v>
      </c>
      <c r="E294" s="13">
        <f>Source!BZ121</f>
        <v>105</v>
      </c>
      <c r="F294" s="80" t="str">
        <f>CONCATENATE(" )", Source!DL121, Source!FT121, "=", Source!FX121)</f>
        <v xml:space="preserve"> )*0,9=94,5</v>
      </c>
      <c r="G294" s="91"/>
      <c r="H294" s="36">
        <f>SUM(S289:S296)</f>
        <v>36.51</v>
      </c>
      <c r="I294" s="40"/>
      <c r="J294" s="33">
        <f>Source!AT121</f>
        <v>95</v>
      </c>
      <c r="K294" s="36">
        <f>SUM(T289:T296)</f>
        <v>224.23</v>
      </c>
      <c r="L294" s="38"/>
    </row>
    <row r="295" spans="1:26" ht="14.25" x14ac:dyDescent="0.2">
      <c r="A295" s="51"/>
      <c r="B295" s="52"/>
      <c r="C295" s="52" t="s">
        <v>854</v>
      </c>
      <c r="D295" s="35" t="s">
        <v>853</v>
      </c>
      <c r="E295" s="13">
        <f>Source!CA121</f>
        <v>65</v>
      </c>
      <c r="F295" s="80" t="str">
        <f>CONCATENATE(" )", Source!DM121, Source!FU121, "=", Source!FY121)</f>
        <v xml:space="preserve"> )*0,85=55,25</v>
      </c>
      <c r="G295" s="91"/>
      <c r="H295" s="36">
        <f>SUM(U289:U296)</f>
        <v>21.35</v>
      </c>
      <c r="I295" s="40"/>
      <c r="J295" s="33">
        <f>Source!AU121</f>
        <v>55</v>
      </c>
      <c r="K295" s="36">
        <f>SUM(V289:V296)</f>
        <v>129.82</v>
      </c>
      <c r="L295" s="38"/>
    </row>
    <row r="296" spans="1:26" ht="14.25" x14ac:dyDescent="0.2">
      <c r="A296" s="53"/>
      <c r="B296" s="54"/>
      <c r="C296" s="54" t="s">
        <v>855</v>
      </c>
      <c r="D296" s="41" t="s">
        <v>856</v>
      </c>
      <c r="E296" s="42">
        <f>Source!AQ121</f>
        <v>315.01</v>
      </c>
      <c r="F296" s="43"/>
      <c r="G296" s="44" t="str">
        <f>Source!DI121</f>
        <v>)*1,15</v>
      </c>
      <c r="H296" s="43"/>
      <c r="I296" s="44"/>
      <c r="J296" s="44"/>
      <c r="K296" s="43"/>
      <c r="L296" s="45">
        <f>Source!U121</f>
        <v>4.3471379999999993</v>
      </c>
    </row>
    <row r="297" spans="1:26" ht="15" x14ac:dyDescent="0.25">
      <c r="G297" s="92">
        <f>H290+H291+H293+H294+H295</f>
        <v>218.35999999999999</v>
      </c>
      <c r="H297" s="92"/>
      <c r="J297" s="92">
        <f>K290+K291+K293+K294+K295</f>
        <v>1334.6999999999998</v>
      </c>
      <c r="K297" s="92"/>
      <c r="L297" s="46">
        <f>Source!U121</f>
        <v>4.3471379999999993</v>
      </c>
      <c r="O297" s="29">
        <f>G297</f>
        <v>218.35999999999999</v>
      </c>
      <c r="P297" s="29">
        <f>J297</f>
        <v>1334.6999999999998</v>
      </c>
      <c r="Q297" s="29">
        <f>L297</f>
        <v>4.3471379999999993</v>
      </c>
      <c r="W297">
        <f>IF(Source!BI121&lt;=1,H290+H291+H293+H294+H295, 0)</f>
        <v>218.35999999999999</v>
      </c>
      <c r="X297">
        <f>IF(Source!BI121=2,H290+H291+H293+H294+H295, 0)</f>
        <v>0</v>
      </c>
      <c r="Y297">
        <f>IF(Source!BI121=3,H290+H291+H293+H294+H295, 0)</f>
        <v>0</v>
      </c>
      <c r="Z297">
        <f>IF(Source!BI121=4,H290+H291+H293+H294+H295, 0)</f>
        <v>0</v>
      </c>
    </row>
    <row r="298" spans="1:26" ht="42.75" x14ac:dyDescent="0.2">
      <c r="A298" s="53" t="str">
        <f>Source!E123</f>
        <v>28</v>
      </c>
      <c r="B298" s="54" t="str">
        <f>Source!F123</f>
        <v>т01-01-01-041</v>
      </c>
      <c r="C298" s="54" t="str">
        <f>Source!G123</f>
        <v>Погрузочные работы при автомобильных перевозках мусора строительного с погрузкой вручную</v>
      </c>
      <c r="D298" s="41" t="str">
        <f>Source!H123</f>
        <v>1 Т ГРУЗА</v>
      </c>
      <c r="E298" s="42">
        <f>Source!I123</f>
        <v>4.13</v>
      </c>
      <c r="F298" s="43">
        <f>Source!AK123</f>
        <v>42.98</v>
      </c>
      <c r="G298" s="44" t="str">
        <f>Source!DC123</f>
        <v/>
      </c>
      <c r="H298" s="43">
        <f>ROUND(Source!AB123*Source!I123, 2)</f>
        <v>177.51</v>
      </c>
      <c r="I298" s="44" t="str">
        <f>Source!BO123</f>
        <v/>
      </c>
      <c r="J298" s="44">
        <f>Source!AZ123</f>
        <v>6.11</v>
      </c>
      <c r="K298" s="43">
        <f>Source!GM123</f>
        <v>1084.57</v>
      </c>
      <c r="L298" s="49"/>
      <c r="S298">
        <f>ROUND((Source!FX123/100)*((ROUND(0*Source!I123, 2)+ROUND(0*Source!I123, 2))), 2)</f>
        <v>0</v>
      </c>
      <c r="T298">
        <f>Source!X123</f>
        <v>0</v>
      </c>
      <c r="U298">
        <f>ROUND((Source!FY123/100)*((ROUND(0*Source!I123, 2)+ROUND(0*Source!I123, 2))), 2)</f>
        <v>0</v>
      </c>
      <c r="V298">
        <f>Source!Y123</f>
        <v>0</v>
      </c>
    </row>
    <row r="299" spans="1:26" ht="15" x14ac:dyDescent="0.25">
      <c r="G299" s="92">
        <f>H298</f>
        <v>177.51</v>
      </c>
      <c r="H299" s="92"/>
      <c r="J299" s="92">
        <f>K298</f>
        <v>1084.57</v>
      </c>
      <c r="K299" s="92"/>
      <c r="L299" s="46">
        <f>Source!U123</f>
        <v>0</v>
      </c>
      <c r="O299" s="29">
        <f>G299</f>
        <v>177.51</v>
      </c>
      <c r="P299" s="29">
        <f>J299</f>
        <v>1084.57</v>
      </c>
      <c r="Q299" s="29">
        <f>L299</f>
        <v>0</v>
      </c>
      <c r="W299">
        <f>IF(Source!BI123&lt;=1,H298, 0)</f>
        <v>177.51</v>
      </c>
      <c r="X299">
        <f>IF(Source!BI123=2,H298, 0)</f>
        <v>0</v>
      </c>
      <c r="Y299">
        <f>IF(Source!BI123=3,H298, 0)</f>
        <v>0</v>
      </c>
      <c r="Z299">
        <f>IF(Source!BI123=4,H298, 0)</f>
        <v>0</v>
      </c>
    </row>
    <row r="300" spans="1:26" ht="57" x14ac:dyDescent="0.2">
      <c r="A300" s="53" t="str">
        <f>Source!E125</f>
        <v>29</v>
      </c>
      <c r="B300" s="54" t="str">
        <f>Source!F125</f>
        <v>т03-02-01-008</v>
      </c>
      <c r="C300" s="54" t="str">
        <f>Source!G125</f>
        <v>Перевозка грузов I класса автомобилями бортовыми грузоподъемностью до 5 т на расстояние до 8 км</v>
      </c>
      <c r="D300" s="41" t="str">
        <f>Source!H125</f>
        <v>1 Т ГРУЗА</v>
      </c>
      <c r="E300" s="42">
        <f>Source!I125</f>
        <v>4.13</v>
      </c>
      <c r="F300" s="43">
        <f>Source!AK125</f>
        <v>19.04</v>
      </c>
      <c r="G300" s="44" t="str">
        <f>Source!DC125</f>
        <v/>
      </c>
      <c r="H300" s="43">
        <f>ROUND(Source!AB125*Source!I125, 2)</f>
        <v>78.64</v>
      </c>
      <c r="I300" s="44" t="str">
        <f>Source!BO125</f>
        <v/>
      </c>
      <c r="J300" s="44">
        <f>Source!AZ125</f>
        <v>6.11</v>
      </c>
      <c r="K300" s="43">
        <f>Source!GM125</f>
        <v>480.46</v>
      </c>
      <c r="L300" s="49"/>
      <c r="S300">
        <f>ROUND((Source!FX125/100)*((ROUND(0*Source!I125, 2)+ROUND(0*Source!I125, 2))), 2)</f>
        <v>0</v>
      </c>
      <c r="T300">
        <f>Source!X125</f>
        <v>0</v>
      </c>
      <c r="U300">
        <f>ROUND((Source!FY125/100)*((ROUND(0*Source!I125, 2)+ROUND(0*Source!I125, 2))), 2)</f>
        <v>0</v>
      </c>
      <c r="V300">
        <f>Source!Y125</f>
        <v>0</v>
      </c>
    </row>
    <row r="301" spans="1:26" ht="15" x14ac:dyDescent="0.25">
      <c r="G301" s="92">
        <f>H300</f>
        <v>78.64</v>
      </c>
      <c r="H301" s="92"/>
      <c r="J301" s="92">
        <f>K300</f>
        <v>480.46</v>
      </c>
      <c r="K301" s="92"/>
      <c r="L301" s="46">
        <f>Source!U125</f>
        <v>0</v>
      </c>
      <c r="O301" s="29">
        <f>G301</f>
        <v>78.64</v>
      </c>
      <c r="P301" s="29">
        <f>J301</f>
        <v>480.46</v>
      </c>
      <c r="Q301" s="29">
        <f>L301</f>
        <v>0</v>
      </c>
      <c r="W301">
        <f>IF(Source!BI125&lt;=1,H300, 0)</f>
        <v>78.64</v>
      </c>
      <c r="X301">
        <f>IF(Source!BI125=2,H300, 0)</f>
        <v>0</v>
      </c>
      <c r="Y301">
        <f>IF(Source!BI125=3,H300, 0)</f>
        <v>0</v>
      </c>
      <c r="Z301">
        <f>IF(Source!BI125=4,H300, 0)</f>
        <v>0</v>
      </c>
    </row>
    <row r="302" spans="1:26" ht="28.5" x14ac:dyDescent="0.2">
      <c r="A302" s="51" t="str">
        <f>Source!E127</f>
        <v>30</v>
      </c>
      <c r="B302" s="52" t="str">
        <f>Source!F127</f>
        <v>м08-03-594-15</v>
      </c>
      <c r="C302" s="52" t="str">
        <f>Source!G127</f>
        <v>Светильник в подвесных потолках, устанавливаемый на профиле</v>
      </c>
      <c r="D302" s="35" t="str">
        <f>Source!H127</f>
        <v>100 ШТ</v>
      </c>
      <c r="E302" s="13">
        <f>Source!I127</f>
        <v>0.04</v>
      </c>
      <c r="F302" s="36">
        <f>Source!AL127+Source!AM127+Source!AO127</f>
        <v>4000.04</v>
      </c>
      <c r="G302" s="37"/>
      <c r="H302" s="36"/>
      <c r="I302" s="37" t="str">
        <f>Source!BO127</f>
        <v/>
      </c>
      <c r="J302" s="37"/>
      <c r="K302" s="36"/>
      <c r="L302" s="38"/>
      <c r="S302">
        <f>ROUND((Source!FX127/100)*((ROUND(Source!AF127*Source!I127, 2)+ROUND(Source!AE127*Source!I127, 2))), 2)</f>
        <v>105.48</v>
      </c>
      <c r="T302">
        <f>Source!X127</f>
        <v>644.53</v>
      </c>
      <c r="U302">
        <f>ROUND((Source!FY127/100)*((ROUND(Source!AF127*Source!I127, 2)+ROUND(Source!AE127*Source!I127, 2))), 2)</f>
        <v>72.17</v>
      </c>
      <c r="V302">
        <f>Source!Y127</f>
        <v>440.99</v>
      </c>
    </row>
    <row r="303" spans="1:26" x14ac:dyDescent="0.2">
      <c r="C303" s="28" t="str">
        <f>"Объем: "&amp;Source!I127&amp;"=4/"&amp;"100"</f>
        <v>Объем: 0,04=4/100</v>
      </c>
    </row>
    <row r="304" spans="1:26" ht="14.25" x14ac:dyDescent="0.2">
      <c r="A304" s="51"/>
      <c r="B304" s="52"/>
      <c r="C304" s="52" t="s">
        <v>850</v>
      </c>
      <c r="D304" s="35"/>
      <c r="E304" s="13"/>
      <c r="F304" s="36">
        <f>Source!AO127</f>
        <v>2745.86</v>
      </c>
      <c r="G304" s="37" t="str">
        <f>Source!DG127</f>
        <v/>
      </c>
      <c r="H304" s="36">
        <f>ROUND(Source!AF127*Source!I127, 2)</f>
        <v>109.83</v>
      </c>
      <c r="I304" s="37"/>
      <c r="J304" s="37">
        <f>IF(Source!BA127&lt;&gt; 0, Source!BA127, 1)</f>
        <v>6.11</v>
      </c>
      <c r="K304" s="36">
        <f>Source!S127</f>
        <v>671.09</v>
      </c>
      <c r="L304" s="38"/>
      <c r="R304">
        <f>H304</f>
        <v>109.83</v>
      </c>
    </row>
    <row r="305" spans="1:26" ht="14.25" x14ac:dyDescent="0.2">
      <c r="A305" s="51"/>
      <c r="B305" s="52"/>
      <c r="C305" s="52" t="s">
        <v>392</v>
      </c>
      <c r="D305" s="35"/>
      <c r="E305" s="13"/>
      <c r="F305" s="36">
        <f>Source!AM127</f>
        <v>222.47</v>
      </c>
      <c r="G305" s="37" t="str">
        <f>Source!DE127</f>
        <v/>
      </c>
      <c r="H305" s="36">
        <f>ROUND(Source!AD127*Source!I127, 2)</f>
        <v>8.9</v>
      </c>
      <c r="I305" s="37"/>
      <c r="J305" s="37">
        <f>IF(Source!BB127&lt;&gt; 0, Source!BB127, 1)</f>
        <v>6.11</v>
      </c>
      <c r="K305" s="36">
        <f>Source!Q127</f>
        <v>54.37</v>
      </c>
      <c r="L305" s="38"/>
    </row>
    <row r="306" spans="1:26" ht="14.25" x14ac:dyDescent="0.2">
      <c r="A306" s="51"/>
      <c r="B306" s="52"/>
      <c r="C306" s="52" t="s">
        <v>851</v>
      </c>
      <c r="D306" s="35"/>
      <c r="E306" s="13"/>
      <c r="F306" s="36">
        <f>Source!AN127</f>
        <v>30.12</v>
      </c>
      <c r="G306" s="37" t="str">
        <f>Source!DF127</f>
        <v/>
      </c>
      <c r="H306" s="39">
        <f>ROUND(Source!AE127*Source!I127, 2)</f>
        <v>1.2</v>
      </c>
      <c r="I306" s="37"/>
      <c r="J306" s="37">
        <f>IF(Source!BS127&lt;&gt; 0, Source!BS127, 1)</f>
        <v>6.11</v>
      </c>
      <c r="K306" s="39">
        <f>Source!R127</f>
        <v>7.36</v>
      </c>
      <c r="L306" s="38"/>
      <c r="R306">
        <f>H306</f>
        <v>1.2</v>
      </c>
    </row>
    <row r="307" spans="1:26" ht="14.25" x14ac:dyDescent="0.2">
      <c r="A307" s="51"/>
      <c r="B307" s="52"/>
      <c r="C307" s="52" t="s">
        <v>857</v>
      </c>
      <c r="D307" s="35"/>
      <c r="E307" s="13"/>
      <c r="F307" s="36">
        <f>Source!AL127</f>
        <v>1031.71</v>
      </c>
      <c r="G307" s="37" t="str">
        <f>Source!DD127</f>
        <v/>
      </c>
      <c r="H307" s="36">
        <f>ROUND(Source!AC127*Source!I127, 2)</f>
        <v>41.27</v>
      </c>
      <c r="I307" s="37"/>
      <c r="J307" s="37">
        <f>IF(Source!BC127&lt;&gt; 0, Source!BC127, 1)</f>
        <v>6.11</v>
      </c>
      <c r="K307" s="36">
        <f>Source!P127</f>
        <v>252.15</v>
      </c>
      <c r="L307" s="38"/>
    </row>
    <row r="308" spans="1:26" ht="14.25" x14ac:dyDescent="0.2">
      <c r="A308" s="51"/>
      <c r="B308" s="52"/>
      <c r="C308" s="52" t="s">
        <v>852</v>
      </c>
      <c r="D308" s="35" t="s">
        <v>853</v>
      </c>
      <c r="E308" s="13">
        <f>Source!BZ127</f>
        <v>95</v>
      </c>
      <c r="F308" s="55"/>
      <c r="G308" s="37"/>
      <c r="H308" s="36">
        <f>SUM(S302:S311)</f>
        <v>105.48</v>
      </c>
      <c r="I308" s="40"/>
      <c r="J308" s="33">
        <f>Source!AT127</f>
        <v>95</v>
      </c>
      <c r="K308" s="36">
        <f>SUM(T302:T311)</f>
        <v>644.53</v>
      </c>
      <c r="L308" s="38"/>
    </row>
    <row r="309" spans="1:26" ht="14.25" x14ac:dyDescent="0.2">
      <c r="A309" s="51"/>
      <c r="B309" s="52"/>
      <c r="C309" s="52" t="s">
        <v>854</v>
      </c>
      <c r="D309" s="35" t="s">
        <v>853</v>
      </c>
      <c r="E309" s="13">
        <f>Source!CA127</f>
        <v>65</v>
      </c>
      <c r="F309" s="55"/>
      <c r="G309" s="37"/>
      <c r="H309" s="36">
        <f>SUM(U302:U311)</f>
        <v>72.17</v>
      </c>
      <c r="I309" s="40"/>
      <c r="J309" s="33">
        <f>Source!AU127</f>
        <v>65</v>
      </c>
      <c r="K309" s="36">
        <f>SUM(V302:V311)</f>
        <v>440.99</v>
      </c>
      <c r="L309" s="38"/>
    </row>
    <row r="310" spans="1:26" ht="14.25" x14ac:dyDescent="0.2">
      <c r="A310" s="51"/>
      <c r="B310" s="52"/>
      <c r="C310" s="52" t="s">
        <v>855</v>
      </c>
      <c r="D310" s="35" t="s">
        <v>856</v>
      </c>
      <c r="E310" s="13">
        <f>Source!AQ127</f>
        <v>276.8</v>
      </c>
      <c r="F310" s="36"/>
      <c r="G310" s="37" t="str">
        <f>Source!DI127</f>
        <v/>
      </c>
      <c r="H310" s="36"/>
      <c r="I310" s="37"/>
      <c r="J310" s="37"/>
      <c r="K310" s="36"/>
      <c r="L310" s="47">
        <f>Source!U127</f>
        <v>11.072000000000001</v>
      </c>
    </row>
    <row r="311" spans="1:26" ht="42.75" x14ac:dyDescent="0.2">
      <c r="A311" s="53" t="str">
        <f>Source!E129</f>
        <v>30,1</v>
      </c>
      <c r="B311" s="54" t="str">
        <f>Source!F129</f>
        <v>20.3.03.04-0055</v>
      </c>
      <c r="C311" s="54" t="str">
        <f>Source!G129</f>
        <v>Светильник светодиодный потолочный ДВО 36Вт 6500К 3000Лм размером 595х595х25 мм</v>
      </c>
      <c r="D311" s="41" t="str">
        <f>Source!H129</f>
        <v>шт.</v>
      </c>
      <c r="E311" s="42">
        <f>Source!I129</f>
        <v>4</v>
      </c>
      <c r="F311" s="43">
        <f>Source!AL129+Source!AM129+Source!AO129</f>
        <v>155.44</v>
      </c>
      <c r="G311" s="48" t="s">
        <v>6</v>
      </c>
      <c r="H311" s="43">
        <f>ROUND(Source!AC129*Source!I129, 2)+ROUND(Source!AD129*Source!I129, 2)+ROUND(Source!AF129*Source!I129, 2)</f>
        <v>621.76</v>
      </c>
      <c r="I311" s="44"/>
      <c r="J311" s="44">
        <f>IF(Source!BC129&lt;&gt; 0, Source!BC129, 1)</f>
        <v>6.11</v>
      </c>
      <c r="K311" s="43">
        <f>Source!O129</f>
        <v>3798.95</v>
      </c>
      <c r="L311" s="49"/>
      <c r="S311">
        <f>ROUND((Source!FX129/100)*((ROUND(Source!AF129*Source!I129, 2)+ROUND(Source!AE129*Source!I129, 2))), 2)</f>
        <v>0</v>
      </c>
      <c r="T311">
        <f>Source!X129</f>
        <v>0</v>
      </c>
      <c r="U311">
        <f>ROUND((Source!FY129/100)*((ROUND(Source!AF129*Source!I129, 2)+ROUND(Source!AE129*Source!I129, 2))), 2)</f>
        <v>0</v>
      </c>
      <c r="V311">
        <f>Source!Y129</f>
        <v>0</v>
      </c>
      <c r="W311">
        <f>IF(Source!BI129&lt;=1,H311, 0)</f>
        <v>0</v>
      </c>
      <c r="X311">
        <f>IF(Source!BI129=2,H311, 0)</f>
        <v>621.76</v>
      </c>
      <c r="Y311">
        <f>IF(Source!BI129=3,H311, 0)</f>
        <v>0</v>
      </c>
      <c r="Z311">
        <f>IF(Source!BI129=4,H311, 0)</f>
        <v>0</v>
      </c>
    </row>
    <row r="312" spans="1:26" ht="15" x14ac:dyDescent="0.25">
      <c r="G312" s="92">
        <f>H304+H305+H307+H308+H309+SUM(H311:H311)</f>
        <v>959.41000000000008</v>
      </c>
      <c r="H312" s="92"/>
      <c r="J312" s="92">
        <f>K304+K305+K307+K308+K309+SUM(K311:K311)</f>
        <v>5862.08</v>
      </c>
      <c r="K312" s="92"/>
      <c r="L312" s="46">
        <f>Source!U127</f>
        <v>11.072000000000001</v>
      </c>
      <c r="O312" s="29">
        <f>G312</f>
        <v>959.41000000000008</v>
      </c>
      <c r="P312" s="29">
        <f>J312</f>
        <v>5862.08</v>
      </c>
      <c r="Q312" s="29">
        <f>L312</f>
        <v>11.072000000000001</v>
      </c>
      <c r="W312">
        <f>IF(Source!BI127&lt;=1,H304+H305+H307+H308+H309, 0)</f>
        <v>0</v>
      </c>
      <c r="X312">
        <f>IF(Source!BI127=2,H304+H305+H307+H308+H309, 0)</f>
        <v>337.65000000000003</v>
      </c>
      <c r="Y312">
        <f>IF(Source!BI127=3,H304+H305+H307+H308+H309, 0)</f>
        <v>0</v>
      </c>
      <c r="Z312">
        <f>IF(Source!BI127=4,H304+H305+H307+H308+H309, 0)</f>
        <v>0</v>
      </c>
    </row>
    <row r="313" spans="1:26" ht="42.75" x14ac:dyDescent="0.2">
      <c r="A313" s="51" t="str">
        <f>Source!E131</f>
        <v>31</v>
      </c>
      <c r="B313" s="52" t="str">
        <f>Source!F131</f>
        <v>65-2-2</v>
      </c>
      <c r="C313" s="52" t="str">
        <f>Source!G131</f>
        <v>Разборка трубопроводов из чугунных канализационных труб диаметром 100 мм</v>
      </c>
      <c r="D313" s="35" t="str">
        <f>Source!H131</f>
        <v>100 м</v>
      </c>
      <c r="E313" s="13">
        <f>Source!I131</f>
        <v>0.06</v>
      </c>
      <c r="F313" s="36">
        <f>Source!AL131+Source!AM131+Source!AO131</f>
        <v>731.64</v>
      </c>
      <c r="G313" s="37"/>
      <c r="H313" s="36"/>
      <c r="I313" s="37" t="str">
        <f>Source!BO131</f>
        <v/>
      </c>
      <c r="J313" s="37"/>
      <c r="K313" s="36"/>
      <c r="L313" s="38"/>
      <c r="S313">
        <f>ROUND((Source!FX131/100)*((ROUND(Source!AF131*Source!I131, 2)+ROUND(Source!AE131*Source!I131, 2))), 2)</f>
        <v>32.229999999999997</v>
      </c>
      <c r="T313">
        <f>Source!X131</f>
        <v>196.94</v>
      </c>
      <c r="U313">
        <f>ROUND((Source!FY131/100)*((ROUND(Source!AF131*Source!I131, 2)+ROUND(Source!AE131*Source!I131, 2))), 2)</f>
        <v>21.78</v>
      </c>
      <c r="V313">
        <f>Source!Y131</f>
        <v>133.07</v>
      </c>
    </row>
    <row r="314" spans="1:26" x14ac:dyDescent="0.2">
      <c r="C314" s="28" t="str">
        <f>"Объем: "&amp;Source!I131&amp;"=6/"&amp;"100"</f>
        <v>Объем: 0,06=6/100</v>
      </c>
    </row>
    <row r="315" spans="1:26" ht="14.25" x14ac:dyDescent="0.2">
      <c r="A315" s="51"/>
      <c r="B315" s="52"/>
      <c r="C315" s="52" t="s">
        <v>850</v>
      </c>
      <c r="D315" s="35"/>
      <c r="E315" s="13"/>
      <c r="F315" s="36">
        <f>Source!AO131</f>
        <v>721.64</v>
      </c>
      <c r="G315" s="37" t="str">
        <f>Source!DG131</f>
        <v/>
      </c>
      <c r="H315" s="36">
        <f>ROUND(Source!AF131*Source!I131, 2)</f>
        <v>43.3</v>
      </c>
      <c r="I315" s="37"/>
      <c r="J315" s="37">
        <f>IF(Source!BA131&lt;&gt; 0, Source!BA131, 1)</f>
        <v>6.11</v>
      </c>
      <c r="K315" s="36">
        <f>Source!S131</f>
        <v>264.55</v>
      </c>
      <c r="L315" s="38"/>
      <c r="R315">
        <f>H315</f>
        <v>43.3</v>
      </c>
    </row>
    <row r="316" spans="1:26" ht="14.25" x14ac:dyDescent="0.2">
      <c r="A316" s="51"/>
      <c r="B316" s="52"/>
      <c r="C316" s="52" t="s">
        <v>392</v>
      </c>
      <c r="D316" s="35"/>
      <c r="E316" s="13"/>
      <c r="F316" s="36">
        <f>Source!AM131</f>
        <v>10</v>
      </c>
      <c r="G316" s="37" t="str">
        <f>Source!DE131</f>
        <v/>
      </c>
      <c r="H316" s="36">
        <f>ROUND(Source!AD131*Source!I131, 2)</f>
        <v>0.6</v>
      </c>
      <c r="I316" s="37"/>
      <c r="J316" s="37">
        <f>IF(Source!BB131&lt;&gt; 0, Source!BB131, 1)</f>
        <v>6.11</v>
      </c>
      <c r="K316" s="36">
        <f>Source!Q131</f>
        <v>3.67</v>
      </c>
      <c r="L316" s="38"/>
    </row>
    <row r="317" spans="1:26" ht="14.25" x14ac:dyDescent="0.2">
      <c r="A317" s="51"/>
      <c r="B317" s="52"/>
      <c r="C317" s="52" t="s">
        <v>851</v>
      </c>
      <c r="D317" s="35"/>
      <c r="E317" s="13"/>
      <c r="F317" s="36">
        <f>Source!AN131</f>
        <v>4.32</v>
      </c>
      <c r="G317" s="37" t="str">
        <f>Source!DF131</f>
        <v/>
      </c>
      <c r="H317" s="39">
        <f>ROUND(Source!AE131*Source!I131, 2)</f>
        <v>0.26</v>
      </c>
      <c r="I317" s="37"/>
      <c r="J317" s="37">
        <f>IF(Source!BS131&lt;&gt; 0, Source!BS131, 1)</f>
        <v>6.11</v>
      </c>
      <c r="K317" s="39">
        <f>Source!R131</f>
        <v>1.58</v>
      </c>
      <c r="L317" s="38"/>
      <c r="R317">
        <f>H317</f>
        <v>0.26</v>
      </c>
    </row>
    <row r="318" spans="1:26" ht="14.25" x14ac:dyDescent="0.2">
      <c r="A318" s="51"/>
      <c r="B318" s="52"/>
      <c r="C318" s="52" t="s">
        <v>852</v>
      </c>
      <c r="D318" s="35" t="s">
        <v>853</v>
      </c>
      <c r="E318" s="13">
        <f>Source!BZ131</f>
        <v>74</v>
      </c>
      <c r="F318" s="55"/>
      <c r="G318" s="37"/>
      <c r="H318" s="36">
        <f>SUM(S313:S320)</f>
        <v>32.229999999999997</v>
      </c>
      <c r="I318" s="40"/>
      <c r="J318" s="33">
        <f>Source!AT131</f>
        <v>74</v>
      </c>
      <c r="K318" s="36">
        <f>SUM(T313:T320)</f>
        <v>196.94</v>
      </c>
      <c r="L318" s="38"/>
    </row>
    <row r="319" spans="1:26" ht="14.25" x14ac:dyDescent="0.2">
      <c r="A319" s="51"/>
      <c r="B319" s="52"/>
      <c r="C319" s="52" t="s">
        <v>854</v>
      </c>
      <c r="D319" s="35" t="s">
        <v>853</v>
      </c>
      <c r="E319" s="13">
        <f>Source!CA131</f>
        <v>50</v>
      </c>
      <c r="F319" s="55"/>
      <c r="G319" s="37"/>
      <c r="H319" s="36">
        <f>SUM(U313:U320)</f>
        <v>21.78</v>
      </c>
      <c r="I319" s="40"/>
      <c r="J319" s="33">
        <f>Source!AU131</f>
        <v>50</v>
      </c>
      <c r="K319" s="36">
        <f>SUM(V313:V320)</f>
        <v>133.07</v>
      </c>
      <c r="L319" s="38"/>
    </row>
    <row r="320" spans="1:26" ht="14.25" x14ac:dyDescent="0.2">
      <c r="A320" s="53"/>
      <c r="B320" s="54"/>
      <c r="C320" s="54" t="s">
        <v>855</v>
      </c>
      <c r="D320" s="41" t="s">
        <v>856</v>
      </c>
      <c r="E320" s="42">
        <f>Source!AQ131</f>
        <v>85.3</v>
      </c>
      <c r="F320" s="43"/>
      <c r="G320" s="44" t="str">
        <f>Source!DI131</f>
        <v/>
      </c>
      <c r="H320" s="43"/>
      <c r="I320" s="44"/>
      <c r="J320" s="44"/>
      <c r="K320" s="43"/>
      <c r="L320" s="45">
        <f>Source!U131</f>
        <v>5.1179999999999994</v>
      </c>
    </row>
    <row r="321" spans="1:26" ht="15" x14ac:dyDescent="0.25">
      <c r="G321" s="92">
        <f>H315+H316+H318+H319</f>
        <v>97.91</v>
      </c>
      <c r="H321" s="92"/>
      <c r="J321" s="92">
        <f>K315+K316+K318+K319</f>
        <v>598.23</v>
      </c>
      <c r="K321" s="92"/>
      <c r="L321" s="46">
        <f>Source!U131</f>
        <v>5.1179999999999994</v>
      </c>
      <c r="O321" s="29">
        <f>G321</f>
        <v>97.91</v>
      </c>
      <c r="P321" s="29">
        <f>J321</f>
        <v>598.23</v>
      </c>
      <c r="Q321" s="29">
        <f>L321</f>
        <v>5.1179999999999994</v>
      </c>
      <c r="W321">
        <f>IF(Source!BI131&lt;=1,H315+H316+H318+H319, 0)</f>
        <v>97.91</v>
      </c>
      <c r="X321">
        <f>IF(Source!BI131=2,H315+H316+H318+H319, 0)</f>
        <v>0</v>
      </c>
      <c r="Y321">
        <f>IF(Source!BI131=3,H315+H316+H318+H319, 0)</f>
        <v>0</v>
      </c>
      <c r="Z321">
        <f>IF(Source!BI131=4,H315+H316+H318+H319, 0)</f>
        <v>0</v>
      </c>
    </row>
    <row r="322" spans="1:26" ht="42.75" x14ac:dyDescent="0.2">
      <c r="A322" s="51" t="str">
        <f>Source!E133</f>
        <v>32</v>
      </c>
      <c r="B322" s="52" t="str">
        <f>Source!F133</f>
        <v>16-04-001-02</v>
      </c>
      <c r="C322" s="52" t="str">
        <f>Source!G133</f>
        <v>Прокладка трубопроводов канализации из полиэтиленовых труб высокой плотности диаметром 110 мм</v>
      </c>
      <c r="D322" s="35" t="str">
        <f>Source!H133</f>
        <v>100 м</v>
      </c>
      <c r="E322" s="13">
        <f>Source!I133</f>
        <v>0.12</v>
      </c>
      <c r="F322" s="36">
        <f>Source!AL133+Source!AM133+Source!AO133</f>
        <v>758.13</v>
      </c>
      <c r="G322" s="37"/>
      <c r="H322" s="36"/>
      <c r="I322" s="37" t="str">
        <f>Source!BO133</f>
        <v/>
      </c>
      <c r="J322" s="37"/>
      <c r="K322" s="36"/>
      <c r="L322" s="38"/>
      <c r="S322">
        <f>ROUND((Source!FX133/100)*((ROUND(Source!AF133*Source!I133, 2)+ROUND(Source!AE133*Source!I133, 2))), 2)</f>
        <v>97.31</v>
      </c>
      <c r="T322">
        <f>Source!X133</f>
        <v>593.49</v>
      </c>
      <c r="U322">
        <f>ROUND((Source!FY133/100)*((ROUND(Source!AF133*Source!I133, 2)+ROUND(Source!AE133*Source!I133, 2))), 2)</f>
        <v>59.59</v>
      </c>
      <c r="V322">
        <f>Source!Y133</f>
        <v>366.42</v>
      </c>
    </row>
    <row r="323" spans="1:26" x14ac:dyDescent="0.2">
      <c r="C323" s="28" t="str">
        <f>"Объем: "&amp;Source!I133&amp;"=12/"&amp;"100"</f>
        <v>Объем: 0,12=12/100</v>
      </c>
    </row>
    <row r="324" spans="1:26" ht="14.25" x14ac:dyDescent="0.2">
      <c r="A324" s="51"/>
      <c r="B324" s="52"/>
      <c r="C324" s="52" t="s">
        <v>850</v>
      </c>
      <c r="D324" s="35"/>
      <c r="E324" s="13"/>
      <c r="F324" s="36">
        <f>Source!AO133</f>
        <v>611.07000000000005</v>
      </c>
      <c r="G324" s="37" t="str">
        <f>Source!DG133</f>
        <v>)*1,15</v>
      </c>
      <c r="H324" s="36">
        <f>ROUND(Source!AF133*Source!I133, 2)</f>
        <v>84.33</v>
      </c>
      <c r="I324" s="37"/>
      <c r="J324" s="37">
        <f>IF(Source!BA133&lt;&gt; 0, Source!BA133, 1)</f>
        <v>6.11</v>
      </c>
      <c r="K324" s="36">
        <f>Source!S133</f>
        <v>515.24</v>
      </c>
      <c r="L324" s="38"/>
      <c r="R324">
        <f>H324</f>
        <v>84.33</v>
      </c>
    </row>
    <row r="325" spans="1:26" ht="14.25" x14ac:dyDescent="0.2">
      <c r="A325" s="51"/>
      <c r="B325" s="52"/>
      <c r="C325" s="52" t="s">
        <v>392</v>
      </c>
      <c r="D325" s="35"/>
      <c r="E325" s="13"/>
      <c r="F325" s="36">
        <f>Source!AM133</f>
        <v>6.14</v>
      </c>
      <c r="G325" s="37" t="str">
        <f>Source!DE133</f>
        <v>)*1,25</v>
      </c>
      <c r="H325" s="36">
        <f>ROUND(Source!AD133*Source!I133, 2)</f>
        <v>0.92</v>
      </c>
      <c r="I325" s="37"/>
      <c r="J325" s="37">
        <f>IF(Source!BB133&lt;&gt; 0, Source!BB133, 1)</f>
        <v>6.11</v>
      </c>
      <c r="K325" s="36">
        <f>Source!Q133</f>
        <v>5.63</v>
      </c>
      <c r="L325" s="38"/>
    </row>
    <row r="326" spans="1:26" ht="14.25" x14ac:dyDescent="0.2">
      <c r="A326" s="51"/>
      <c r="B326" s="52"/>
      <c r="C326" s="52" t="s">
        <v>851</v>
      </c>
      <c r="D326" s="35"/>
      <c r="E326" s="13"/>
      <c r="F326" s="36">
        <f>Source!AN133</f>
        <v>0.91</v>
      </c>
      <c r="G326" s="37" t="str">
        <f>Source!DF133</f>
        <v>)*1,25</v>
      </c>
      <c r="H326" s="39">
        <f>ROUND(Source!AE133*Source!I133, 2)</f>
        <v>0.14000000000000001</v>
      </c>
      <c r="I326" s="37"/>
      <c r="J326" s="37">
        <f>IF(Source!BS133&lt;&gt; 0, Source!BS133, 1)</f>
        <v>6.11</v>
      </c>
      <c r="K326" s="39">
        <f>Source!R133</f>
        <v>0.84</v>
      </c>
      <c r="L326" s="38"/>
      <c r="R326">
        <f>H326</f>
        <v>0.14000000000000001</v>
      </c>
    </row>
    <row r="327" spans="1:26" ht="14.25" x14ac:dyDescent="0.2">
      <c r="A327" s="51"/>
      <c r="B327" s="52"/>
      <c r="C327" s="52" t="s">
        <v>857</v>
      </c>
      <c r="D327" s="35"/>
      <c r="E327" s="13"/>
      <c r="F327" s="36">
        <f>Source!AL133</f>
        <v>140.91999999999999</v>
      </c>
      <c r="G327" s="37" t="str">
        <f>Source!DD133</f>
        <v/>
      </c>
      <c r="H327" s="36">
        <f>ROUND(Source!AC133*Source!I133, 2)</f>
        <v>16.91</v>
      </c>
      <c r="I327" s="37"/>
      <c r="J327" s="37">
        <f>IF(Source!BC133&lt;&gt; 0, Source!BC133, 1)</f>
        <v>6.11</v>
      </c>
      <c r="K327" s="36">
        <f>Source!P133</f>
        <v>103.32</v>
      </c>
      <c r="L327" s="38"/>
    </row>
    <row r="328" spans="1:26" ht="14.25" x14ac:dyDescent="0.2">
      <c r="A328" s="51"/>
      <c r="B328" s="52"/>
      <c r="C328" s="52" t="s">
        <v>852</v>
      </c>
      <c r="D328" s="35" t="s">
        <v>853</v>
      </c>
      <c r="E328" s="13">
        <f>Source!BZ133</f>
        <v>128</v>
      </c>
      <c r="F328" s="80" t="str">
        <f>CONCATENATE(" )", Source!DL133, Source!FT133, "=", Source!FX133)</f>
        <v xml:space="preserve"> )*0,9=115,2</v>
      </c>
      <c r="G328" s="91"/>
      <c r="H328" s="36">
        <f>SUM(S322:S331)</f>
        <v>97.31</v>
      </c>
      <c r="I328" s="40"/>
      <c r="J328" s="33">
        <f>Source!AT133</f>
        <v>115</v>
      </c>
      <c r="K328" s="36">
        <f>SUM(T322:T331)</f>
        <v>593.49</v>
      </c>
      <c r="L328" s="38"/>
    </row>
    <row r="329" spans="1:26" ht="14.25" x14ac:dyDescent="0.2">
      <c r="A329" s="51"/>
      <c r="B329" s="52"/>
      <c r="C329" s="52" t="s">
        <v>854</v>
      </c>
      <c r="D329" s="35" t="s">
        <v>853</v>
      </c>
      <c r="E329" s="13">
        <f>Source!CA133</f>
        <v>83</v>
      </c>
      <c r="F329" s="80" t="str">
        <f>CONCATENATE(" )", Source!DM133, Source!FU133, "=", Source!FY133)</f>
        <v xml:space="preserve"> )*0,85=70,55</v>
      </c>
      <c r="G329" s="91"/>
      <c r="H329" s="36">
        <f>SUM(U322:U331)</f>
        <v>59.59</v>
      </c>
      <c r="I329" s="40"/>
      <c r="J329" s="33">
        <f>Source!AU133</f>
        <v>71</v>
      </c>
      <c r="K329" s="36">
        <f>SUM(V322:V331)</f>
        <v>366.42</v>
      </c>
      <c r="L329" s="38"/>
    </row>
    <row r="330" spans="1:26" ht="14.25" x14ac:dyDescent="0.2">
      <c r="A330" s="51"/>
      <c r="B330" s="52"/>
      <c r="C330" s="52" t="s">
        <v>855</v>
      </c>
      <c r="D330" s="35" t="s">
        <v>856</v>
      </c>
      <c r="E330" s="13">
        <f>Source!AQ133</f>
        <v>61.6</v>
      </c>
      <c r="F330" s="36"/>
      <c r="G330" s="37" t="str">
        <f>Source!DI133</f>
        <v>)*1,15</v>
      </c>
      <c r="H330" s="36"/>
      <c r="I330" s="37"/>
      <c r="J330" s="37"/>
      <c r="K330" s="36"/>
      <c r="L330" s="47">
        <f>Source!U133</f>
        <v>8.5007999999999981</v>
      </c>
    </row>
    <row r="331" spans="1:26" ht="57" x14ac:dyDescent="0.2">
      <c r="A331" s="53" t="str">
        <f>Source!E135</f>
        <v>32,1</v>
      </c>
      <c r="B331" s="54" t="str">
        <f>Source!F135</f>
        <v>24.3.03.02-0002</v>
      </c>
      <c r="C331" s="54" t="str">
        <f>Source!G135</f>
        <v>Трубопроводы канализации из полиэтиленовых труб высокой плотности с гильзами, диаметром 110 мм</v>
      </c>
      <c r="D331" s="41" t="str">
        <f>Source!H135</f>
        <v>м</v>
      </c>
      <c r="E331" s="42">
        <f>Source!I135</f>
        <v>11.976000000000001</v>
      </c>
      <c r="F331" s="43">
        <f>Source!AL135+Source!AM135+Source!AO135</f>
        <v>70.400000000000006</v>
      </c>
      <c r="G331" s="48" t="s">
        <v>6</v>
      </c>
      <c r="H331" s="43">
        <f>ROUND(Source!AC135*Source!I135, 2)+ROUND(Source!AD135*Source!I135, 2)+ROUND(Source!AF135*Source!I135, 2)</f>
        <v>843.11</v>
      </c>
      <c r="I331" s="44"/>
      <c r="J331" s="44">
        <f>IF(Source!BC135&lt;&gt; 0, Source!BC135, 1)</f>
        <v>6.11</v>
      </c>
      <c r="K331" s="43">
        <f>Source!O135</f>
        <v>5151.3999999999996</v>
      </c>
      <c r="L331" s="49"/>
      <c r="S331">
        <f>ROUND((Source!FX135/100)*((ROUND(Source!AF135*Source!I135, 2)+ROUND(Source!AE135*Source!I135, 2))), 2)</f>
        <v>0</v>
      </c>
      <c r="T331">
        <f>Source!X135</f>
        <v>0</v>
      </c>
      <c r="U331">
        <f>ROUND((Source!FY135/100)*((ROUND(Source!AF135*Source!I135, 2)+ROUND(Source!AE135*Source!I135, 2))), 2)</f>
        <v>0</v>
      </c>
      <c r="V331">
        <f>Source!Y135</f>
        <v>0</v>
      </c>
      <c r="W331">
        <f>IF(Source!BI135&lt;=1,H331, 0)</f>
        <v>843.11</v>
      </c>
      <c r="X331">
        <f>IF(Source!BI135=2,H331, 0)</f>
        <v>0</v>
      </c>
      <c r="Y331">
        <f>IF(Source!BI135=3,H331, 0)</f>
        <v>0</v>
      </c>
      <c r="Z331">
        <f>IF(Source!BI135=4,H331, 0)</f>
        <v>0</v>
      </c>
    </row>
    <row r="332" spans="1:26" ht="15" x14ac:dyDescent="0.25">
      <c r="G332" s="92">
        <f>H324+H325+H327+H328+H329+SUM(H331:H331)</f>
        <v>1102.17</v>
      </c>
      <c r="H332" s="92"/>
      <c r="J332" s="92">
        <f>K324+K325+K327+K328+K329+SUM(K331:K331)</f>
        <v>6735.5</v>
      </c>
      <c r="K332" s="92"/>
      <c r="L332" s="46">
        <f>Source!U133</f>
        <v>8.5007999999999981</v>
      </c>
      <c r="O332" s="29">
        <f>G332</f>
        <v>1102.17</v>
      </c>
      <c r="P332" s="29">
        <f>J332</f>
        <v>6735.5</v>
      </c>
      <c r="Q332" s="29">
        <f>L332</f>
        <v>8.5007999999999981</v>
      </c>
      <c r="W332">
        <f>IF(Source!BI133&lt;=1,H324+H325+H327+H328+H329, 0)</f>
        <v>259.06</v>
      </c>
      <c r="X332">
        <f>IF(Source!BI133=2,H324+H325+H327+H328+H329, 0)</f>
        <v>0</v>
      </c>
      <c r="Y332">
        <f>IF(Source!BI133=3,H324+H325+H327+H328+H329, 0)</f>
        <v>0</v>
      </c>
      <c r="Z332">
        <f>IF(Source!BI133=4,H324+H325+H327+H328+H329, 0)</f>
        <v>0</v>
      </c>
    </row>
    <row r="333" spans="1:26" ht="14.25" x14ac:dyDescent="0.2">
      <c r="A333" s="51" t="str">
        <f>Source!E137</f>
        <v>33</v>
      </c>
      <c r="B333" s="52" t="str">
        <f>Source!F137</f>
        <v>65-4-2</v>
      </c>
      <c r="C333" s="52" t="str">
        <f>Source!G137</f>
        <v>Демонтаж унитазов и писсуаров</v>
      </c>
      <c r="D333" s="35" t="str">
        <f>Source!H137</f>
        <v>100 ШТ</v>
      </c>
      <c r="E333" s="13">
        <f>Source!I137</f>
        <v>0.02</v>
      </c>
      <c r="F333" s="36">
        <f>Source!AL137+Source!AM137+Source!AO137</f>
        <v>553.63</v>
      </c>
      <c r="G333" s="37"/>
      <c r="H333" s="36"/>
      <c r="I333" s="37" t="str">
        <f>Source!BO137</f>
        <v/>
      </c>
      <c r="J333" s="37"/>
      <c r="K333" s="36"/>
      <c r="L333" s="38"/>
      <c r="S333">
        <f>ROUND((Source!FX137/100)*((ROUND(Source!AF137*Source!I137, 2)+ROUND(Source!AE137*Source!I137, 2))), 2)</f>
        <v>8.1199999999999992</v>
      </c>
      <c r="T333">
        <f>Source!X137</f>
        <v>49.6</v>
      </c>
      <c r="U333">
        <f>ROUND((Source!FY137/100)*((ROUND(Source!AF137*Source!I137, 2)+ROUND(Source!AE137*Source!I137, 2))), 2)</f>
        <v>5.49</v>
      </c>
      <c r="V333">
        <f>Source!Y137</f>
        <v>33.520000000000003</v>
      </c>
    </row>
    <row r="334" spans="1:26" x14ac:dyDescent="0.2">
      <c r="C334" s="28" t="str">
        <f>"Объем: "&amp;Source!I137&amp;"=2/"&amp;"100"</f>
        <v>Объем: 0,02=2/100</v>
      </c>
    </row>
    <row r="335" spans="1:26" ht="14.25" x14ac:dyDescent="0.2">
      <c r="A335" s="51"/>
      <c r="B335" s="52"/>
      <c r="C335" s="52" t="s">
        <v>850</v>
      </c>
      <c r="D335" s="35"/>
      <c r="E335" s="13"/>
      <c r="F335" s="36">
        <f>Source!AO137</f>
        <v>544.55999999999995</v>
      </c>
      <c r="G335" s="37" t="str">
        <f>Source!DG137</f>
        <v/>
      </c>
      <c r="H335" s="36">
        <f>ROUND(Source!AF137*Source!I137, 2)</f>
        <v>10.89</v>
      </c>
      <c r="I335" s="37"/>
      <c r="J335" s="37">
        <f>IF(Source!BA137&lt;&gt; 0, Source!BA137, 1)</f>
        <v>6.11</v>
      </c>
      <c r="K335" s="36">
        <f>Source!S137</f>
        <v>66.55</v>
      </c>
      <c r="L335" s="38"/>
      <c r="R335">
        <f>H335</f>
        <v>10.89</v>
      </c>
    </row>
    <row r="336" spans="1:26" ht="14.25" x14ac:dyDescent="0.2">
      <c r="A336" s="51"/>
      <c r="B336" s="52"/>
      <c r="C336" s="52" t="s">
        <v>392</v>
      </c>
      <c r="D336" s="35"/>
      <c r="E336" s="13"/>
      <c r="F336" s="36">
        <f>Source!AM137</f>
        <v>9.07</v>
      </c>
      <c r="G336" s="37" t="str">
        <f>Source!DE137</f>
        <v/>
      </c>
      <c r="H336" s="36">
        <f>ROUND(Source!AD137*Source!I137, 2)</f>
        <v>0.18</v>
      </c>
      <c r="I336" s="37"/>
      <c r="J336" s="37">
        <f>IF(Source!BB137&lt;&gt; 0, Source!BB137, 1)</f>
        <v>6.11</v>
      </c>
      <c r="K336" s="36">
        <f>Source!Q137</f>
        <v>1.1100000000000001</v>
      </c>
      <c r="L336" s="38"/>
    </row>
    <row r="337" spans="1:26" ht="14.25" x14ac:dyDescent="0.2">
      <c r="A337" s="51"/>
      <c r="B337" s="52"/>
      <c r="C337" s="52" t="s">
        <v>851</v>
      </c>
      <c r="D337" s="35"/>
      <c r="E337" s="13"/>
      <c r="F337" s="36">
        <f>Source!AN137</f>
        <v>3.92</v>
      </c>
      <c r="G337" s="37" t="str">
        <f>Source!DF137</f>
        <v/>
      </c>
      <c r="H337" s="39">
        <f>ROUND(Source!AE137*Source!I137, 2)</f>
        <v>0.08</v>
      </c>
      <c r="I337" s="37"/>
      <c r="J337" s="37">
        <f>IF(Source!BS137&lt;&gt; 0, Source!BS137, 1)</f>
        <v>6.11</v>
      </c>
      <c r="K337" s="39">
        <f>Source!R137</f>
        <v>0.48</v>
      </c>
      <c r="L337" s="38"/>
      <c r="R337">
        <f>H337</f>
        <v>0.08</v>
      </c>
    </row>
    <row r="338" spans="1:26" ht="14.25" x14ac:dyDescent="0.2">
      <c r="A338" s="51"/>
      <c r="B338" s="52"/>
      <c r="C338" s="52" t="s">
        <v>852</v>
      </c>
      <c r="D338" s="35" t="s">
        <v>853</v>
      </c>
      <c r="E338" s="13">
        <f>Source!BZ137</f>
        <v>74</v>
      </c>
      <c r="F338" s="55"/>
      <c r="G338" s="37"/>
      <c r="H338" s="36">
        <f>SUM(S333:S340)</f>
        <v>8.1199999999999992</v>
      </c>
      <c r="I338" s="40"/>
      <c r="J338" s="33">
        <f>Source!AT137</f>
        <v>74</v>
      </c>
      <c r="K338" s="36">
        <f>SUM(T333:T340)</f>
        <v>49.6</v>
      </c>
      <c r="L338" s="38"/>
    </row>
    <row r="339" spans="1:26" ht="14.25" x14ac:dyDescent="0.2">
      <c r="A339" s="51"/>
      <c r="B339" s="52"/>
      <c r="C339" s="52" t="s">
        <v>854</v>
      </c>
      <c r="D339" s="35" t="s">
        <v>853</v>
      </c>
      <c r="E339" s="13">
        <f>Source!CA137</f>
        <v>50</v>
      </c>
      <c r="F339" s="55"/>
      <c r="G339" s="37"/>
      <c r="H339" s="36">
        <f>SUM(U333:U340)</f>
        <v>5.49</v>
      </c>
      <c r="I339" s="40"/>
      <c r="J339" s="33">
        <f>Source!AU137</f>
        <v>50</v>
      </c>
      <c r="K339" s="36">
        <f>SUM(V333:V340)</f>
        <v>33.520000000000003</v>
      </c>
      <c r="L339" s="38"/>
    </row>
    <row r="340" spans="1:26" ht="14.25" x14ac:dyDescent="0.2">
      <c r="A340" s="53"/>
      <c r="B340" s="54"/>
      <c r="C340" s="54" t="s">
        <v>855</v>
      </c>
      <c r="D340" s="41" t="s">
        <v>856</v>
      </c>
      <c r="E340" s="42">
        <f>Source!AQ137</f>
        <v>63.84</v>
      </c>
      <c r="F340" s="43"/>
      <c r="G340" s="44" t="str">
        <f>Source!DI137</f>
        <v/>
      </c>
      <c r="H340" s="43"/>
      <c r="I340" s="44"/>
      <c r="J340" s="44"/>
      <c r="K340" s="43"/>
      <c r="L340" s="45">
        <f>Source!U137</f>
        <v>1.2768000000000002</v>
      </c>
    </row>
    <row r="341" spans="1:26" ht="15" x14ac:dyDescent="0.25">
      <c r="G341" s="92">
        <f>H335+H336+H338+H339</f>
        <v>24.68</v>
      </c>
      <c r="H341" s="92"/>
      <c r="J341" s="92">
        <f>K335+K336+K338+K339</f>
        <v>150.78</v>
      </c>
      <c r="K341" s="92"/>
      <c r="L341" s="46">
        <f>Source!U137</f>
        <v>1.2768000000000002</v>
      </c>
      <c r="O341" s="29">
        <f>G341</f>
        <v>24.68</v>
      </c>
      <c r="P341" s="29">
        <f>J341</f>
        <v>150.78</v>
      </c>
      <c r="Q341" s="29">
        <f>L341</f>
        <v>1.2768000000000002</v>
      </c>
      <c r="W341">
        <f>IF(Source!BI137&lt;=1,H335+H336+H338+H339, 0)</f>
        <v>24.68</v>
      </c>
      <c r="X341">
        <f>IF(Source!BI137=2,H335+H336+H338+H339, 0)</f>
        <v>0</v>
      </c>
      <c r="Y341">
        <f>IF(Source!BI137=3,H335+H336+H338+H339, 0)</f>
        <v>0</v>
      </c>
      <c r="Z341">
        <f>IF(Source!BI137=4,H335+H336+H338+H339, 0)</f>
        <v>0</v>
      </c>
    </row>
    <row r="342" spans="1:26" ht="14.25" x14ac:dyDescent="0.2">
      <c r="A342" s="51" t="str">
        <f>Source!E139</f>
        <v>34</v>
      </c>
      <c r="B342" s="52" t="str">
        <f>Source!F139</f>
        <v>65-4-1</v>
      </c>
      <c r="C342" s="52" t="str">
        <f>Source!G139</f>
        <v>Демонтаж умывальников и раковин</v>
      </c>
      <c r="D342" s="35" t="str">
        <f>Source!H139</f>
        <v>100 ШТ</v>
      </c>
      <c r="E342" s="13">
        <f>Source!I139</f>
        <v>0.01</v>
      </c>
      <c r="F342" s="36">
        <f>Source!AL139+Source!AM139+Source!AO139</f>
        <v>445.71999999999997</v>
      </c>
      <c r="G342" s="37"/>
      <c r="H342" s="36"/>
      <c r="I342" s="37" t="str">
        <f>Source!BO139</f>
        <v/>
      </c>
      <c r="J342" s="37"/>
      <c r="K342" s="36"/>
      <c r="L342" s="38"/>
      <c r="S342">
        <f>ROUND((Source!FX139/100)*((ROUND(Source!AF139*Source!I139, 2)+ROUND(Source!AE139*Source!I139, 2))), 2)</f>
        <v>3.27</v>
      </c>
      <c r="T342">
        <f>Source!X139</f>
        <v>19.940000000000001</v>
      </c>
      <c r="U342">
        <f>ROUND((Source!FY139/100)*((ROUND(Source!AF139*Source!I139, 2)+ROUND(Source!AE139*Source!I139, 2))), 2)</f>
        <v>2.21</v>
      </c>
      <c r="V342">
        <f>Source!Y139</f>
        <v>13.48</v>
      </c>
    </row>
    <row r="343" spans="1:26" x14ac:dyDescent="0.2">
      <c r="C343" s="28" t="str">
        <f>"Объем: "&amp;Source!I139&amp;"=1/"&amp;"100"</f>
        <v>Объем: 0,01=1/100</v>
      </c>
    </row>
    <row r="344" spans="1:26" ht="14.25" x14ac:dyDescent="0.2">
      <c r="A344" s="51"/>
      <c r="B344" s="52"/>
      <c r="C344" s="52" t="s">
        <v>850</v>
      </c>
      <c r="D344" s="35"/>
      <c r="E344" s="13"/>
      <c r="F344" s="36">
        <f>Source!AO139</f>
        <v>437.59</v>
      </c>
      <c r="G344" s="37" t="str">
        <f>Source!DG139</f>
        <v/>
      </c>
      <c r="H344" s="36">
        <f>ROUND(Source!AF139*Source!I139, 2)</f>
        <v>4.38</v>
      </c>
      <c r="I344" s="37"/>
      <c r="J344" s="37">
        <f>IF(Source!BA139&lt;&gt; 0, Source!BA139, 1)</f>
        <v>6.11</v>
      </c>
      <c r="K344" s="36">
        <f>Source!S139</f>
        <v>26.74</v>
      </c>
      <c r="L344" s="38"/>
      <c r="R344">
        <f>H344</f>
        <v>4.38</v>
      </c>
    </row>
    <row r="345" spans="1:26" ht="14.25" x14ac:dyDescent="0.2">
      <c r="A345" s="51"/>
      <c r="B345" s="52"/>
      <c r="C345" s="52" t="s">
        <v>392</v>
      </c>
      <c r="D345" s="35"/>
      <c r="E345" s="13"/>
      <c r="F345" s="36">
        <f>Source!AM139</f>
        <v>8.1300000000000008</v>
      </c>
      <c r="G345" s="37" t="str">
        <f>Source!DE139</f>
        <v/>
      </c>
      <c r="H345" s="36">
        <f>ROUND(Source!AD139*Source!I139, 2)</f>
        <v>0.08</v>
      </c>
      <c r="I345" s="37"/>
      <c r="J345" s="37">
        <f>IF(Source!BB139&lt;&gt; 0, Source!BB139, 1)</f>
        <v>6.11</v>
      </c>
      <c r="K345" s="36">
        <f>Source!Q139</f>
        <v>0.5</v>
      </c>
      <c r="L345" s="38"/>
    </row>
    <row r="346" spans="1:26" ht="14.25" x14ac:dyDescent="0.2">
      <c r="A346" s="51"/>
      <c r="B346" s="52"/>
      <c r="C346" s="52" t="s">
        <v>851</v>
      </c>
      <c r="D346" s="35"/>
      <c r="E346" s="13"/>
      <c r="F346" s="36">
        <f>Source!AN139</f>
        <v>3.51</v>
      </c>
      <c r="G346" s="37" t="str">
        <f>Source!DF139</f>
        <v/>
      </c>
      <c r="H346" s="39">
        <f>ROUND(Source!AE139*Source!I139, 2)</f>
        <v>0.04</v>
      </c>
      <c r="I346" s="37"/>
      <c r="J346" s="37">
        <f>IF(Source!BS139&lt;&gt; 0, Source!BS139, 1)</f>
        <v>6.11</v>
      </c>
      <c r="K346" s="39">
        <f>Source!R139</f>
        <v>0.21</v>
      </c>
      <c r="L346" s="38"/>
      <c r="R346">
        <f>H346</f>
        <v>0.04</v>
      </c>
    </row>
    <row r="347" spans="1:26" ht="14.25" x14ac:dyDescent="0.2">
      <c r="A347" s="51"/>
      <c r="B347" s="52"/>
      <c r="C347" s="52" t="s">
        <v>852</v>
      </c>
      <c r="D347" s="35" t="s">
        <v>853</v>
      </c>
      <c r="E347" s="13">
        <f>Source!BZ139</f>
        <v>74</v>
      </c>
      <c r="F347" s="55"/>
      <c r="G347" s="37"/>
      <c r="H347" s="36">
        <f>SUM(S342:S349)</f>
        <v>3.27</v>
      </c>
      <c r="I347" s="40"/>
      <c r="J347" s="33">
        <f>Source!AT139</f>
        <v>74</v>
      </c>
      <c r="K347" s="36">
        <f>SUM(T342:T349)</f>
        <v>19.940000000000001</v>
      </c>
      <c r="L347" s="38"/>
    </row>
    <row r="348" spans="1:26" ht="14.25" x14ac:dyDescent="0.2">
      <c r="A348" s="51"/>
      <c r="B348" s="52"/>
      <c r="C348" s="52" t="s">
        <v>854</v>
      </c>
      <c r="D348" s="35" t="s">
        <v>853</v>
      </c>
      <c r="E348" s="13">
        <f>Source!CA139</f>
        <v>50</v>
      </c>
      <c r="F348" s="55"/>
      <c r="G348" s="37"/>
      <c r="H348" s="36">
        <f>SUM(U342:U349)</f>
        <v>2.21</v>
      </c>
      <c r="I348" s="40"/>
      <c r="J348" s="33">
        <f>Source!AU139</f>
        <v>50</v>
      </c>
      <c r="K348" s="36">
        <f>SUM(V342:V349)</f>
        <v>13.48</v>
      </c>
      <c r="L348" s="38"/>
    </row>
    <row r="349" spans="1:26" ht="14.25" x14ac:dyDescent="0.2">
      <c r="A349" s="53"/>
      <c r="B349" s="54"/>
      <c r="C349" s="54" t="s">
        <v>855</v>
      </c>
      <c r="D349" s="41" t="s">
        <v>856</v>
      </c>
      <c r="E349" s="42">
        <f>Source!AQ139</f>
        <v>51.3</v>
      </c>
      <c r="F349" s="43"/>
      <c r="G349" s="44" t="str">
        <f>Source!DI139</f>
        <v/>
      </c>
      <c r="H349" s="43"/>
      <c r="I349" s="44"/>
      <c r="J349" s="44"/>
      <c r="K349" s="43"/>
      <c r="L349" s="45">
        <f>Source!U139</f>
        <v>0.51300000000000001</v>
      </c>
    </row>
    <row r="350" spans="1:26" ht="15" x14ac:dyDescent="0.25">
      <c r="G350" s="92">
        <f>H344+H345+H347+H348</f>
        <v>9.9400000000000013</v>
      </c>
      <c r="H350" s="92"/>
      <c r="J350" s="92">
        <f>K344+K345+K347+K348</f>
        <v>60.66</v>
      </c>
      <c r="K350" s="92"/>
      <c r="L350" s="46">
        <f>Source!U139</f>
        <v>0.51300000000000001</v>
      </c>
      <c r="O350" s="29">
        <f>G350</f>
        <v>9.9400000000000013</v>
      </c>
      <c r="P350" s="29">
        <f>J350</f>
        <v>60.66</v>
      </c>
      <c r="Q350" s="29">
        <f>L350</f>
        <v>0.51300000000000001</v>
      </c>
      <c r="W350">
        <f>IF(Source!BI139&lt;=1,H344+H345+H347+H348, 0)</f>
        <v>9.9400000000000013</v>
      </c>
      <c r="X350">
        <f>IF(Source!BI139=2,H344+H345+H347+H348, 0)</f>
        <v>0</v>
      </c>
      <c r="Y350">
        <f>IF(Source!BI139=3,H344+H345+H347+H348, 0)</f>
        <v>0</v>
      </c>
      <c r="Z350">
        <f>IF(Source!BI139=4,H344+H345+H347+H348, 0)</f>
        <v>0</v>
      </c>
    </row>
    <row r="351" spans="1:26" ht="28.5" x14ac:dyDescent="0.2">
      <c r="A351" s="51" t="str">
        <f>Source!E141</f>
        <v>35</v>
      </c>
      <c r="B351" s="52" t="str">
        <f>Source!F141</f>
        <v>17-01-003-01</v>
      </c>
      <c r="C351" s="52" t="str">
        <f>Source!G141</f>
        <v>Установка унитазов с бачком непосредственно присоединенным</v>
      </c>
      <c r="D351" s="35" t="str">
        <f>Source!H141</f>
        <v>10 компл</v>
      </c>
      <c r="E351" s="13">
        <f>Source!I141</f>
        <v>0.4</v>
      </c>
      <c r="F351" s="36">
        <f>Source!AL141+Source!AM141+Source!AO141</f>
        <v>461.63</v>
      </c>
      <c r="G351" s="37"/>
      <c r="H351" s="36"/>
      <c r="I351" s="37" t="str">
        <f>Source!BO141</f>
        <v/>
      </c>
      <c r="J351" s="37"/>
      <c r="K351" s="36"/>
      <c r="L351" s="38"/>
      <c r="S351">
        <f>ROUND((Source!FX141/100)*((ROUND(Source!AF141*Source!I141, 2)+ROUND(Source!AE141*Source!I141, 2))), 2)</f>
        <v>129.27000000000001</v>
      </c>
      <c r="T351">
        <f>Source!X141</f>
        <v>788.46</v>
      </c>
      <c r="U351">
        <f>ROUND((Source!FY141/100)*((ROUND(Source!AF141*Source!I141, 2)+ROUND(Source!AE141*Source!I141, 2))), 2)</f>
        <v>79.16</v>
      </c>
      <c r="V351">
        <f>Source!Y141</f>
        <v>486.79</v>
      </c>
    </row>
    <row r="352" spans="1:26" x14ac:dyDescent="0.2">
      <c r="C352" s="28" t="str">
        <f>"Объем: "&amp;Source!I141&amp;"=4/"&amp;"10"</f>
        <v>Объем: 0,4=4/10</v>
      </c>
    </row>
    <row r="353" spans="1:26" ht="14.25" x14ac:dyDescent="0.2">
      <c r="A353" s="51"/>
      <c r="B353" s="52"/>
      <c r="C353" s="52" t="s">
        <v>850</v>
      </c>
      <c r="D353" s="35"/>
      <c r="E353" s="13"/>
      <c r="F353" s="36">
        <f>Source!AO141</f>
        <v>234.33</v>
      </c>
      <c r="G353" s="37" t="str">
        <f>Source!DG141</f>
        <v>)*1,15</v>
      </c>
      <c r="H353" s="36">
        <f>ROUND(Source!AF141*Source!I141, 2)</f>
        <v>107.79</v>
      </c>
      <c r="I353" s="37"/>
      <c r="J353" s="37">
        <f>IF(Source!BA141&lt;&gt; 0, Source!BA141, 1)</f>
        <v>6.11</v>
      </c>
      <c r="K353" s="36">
        <f>Source!S141</f>
        <v>658.61</v>
      </c>
      <c r="L353" s="38"/>
      <c r="R353">
        <f>H353</f>
        <v>107.79</v>
      </c>
    </row>
    <row r="354" spans="1:26" ht="14.25" x14ac:dyDescent="0.2">
      <c r="A354" s="51"/>
      <c r="B354" s="52"/>
      <c r="C354" s="52" t="s">
        <v>392</v>
      </c>
      <c r="D354" s="35"/>
      <c r="E354" s="13"/>
      <c r="F354" s="36">
        <f>Source!AM141</f>
        <v>35.630000000000003</v>
      </c>
      <c r="G354" s="37" t="str">
        <f>Source!DE141</f>
        <v>)*1,25</v>
      </c>
      <c r="H354" s="36">
        <f>ROUND(Source!AD141*Source!I141, 2)</f>
        <v>17.82</v>
      </c>
      <c r="I354" s="37"/>
      <c r="J354" s="37">
        <f>IF(Source!BB141&lt;&gt; 0, Source!BB141, 1)</f>
        <v>6.11</v>
      </c>
      <c r="K354" s="36">
        <f>Source!Q141</f>
        <v>108.86</v>
      </c>
      <c r="L354" s="38"/>
    </row>
    <row r="355" spans="1:26" ht="14.25" x14ac:dyDescent="0.2">
      <c r="A355" s="51"/>
      <c r="B355" s="52"/>
      <c r="C355" s="52" t="s">
        <v>851</v>
      </c>
      <c r="D355" s="35"/>
      <c r="E355" s="13"/>
      <c r="F355" s="36">
        <f>Source!AN141</f>
        <v>8.84</v>
      </c>
      <c r="G355" s="37" t="str">
        <f>Source!DF141</f>
        <v>)*1,25</v>
      </c>
      <c r="H355" s="39">
        <f>ROUND(Source!AE141*Source!I141, 2)</f>
        <v>4.42</v>
      </c>
      <c r="I355" s="37"/>
      <c r="J355" s="37">
        <f>IF(Source!BS141&lt;&gt; 0, Source!BS141, 1)</f>
        <v>6.11</v>
      </c>
      <c r="K355" s="39">
        <f>Source!R141</f>
        <v>27.01</v>
      </c>
      <c r="L355" s="38"/>
      <c r="R355">
        <f>H355</f>
        <v>4.42</v>
      </c>
    </row>
    <row r="356" spans="1:26" ht="14.25" x14ac:dyDescent="0.2">
      <c r="A356" s="51"/>
      <c r="B356" s="52"/>
      <c r="C356" s="52" t="s">
        <v>857</v>
      </c>
      <c r="D356" s="35"/>
      <c r="E356" s="13"/>
      <c r="F356" s="36">
        <f>Source!AL141</f>
        <v>191.67</v>
      </c>
      <c r="G356" s="37" t="str">
        <f>Source!DD141</f>
        <v/>
      </c>
      <c r="H356" s="36">
        <f>ROUND(Source!AC141*Source!I141, 2)</f>
        <v>76.67</v>
      </c>
      <c r="I356" s="37"/>
      <c r="J356" s="37">
        <f>IF(Source!BC141&lt;&gt; 0, Source!BC141, 1)</f>
        <v>6.11</v>
      </c>
      <c r="K356" s="36">
        <f>Source!P141</f>
        <v>468.44</v>
      </c>
      <c r="L356" s="38"/>
    </row>
    <row r="357" spans="1:26" ht="14.25" x14ac:dyDescent="0.2">
      <c r="A357" s="51"/>
      <c r="B357" s="52"/>
      <c r="C357" s="52" t="s">
        <v>852</v>
      </c>
      <c r="D357" s="35" t="s">
        <v>853</v>
      </c>
      <c r="E357" s="13">
        <f>Source!BZ141</f>
        <v>128</v>
      </c>
      <c r="F357" s="80" t="str">
        <f>CONCATENATE(" )", Source!DL141, Source!FT141, "=", Source!FX141)</f>
        <v xml:space="preserve"> )*0,9=115,2</v>
      </c>
      <c r="G357" s="91"/>
      <c r="H357" s="36">
        <f>SUM(S351:S362)</f>
        <v>129.27000000000001</v>
      </c>
      <c r="I357" s="40"/>
      <c r="J357" s="33">
        <f>Source!AT141</f>
        <v>115</v>
      </c>
      <c r="K357" s="36">
        <f>SUM(T351:T362)</f>
        <v>788.46</v>
      </c>
      <c r="L357" s="38"/>
    </row>
    <row r="358" spans="1:26" ht="14.25" x14ac:dyDescent="0.2">
      <c r="A358" s="51"/>
      <c r="B358" s="52"/>
      <c r="C358" s="52" t="s">
        <v>854</v>
      </c>
      <c r="D358" s="35" t="s">
        <v>853</v>
      </c>
      <c r="E358" s="13">
        <f>Source!CA141</f>
        <v>83</v>
      </c>
      <c r="F358" s="80" t="str">
        <f>CONCATENATE(" )", Source!DM141, Source!FU141, "=", Source!FY141)</f>
        <v xml:space="preserve"> )*0,85=70,55</v>
      </c>
      <c r="G358" s="91"/>
      <c r="H358" s="36">
        <f>SUM(U351:U362)</f>
        <v>79.16</v>
      </c>
      <c r="I358" s="40"/>
      <c r="J358" s="33">
        <f>Source!AU141</f>
        <v>71</v>
      </c>
      <c r="K358" s="36">
        <f>SUM(V351:V362)</f>
        <v>486.79</v>
      </c>
      <c r="L358" s="38"/>
    </row>
    <row r="359" spans="1:26" ht="14.25" x14ac:dyDescent="0.2">
      <c r="A359" s="51"/>
      <c r="B359" s="52"/>
      <c r="C359" s="52" t="s">
        <v>855</v>
      </c>
      <c r="D359" s="35" t="s">
        <v>856</v>
      </c>
      <c r="E359" s="13">
        <f>Source!AQ141</f>
        <v>24.64</v>
      </c>
      <c r="F359" s="36"/>
      <c r="G359" s="37" t="str">
        <f>Source!DI141</f>
        <v>)*1,15</v>
      </c>
      <c r="H359" s="36"/>
      <c r="I359" s="37"/>
      <c r="J359" s="37"/>
      <c r="K359" s="36"/>
      <c r="L359" s="47">
        <f>Source!U141</f>
        <v>11.3344</v>
      </c>
    </row>
    <row r="360" spans="1:26" ht="57" x14ac:dyDescent="0.2">
      <c r="A360" s="51" t="str">
        <f>Source!E143</f>
        <v>35,1</v>
      </c>
      <c r="B360" s="52" t="str">
        <f>Source!F143</f>
        <v>18.2.01.06-0031</v>
      </c>
      <c r="C360" s="52" t="str">
        <f>Source!G143</f>
        <v>Унитазы полуфарфоровые и фарфоровые УНВЦ воронкообразные с сиденьем и креплением, с цельноотлитой полочкой</v>
      </c>
      <c r="D360" s="35" t="str">
        <f>Source!H143</f>
        <v>компл.</v>
      </c>
      <c r="E360" s="13">
        <f>Source!I143</f>
        <v>4</v>
      </c>
      <c r="F360" s="36">
        <f>Source!AL143+Source!AM143+Source!AO143</f>
        <v>405.49</v>
      </c>
      <c r="G360" s="50" t="s">
        <v>6</v>
      </c>
      <c r="H360" s="36">
        <f>ROUND(Source!AC143*Source!I143, 2)+ROUND(Source!AD143*Source!I143, 2)+ROUND(Source!AF143*Source!I143, 2)</f>
        <v>1621.96</v>
      </c>
      <c r="I360" s="37"/>
      <c r="J360" s="37">
        <f>IF(Source!BC143&lt;&gt; 0, Source!BC143, 1)</f>
        <v>6.11</v>
      </c>
      <c r="K360" s="36">
        <f>Source!O143</f>
        <v>9910.18</v>
      </c>
      <c r="L360" s="38"/>
      <c r="S360">
        <f>ROUND((Source!FX143/100)*((ROUND(Source!AF143*Source!I143, 2)+ROUND(Source!AE143*Source!I143, 2))), 2)</f>
        <v>0</v>
      </c>
      <c r="T360">
        <f>Source!X143</f>
        <v>0</v>
      </c>
      <c r="U360">
        <f>ROUND((Source!FY143/100)*((ROUND(Source!AF143*Source!I143, 2)+ROUND(Source!AE143*Source!I143, 2))), 2)</f>
        <v>0</v>
      </c>
      <c r="V360">
        <f>Source!Y143</f>
        <v>0</v>
      </c>
      <c r="W360">
        <f>IF(Source!BI143&lt;=1,H360, 0)</f>
        <v>1621.96</v>
      </c>
      <c r="X360">
        <f>IF(Source!BI143=2,H360, 0)</f>
        <v>0</v>
      </c>
      <c r="Y360">
        <f>IF(Source!BI143=3,H360, 0)</f>
        <v>0</v>
      </c>
      <c r="Z360">
        <f>IF(Source!BI143=4,H360, 0)</f>
        <v>0</v>
      </c>
    </row>
    <row r="361" spans="1:26" ht="57" x14ac:dyDescent="0.2">
      <c r="A361" s="51" t="str">
        <f>Source!E145</f>
        <v>35,2</v>
      </c>
      <c r="B361" s="52" t="str">
        <f>Source!F145</f>
        <v>18.2.06.01-0002</v>
      </c>
      <c r="C361" s="52" t="str">
        <f>Source!G145</f>
        <v>Бачки смывные полуфарфоровые и фарфоровые с арматурой непосредственно устанавливаемые на унитазы</v>
      </c>
      <c r="D361" s="35" t="str">
        <f>Source!H145</f>
        <v>компл.</v>
      </c>
      <c r="E361" s="13">
        <f>Source!I145</f>
        <v>4</v>
      </c>
      <c r="F361" s="36">
        <f>Source!AL145+Source!AM145+Source!AO145</f>
        <v>198.3</v>
      </c>
      <c r="G361" s="50" t="s">
        <v>6</v>
      </c>
      <c r="H361" s="36">
        <f>ROUND(Source!AC145*Source!I145, 2)+ROUND(Source!AD145*Source!I145, 2)+ROUND(Source!AF145*Source!I145, 2)</f>
        <v>793.2</v>
      </c>
      <c r="I361" s="37"/>
      <c r="J361" s="37">
        <f>IF(Source!BC145&lt;&gt; 0, Source!BC145, 1)</f>
        <v>6.11</v>
      </c>
      <c r="K361" s="36">
        <f>Source!O145</f>
        <v>4846.45</v>
      </c>
      <c r="L361" s="38"/>
      <c r="S361">
        <f>ROUND((Source!FX145/100)*((ROUND(Source!AF145*Source!I145, 2)+ROUND(Source!AE145*Source!I145, 2))), 2)</f>
        <v>0</v>
      </c>
      <c r="T361">
        <f>Source!X145</f>
        <v>0</v>
      </c>
      <c r="U361">
        <f>ROUND((Source!FY145/100)*((ROUND(Source!AF145*Source!I145, 2)+ROUND(Source!AE145*Source!I145, 2))), 2)</f>
        <v>0</v>
      </c>
      <c r="V361">
        <f>Source!Y145</f>
        <v>0</v>
      </c>
      <c r="W361">
        <f>IF(Source!BI145&lt;=1,H361, 0)</f>
        <v>793.2</v>
      </c>
      <c r="X361">
        <f>IF(Source!BI145=2,H361, 0)</f>
        <v>0</v>
      </c>
      <c r="Y361">
        <f>IF(Source!BI145=3,H361, 0)</f>
        <v>0</v>
      </c>
      <c r="Z361">
        <f>IF(Source!BI145=4,H361, 0)</f>
        <v>0</v>
      </c>
    </row>
    <row r="362" spans="1:26" ht="28.5" x14ac:dyDescent="0.2">
      <c r="A362" s="53" t="str">
        <f>Source!E147</f>
        <v>35,3</v>
      </c>
      <c r="B362" s="54" t="str">
        <f>Source!F147</f>
        <v>01.7.19.03-0001</v>
      </c>
      <c r="C362" s="54" t="str">
        <f>Source!G147</f>
        <v>Манжета резиновая канализационная для унитаза диаметром 110 мм</v>
      </c>
      <c r="D362" s="41" t="str">
        <f>Source!H147</f>
        <v>шт.</v>
      </c>
      <c r="E362" s="42">
        <f>Source!I147</f>
        <v>4</v>
      </c>
      <c r="F362" s="43">
        <f>Source!AL147+Source!AM147+Source!AO147</f>
        <v>6.81</v>
      </c>
      <c r="G362" s="48" t="s">
        <v>6</v>
      </c>
      <c r="H362" s="43">
        <f>ROUND(Source!AC147*Source!I147, 2)+ROUND(Source!AD147*Source!I147, 2)+ROUND(Source!AF147*Source!I147, 2)</f>
        <v>27.24</v>
      </c>
      <c r="I362" s="44"/>
      <c r="J362" s="44">
        <f>IF(Source!BC147&lt;&gt; 0, Source!BC147, 1)</f>
        <v>6.11</v>
      </c>
      <c r="K362" s="43">
        <f>Source!O147</f>
        <v>166.44</v>
      </c>
      <c r="L362" s="49"/>
      <c r="S362">
        <f>ROUND((Source!FX147/100)*((ROUND(Source!AF147*Source!I147, 2)+ROUND(Source!AE147*Source!I147, 2))), 2)</f>
        <v>0</v>
      </c>
      <c r="T362">
        <f>Source!X147</f>
        <v>0</v>
      </c>
      <c r="U362">
        <f>ROUND((Source!FY147/100)*((ROUND(Source!AF147*Source!I147, 2)+ROUND(Source!AE147*Source!I147, 2))), 2)</f>
        <v>0</v>
      </c>
      <c r="V362">
        <f>Source!Y147</f>
        <v>0</v>
      </c>
      <c r="W362">
        <f>IF(Source!BI147&lt;=1,H362, 0)</f>
        <v>27.24</v>
      </c>
      <c r="X362">
        <f>IF(Source!BI147=2,H362, 0)</f>
        <v>0</v>
      </c>
      <c r="Y362">
        <f>IF(Source!BI147=3,H362, 0)</f>
        <v>0</v>
      </c>
      <c r="Z362">
        <f>IF(Source!BI147=4,H362, 0)</f>
        <v>0</v>
      </c>
    </row>
    <row r="363" spans="1:26" ht="15" x14ac:dyDescent="0.25">
      <c r="G363" s="92">
        <f>H353+H354+H356+H357+H358+SUM(H360:H362)</f>
        <v>2853.1099999999997</v>
      </c>
      <c r="H363" s="92"/>
      <c r="J363" s="92">
        <f>K353+K354+K356+K357+K358+SUM(K360:K362)</f>
        <v>17434.230000000003</v>
      </c>
      <c r="K363" s="92"/>
      <c r="L363" s="46">
        <f>Source!U141</f>
        <v>11.3344</v>
      </c>
      <c r="O363" s="29">
        <f>G363</f>
        <v>2853.1099999999997</v>
      </c>
      <c r="P363" s="29">
        <f>J363</f>
        <v>17434.230000000003</v>
      </c>
      <c r="Q363" s="29">
        <f>L363</f>
        <v>11.3344</v>
      </c>
      <c r="W363">
        <f>IF(Source!BI141&lt;=1,H353+H354+H356+H357+H358, 0)</f>
        <v>410.71000000000004</v>
      </c>
      <c r="X363">
        <f>IF(Source!BI141=2,H353+H354+H356+H357+H358, 0)</f>
        <v>0</v>
      </c>
      <c r="Y363">
        <f>IF(Source!BI141=3,H353+H354+H356+H357+H358, 0)</f>
        <v>0</v>
      </c>
      <c r="Z363">
        <f>IF(Source!BI141=4,H353+H354+H356+H357+H358, 0)</f>
        <v>0</v>
      </c>
    </row>
    <row r="364" spans="1:26" ht="28.5" x14ac:dyDescent="0.2">
      <c r="A364" s="51" t="str">
        <f>Source!E149</f>
        <v>36</v>
      </c>
      <c r="B364" s="52" t="str">
        <f>Source!F149</f>
        <v>17-01-001-16</v>
      </c>
      <c r="C364" s="52" t="str">
        <f>Source!G149</f>
        <v>Установка биде</v>
      </c>
      <c r="D364" s="35" t="str">
        <f>Source!H149</f>
        <v>10 компл</v>
      </c>
      <c r="E364" s="13">
        <f>Source!I149</f>
        <v>0.1</v>
      </c>
      <c r="F364" s="36">
        <f>Source!AL149+Source!AM149+Source!AO149</f>
        <v>351.57</v>
      </c>
      <c r="G364" s="37"/>
      <c r="H364" s="36"/>
      <c r="I364" s="37" t="str">
        <f>Source!BO149</f>
        <v/>
      </c>
      <c r="J364" s="37"/>
      <c r="K364" s="36"/>
      <c r="L364" s="38"/>
      <c r="S364">
        <f>ROUND((Source!FX149/100)*((ROUND(Source!AF149*Source!I149, 2)+ROUND(Source!AE149*Source!I149, 2))), 2)</f>
        <v>39.36</v>
      </c>
      <c r="T364">
        <f>Source!X149</f>
        <v>240.06</v>
      </c>
      <c r="U364">
        <f>ROUND((Source!FY149/100)*((ROUND(Source!AF149*Source!I149, 2)+ROUND(Source!AE149*Source!I149, 2))), 2)</f>
        <v>24.11</v>
      </c>
      <c r="V364">
        <f>Source!Y149</f>
        <v>148.21</v>
      </c>
    </row>
    <row r="365" spans="1:26" x14ac:dyDescent="0.2">
      <c r="C365" s="28" t="str">
        <f>"Объем: "&amp;Source!I149&amp;"=1/"&amp;"10"</f>
        <v>Объем: 0,1=1/10</v>
      </c>
    </row>
    <row r="366" spans="1:26" ht="14.25" x14ac:dyDescent="0.2">
      <c r="A366" s="51"/>
      <c r="B366" s="52"/>
      <c r="C366" s="52" t="s">
        <v>850</v>
      </c>
      <c r="D366" s="35"/>
      <c r="E366" s="13"/>
      <c r="F366" s="36">
        <f>Source!AO149</f>
        <v>291.01</v>
      </c>
      <c r="G366" s="37" t="str">
        <f>Source!DG149</f>
        <v>)*1,15</v>
      </c>
      <c r="H366" s="36">
        <f>ROUND(Source!AF149*Source!I149, 2)</f>
        <v>33.47</v>
      </c>
      <c r="I366" s="37"/>
      <c r="J366" s="37">
        <f>IF(Source!BA149&lt;&gt; 0, Source!BA149, 1)</f>
        <v>6.11</v>
      </c>
      <c r="K366" s="36">
        <f>Source!S149</f>
        <v>204.48</v>
      </c>
      <c r="L366" s="38"/>
      <c r="R366">
        <f>H366</f>
        <v>33.47</v>
      </c>
    </row>
    <row r="367" spans="1:26" ht="14.25" x14ac:dyDescent="0.2">
      <c r="A367" s="51"/>
      <c r="B367" s="52"/>
      <c r="C367" s="52" t="s">
        <v>392</v>
      </c>
      <c r="D367" s="35"/>
      <c r="E367" s="13"/>
      <c r="F367" s="36">
        <f>Source!AM149</f>
        <v>25.74</v>
      </c>
      <c r="G367" s="37" t="str">
        <f>Source!DE149</f>
        <v>)*1,25</v>
      </c>
      <c r="H367" s="36">
        <f>ROUND(Source!AD149*Source!I149, 2)</f>
        <v>3.22</v>
      </c>
      <c r="I367" s="37"/>
      <c r="J367" s="37">
        <f>IF(Source!BB149&lt;&gt; 0, Source!BB149, 1)</f>
        <v>6.11</v>
      </c>
      <c r="K367" s="36">
        <f>Source!Q149</f>
        <v>19.66</v>
      </c>
      <c r="L367" s="38"/>
    </row>
    <row r="368" spans="1:26" ht="14.25" x14ac:dyDescent="0.2">
      <c r="A368" s="51"/>
      <c r="B368" s="52"/>
      <c r="C368" s="52" t="s">
        <v>851</v>
      </c>
      <c r="D368" s="35"/>
      <c r="E368" s="13"/>
      <c r="F368" s="36">
        <f>Source!AN149</f>
        <v>5.59</v>
      </c>
      <c r="G368" s="37" t="str">
        <f>Source!DF149</f>
        <v>)*1,25</v>
      </c>
      <c r="H368" s="39">
        <f>ROUND(Source!AE149*Source!I149, 2)</f>
        <v>0.7</v>
      </c>
      <c r="I368" s="37"/>
      <c r="J368" s="37">
        <f>IF(Source!BS149&lt;&gt; 0, Source!BS149, 1)</f>
        <v>6.11</v>
      </c>
      <c r="K368" s="39">
        <f>Source!R149</f>
        <v>4.2699999999999996</v>
      </c>
      <c r="L368" s="38"/>
      <c r="R368">
        <f>H368</f>
        <v>0.7</v>
      </c>
    </row>
    <row r="369" spans="1:26" ht="14.25" x14ac:dyDescent="0.2">
      <c r="A369" s="51"/>
      <c r="B369" s="52"/>
      <c r="C369" s="52" t="s">
        <v>857</v>
      </c>
      <c r="D369" s="35"/>
      <c r="E369" s="13"/>
      <c r="F369" s="36">
        <f>Source!AL149</f>
        <v>34.82</v>
      </c>
      <c r="G369" s="37" t="str">
        <f>Source!DD149</f>
        <v/>
      </c>
      <c r="H369" s="36">
        <f>ROUND(Source!AC149*Source!I149, 2)</f>
        <v>3.48</v>
      </c>
      <c r="I369" s="37"/>
      <c r="J369" s="37">
        <f>IF(Source!BC149&lt;&gt; 0, Source!BC149, 1)</f>
        <v>6.11</v>
      </c>
      <c r="K369" s="36">
        <f>Source!P149</f>
        <v>21.28</v>
      </c>
      <c r="L369" s="38"/>
    </row>
    <row r="370" spans="1:26" ht="14.25" x14ac:dyDescent="0.2">
      <c r="A370" s="51"/>
      <c r="B370" s="52"/>
      <c r="C370" s="52" t="s">
        <v>852</v>
      </c>
      <c r="D370" s="35" t="s">
        <v>853</v>
      </c>
      <c r="E370" s="13">
        <f>Source!BZ149</f>
        <v>128</v>
      </c>
      <c r="F370" s="80" t="str">
        <f>CONCATENATE(" )", Source!DL149, Source!FT149, "=", Source!FX149)</f>
        <v xml:space="preserve"> )*0,9=115,2</v>
      </c>
      <c r="G370" s="91"/>
      <c r="H370" s="36">
        <f>SUM(S364:S374)</f>
        <v>39.36</v>
      </c>
      <c r="I370" s="40"/>
      <c r="J370" s="33">
        <f>Source!AT149</f>
        <v>115</v>
      </c>
      <c r="K370" s="36">
        <f>SUM(T364:T374)</f>
        <v>240.06</v>
      </c>
      <c r="L370" s="38"/>
    </row>
    <row r="371" spans="1:26" ht="14.25" x14ac:dyDescent="0.2">
      <c r="A371" s="51"/>
      <c r="B371" s="52"/>
      <c r="C371" s="52" t="s">
        <v>854</v>
      </c>
      <c r="D371" s="35" t="s">
        <v>853</v>
      </c>
      <c r="E371" s="13">
        <f>Source!CA149</f>
        <v>83</v>
      </c>
      <c r="F371" s="80" t="str">
        <f>CONCATENATE(" )", Source!DM149, Source!FU149, "=", Source!FY149)</f>
        <v xml:space="preserve"> )*0,85=70,55</v>
      </c>
      <c r="G371" s="91"/>
      <c r="H371" s="36">
        <f>SUM(U364:U374)</f>
        <v>24.11</v>
      </c>
      <c r="I371" s="40"/>
      <c r="J371" s="33">
        <f>Source!AU149</f>
        <v>71</v>
      </c>
      <c r="K371" s="36">
        <f>SUM(V364:V374)</f>
        <v>148.21</v>
      </c>
      <c r="L371" s="38"/>
    </row>
    <row r="372" spans="1:26" ht="14.25" x14ac:dyDescent="0.2">
      <c r="A372" s="51"/>
      <c r="B372" s="52"/>
      <c r="C372" s="52" t="s">
        <v>855</v>
      </c>
      <c r="D372" s="35" t="s">
        <v>856</v>
      </c>
      <c r="E372" s="13">
        <f>Source!AQ149</f>
        <v>30.25</v>
      </c>
      <c r="F372" s="36"/>
      <c r="G372" s="37" t="str">
        <f>Source!DI149</f>
        <v>)*1,15</v>
      </c>
      <c r="H372" s="36"/>
      <c r="I372" s="37"/>
      <c r="J372" s="37"/>
      <c r="K372" s="36"/>
      <c r="L372" s="47">
        <f>Source!U149</f>
        <v>3.4787499999999998</v>
      </c>
    </row>
    <row r="373" spans="1:26" ht="42.75" x14ac:dyDescent="0.2">
      <c r="A373" s="51" t="str">
        <f>Source!E151</f>
        <v>36,1</v>
      </c>
      <c r="B373" s="52" t="str">
        <f>Source!F151</f>
        <v>18.2.01.01-0001</v>
      </c>
      <c r="C373" s="52" t="str">
        <f>Source!G151</f>
        <v>Биде полуфарфоровые со смесителем, выпуском и сифоном, размером 600х350х348, 640х350х380 мм</v>
      </c>
      <c r="D373" s="35" t="str">
        <f>Source!H151</f>
        <v>компл.</v>
      </c>
      <c r="E373" s="13">
        <f>Source!I151</f>
        <v>1</v>
      </c>
      <c r="F373" s="36">
        <f>Source!AL151+Source!AM151+Source!AO151</f>
        <v>692.34</v>
      </c>
      <c r="G373" s="50" t="s">
        <v>6</v>
      </c>
      <c r="H373" s="36">
        <f>ROUND(Source!AC151*Source!I151, 2)+ROUND(Source!AD151*Source!I151, 2)+ROUND(Source!AF151*Source!I151, 2)</f>
        <v>692.34</v>
      </c>
      <c r="I373" s="37"/>
      <c r="J373" s="37">
        <f>IF(Source!BC151&lt;&gt; 0, Source!BC151, 1)</f>
        <v>6.11</v>
      </c>
      <c r="K373" s="36">
        <f>Source!O151</f>
        <v>4230.2</v>
      </c>
      <c r="L373" s="38"/>
      <c r="S373">
        <f>ROUND((Source!FX151/100)*((ROUND(Source!AF151*Source!I151, 2)+ROUND(Source!AE151*Source!I151, 2))), 2)</f>
        <v>0</v>
      </c>
      <c r="T373">
        <f>Source!X151</f>
        <v>0</v>
      </c>
      <c r="U373">
        <f>ROUND((Source!FY151/100)*((ROUND(Source!AF151*Source!I151, 2)+ROUND(Source!AE151*Source!I151, 2))), 2)</f>
        <v>0</v>
      </c>
      <c r="V373">
        <f>Source!Y151</f>
        <v>0</v>
      </c>
      <c r="W373">
        <f>IF(Source!BI151&lt;=1,H373, 0)</f>
        <v>692.34</v>
      </c>
      <c r="X373">
        <f>IF(Source!BI151=2,H373, 0)</f>
        <v>0</v>
      </c>
      <c r="Y373">
        <f>IF(Source!BI151=3,H373, 0)</f>
        <v>0</v>
      </c>
      <c r="Z373">
        <f>IF(Source!BI151=4,H373, 0)</f>
        <v>0</v>
      </c>
    </row>
    <row r="374" spans="1:26" ht="14.25" x14ac:dyDescent="0.2">
      <c r="A374" s="53" t="str">
        <f>Source!E153</f>
        <v>36,2</v>
      </c>
      <c r="B374" s="54" t="str">
        <f>Source!F153</f>
        <v>18.2.06.12</v>
      </c>
      <c r="C374" s="54" t="str">
        <f>Source!G153</f>
        <v>Приборы санитарно-технические</v>
      </c>
      <c r="D374" s="41" t="str">
        <f>Source!H153</f>
        <v>компл.</v>
      </c>
      <c r="E374" s="42">
        <f>Source!I153</f>
        <v>1</v>
      </c>
      <c r="F374" s="43">
        <f>Source!AL153+Source!AM153+Source!AO153</f>
        <v>0</v>
      </c>
      <c r="G374" s="48" t="s">
        <v>6</v>
      </c>
      <c r="H374" s="43">
        <f>ROUND(Source!AC153*Source!I153, 2)+ROUND(Source!AD153*Source!I153, 2)+ROUND(Source!AF153*Source!I153, 2)</f>
        <v>0</v>
      </c>
      <c r="I374" s="44"/>
      <c r="J374" s="44">
        <f>IF(Source!BC153&lt;&gt; 0, Source!BC153, 1)</f>
        <v>6.11</v>
      </c>
      <c r="K374" s="43">
        <f>Source!O153</f>
        <v>0</v>
      </c>
      <c r="L374" s="49"/>
      <c r="S374">
        <f>ROUND((Source!FX153/100)*((ROUND(Source!AF153*Source!I153, 2)+ROUND(Source!AE153*Source!I153, 2))), 2)</f>
        <v>0</v>
      </c>
      <c r="T374">
        <f>Source!X153</f>
        <v>0</v>
      </c>
      <c r="U374">
        <f>ROUND((Source!FY153/100)*((ROUND(Source!AF153*Source!I153, 2)+ROUND(Source!AE153*Source!I153, 2))), 2)</f>
        <v>0</v>
      </c>
      <c r="V374">
        <f>Source!Y153</f>
        <v>0</v>
      </c>
      <c r="W374">
        <f>IF(Source!BI153&lt;=1,H374, 0)</f>
        <v>0</v>
      </c>
      <c r="X374">
        <f>IF(Source!BI153=2,H374, 0)</f>
        <v>0</v>
      </c>
      <c r="Y374">
        <f>IF(Source!BI153=3,H374, 0)</f>
        <v>0</v>
      </c>
      <c r="Z374">
        <f>IF(Source!BI153=4,H374, 0)</f>
        <v>0</v>
      </c>
    </row>
    <row r="375" spans="1:26" ht="15" x14ac:dyDescent="0.25">
      <c r="G375" s="92">
        <f>H366+H367+H369+H370+H371+SUM(H373:H374)</f>
        <v>795.98</v>
      </c>
      <c r="H375" s="92"/>
      <c r="J375" s="92">
        <f>K366+K367+K369+K370+K371+SUM(K373:K374)</f>
        <v>4863.8899999999994</v>
      </c>
      <c r="K375" s="92"/>
      <c r="L375" s="46">
        <f>Source!U149</f>
        <v>3.4787499999999998</v>
      </c>
      <c r="O375" s="29">
        <f>G375</f>
        <v>795.98</v>
      </c>
      <c r="P375" s="29">
        <f>J375</f>
        <v>4863.8899999999994</v>
      </c>
      <c r="Q375" s="29">
        <f>L375</f>
        <v>3.4787499999999998</v>
      </c>
      <c r="W375">
        <f>IF(Source!BI149&lt;=1,H366+H367+H369+H370+H371, 0)</f>
        <v>103.64</v>
      </c>
      <c r="X375">
        <f>IF(Source!BI149=2,H366+H367+H369+H370+H371, 0)</f>
        <v>0</v>
      </c>
      <c r="Y375">
        <f>IF(Source!BI149=3,H366+H367+H369+H370+H371, 0)</f>
        <v>0</v>
      </c>
      <c r="Z375">
        <f>IF(Source!BI149=4,H366+H367+H369+H370+H371, 0)</f>
        <v>0</v>
      </c>
    </row>
    <row r="376" spans="1:26" ht="28.5" x14ac:dyDescent="0.2">
      <c r="A376" s="51" t="str">
        <f>Source!E155</f>
        <v>37</v>
      </c>
      <c r="B376" s="52" t="str">
        <f>Source!F155</f>
        <v>17-01-001-14</v>
      </c>
      <c r="C376" s="52" t="str">
        <f>Source!G155</f>
        <v>Установка умывальников одиночных с подводкой холодной и горячей воды</v>
      </c>
      <c r="D376" s="35" t="str">
        <f>Source!H155</f>
        <v>10 компл</v>
      </c>
      <c r="E376" s="13">
        <f>Source!I155</f>
        <v>0.1</v>
      </c>
      <c r="F376" s="36">
        <f>Source!AL155+Source!AM155+Source!AO155</f>
        <v>268.98</v>
      </c>
      <c r="G376" s="37"/>
      <c r="H376" s="36"/>
      <c r="I376" s="37" t="str">
        <f>Source!BO155</f>
        <v/>
      </c>
      <c r="J376" s="37"/>
      <c r="K376" s="36"/>
      <c r="L376" s="38"/>
      <c r="S376">
        <f>ROUND((Source!FX155/100)*((ROUND(Source!AF155*Source!I155, 2)+ROUND(Source!AE155*Source!I155, 2))), 2)</f>
        <v>28.21</v>
      </c>
      <c r="T376">
        <f>Source!X155</f>
        <v>172.07</v>
      </c>
      <c r="U376">
        <f>ROUND((Source!FY155/100)*((ROUND(Source!AF155*Source!I155, 2)+ROUND(Source!AE155*Source!I155, 2))), 2)</f>
        <v>17.28</v>
      </c>
      <c r="V376">
        <f>Source!Y155</f>
        <v>106.24</v>
      </c>
    </row>
    <row r="377" spans="1:26" x14ac:dyDescent="0.2">
      <c r="C377" s="28" t="str">
        <f>"Объем: "&amp;Source!I155&amp;"=1/"&amp;"10"</f>
        <v>Объем: 0,1=1/10</v>
      </c>
    </row>
    <row r="378" spans="1:26" ht="14.25" x14ac:dyDescent="0.2">
      <c r="A378" s="51"/>
      <c r="B378" s="52"/>
      <c r="C378" s="52" t="s">
        <v>850</v>
      </c>
      <c r="D378" s="35"/>
      <c r="E378" s="13"/>
      <c r="F378" s="36">
        <f>Source!AO155</f>
        <v>208.27</v>
      </c>
      <c r="G378" s="37" t="str">
        <f>Source!DG155</f>
        <v>)*1,15</v>
      </c>
      <c r="H378" s="36">
        <f>ROUND(Source!AF155*Source!I155, 2)</f>
        <v>23.95</v>
      </c>
      <c r="I378" s="37"/>
      <c r="J378" s="37">
        <f>IF(Source!BA155&lt;&gt; 0, Source!BA155, 1)</f>
        <v>6.11</v>
      </c>
      <c r="K378" s="36">
        <f>Source!S155</f>
        <v>146.34</v>
      </c>
      <c r="L378" s="38"/>
      <c r="R378">
        <f>H378</f>
        <v>23.95</v>
      </c>
    </row>
    <row r="379" spans="1:26" ht="14.25" x14ac:dyDescent="0.2">
      <c r="A379" s="51"/>
      <c r="B379" s="52"/>
      <c r="C379" s="52" t="s">
        <v>392</v>
      </c>
      <c r="D379" s="35"/>
      <c r="E379" s="13"/>
      <c r="F379" s="36">
        <f>Source!AM155</f>
        <v>18.52</v>
      </c>
      <c r="G379" s="37" t="str">
        <f>Source!DE155</f>
        <v>)*1,25</v>
      </c>
      <c r="H379" s="36">
        <f>ROUND(Source!AD155*Source!I155, 2)</f>
        <v>2.3199999999999998</v>
      </c>
      <c r="I379" s="37"/>
      <c r="J379" s="37">
        <f>IF(Source!BB155&lt;&gt; 0, Source!BB155, 1)</f>
        <v>6.11</v>
      </c>
      <c r="K379" s="36">
        <f>Source!Q155</f>
        <v>14.14</v>
      </c>
      <c r="L379" s="38"/>
    </row>
    <row r="380" spans="1:26" ht="14.25" x14ac:dyDescent="0.2">
      <c r="A380" s="51"/>
      <c r="B380" s="52"/>
      <c r="C380" s="52" t="s">
        <v>851</v>
      </c>
      <c r="D380" s="35"/>
      <c r="E380" s="13"/>
      <c r="F380" s="36">
        <f>Source!AN155</f>
        <v>4.3099999999999996</v>
      </c>
      <c r="G380" s="37" t="str">
        <f>Source!DF155</f>
        <v>)*1,25</v>
      </c>
      <c r="H380" s="39">
        <f>ROUND(Source!AE155*Source!I155, 2)</f>
        <v>0.54</v>
      </c>
      <c r="I380" s="37"/>
      <c r="J380" s="37">
        <f>IF(Source!BS155&lt;&gt; 0, Source!BS155, 1)</f>
        <v>6.11</v>
      </c>
      <c r="K380" s="39">
        <f>Source!R155</f>
        <v>3.29</v>
      </c>
      <c r="L380" s="38"/>
      <c r="R380">
        <f>H380</f>
        <v>0.54</v>
      </c>
    </row>
    <row r="381" spans="1:26" ht="14.25" x14ac:dyDescent="0.2">
      <c r="A381" s="51"/>
      <c r="B381" s="52"/>
      <c r="C381" s="52" t="s">
        <v>857</v>
      </c>
      <c r="D381" s="35"/>
      <c r="E381" s="13"/>
      <c r="F381" s="36">
        <f>Source!AL155</f>
        <v>42.19</v>
      </c>
      <c r="G381" s="37" t="str">
        <f>Source!DD155</f>
        <v/>
      </c>
      <c r="H381" s="36">
        <f>ROUND(Source!AC155*Source!I155, 2)</f>
        <v>4.22</v>
      </c>
      <c r="I381" s="37"/>
      <c r="J381" s="37">
        <f>IF(Source!BC155&lt;&gt; 0, Source!BC155, 1)</f>
        <v>6.11</v>
      </c>
      <c r="K381" s="36">
        <f>Source!P155</f>
        <v>25.78</v>
      </c>
      <c r="L381" s="38"/>
    </row>
    <row r="382" spans="1:26" ht="14.25" x14ac:dyDescent="0.2">
      <c r="A382" s="51"/>
      <c r="B382" s="52"/>
      <c r="C382" s="52" t="s">
        <v>852</v>
      </c>
      <c r="D382" s="35" t="s">
        <v>853</v>
      </c>
      <c r="E382" s="13">
        <f>Source!BZ155</f>
        <v>128</v>
      </c>
      <c r="F382" s="80" t="str">
        <f>CONCATENATE(" )", Source!DL155, Source!FT155, "=", Source!FX155)</f>
        <v xml:space="preserve"> )*0,9=115,2</v>
      </c>
      <c r="G382" s="91"/>
      <c r="H382" s="36">
        <f>SUM(S376:S386)</f>
        <v>28.21</v>
      </c>
      <c r="I382" s="40"/>
      <c r="J382" s="33">
        <f>Source!AT155</f>
        <v>115</v>
      </c>
      <c r="K382" s="36">
        <f>SUM(T376:T386)</f>
        <v>172.07</v>
      </c>
      <c r="L382" s="38"/>
    </row>
    <row r="383" spans="1:26" ht="14.25" x14ac:dyDescent="0.2">
      <c r="A383" s="51"/>
      <c r="B383" s="52"/>
      <c r="C383" s="52" t="s">
        <v>854</v>
      </c>
      <c r="D383" s="35" t="s">
        <v>853</v>
      </c>
      <c r="E383" s="13">
        <f>Source!CA155</f>
        <v>83</v>
      </c>
      <c r="F383" s="80" t="str">
        <f>CONCATENATE(" )", Source!DM155, Source!FU155, "=", Source!FY155)</f>
        <v xml:space="preserve"> )*0,85=70,55</v>
      </c>
      <c r="G383" s="91"/>
      <c r="H383" s="36">
        <f>SUM(U376:U386)</f>
        <v>17.28</v>
      </c>
      <c r="I383" s="40"/>
      <c r="J383" s="33">
        <f>Source!AU155</f>
        <v>71</v>
      </c>
      <c r="K383" s="36">
        <f>SUM(V376:V386)</f>
        <v>106.24</v>
      </c>
      <c r="L383" s="38"/>
    </row>
    <row r="384" spans="1:26" ht="14.25" x14ac:dyDescent="0.2">
      <c r="A384" s="51"/>
      <c r="B384" s="52"/>
      <c r="C384" s="52" t="s">
        <v>855</v>
      </c>
      <c r="D384" s="35" t="s">
        <v>856</v>
      </c>
      <c r="E384" s="13">
        <f>Source!AQ155</f>
        <v>21.65</v>
      </c>
      <c r="F384" s="36"/>
      <c r="G384" s="37" t="str">
        <f>Source!DI155</f>
        <v>)*1,15</v>
      </c>
      <c r="H384" s="36"/>
      <c r="I384" s="37"/>
      <c r="J384" s="37"/>
      <c r="K384" s="36"/>
      <c r="L384" s="47">
        <f>Source!U155</f>
        <v>2.4897499999999999</v>
      </c>
    </row>
    <row r="385" spans="1:26" ht="99.75" x14ac:dyDescent="0.2">
      <c r="A385" s="51" t="str">
        <f>Source!E157</f>
        <v>37,1</v>
      </c>
      <c r="B385" s="52" t="str">
        <f>Source!F157</f>
        <v>18.2.01.05-0003</v>
      </c>
      <c r="C385" s="52" t="str">
        <f>Source!G157</f>
        <v>Умывальники полуфарфоровые и фарфоровые с краном настольным, кронштейнами, сифоном бутылочным латунным и выпуском, овальные с выступающими установочными поверхностями без спинки размером 550х500х150 мм</v>
      </c>
      <c r="D385" s="35" t="str">
        <f>Source!H157</f>
        <v>компл.</v>
      </c>
      <c r="E385" s="13">
        <f>Source!I157</f>
        <v>1</v>
      </c>
      <c r="F385" s="36">
        <f>Source!AL157+Source!AM157+Source!AO157</f>
        <v>246.43</v>
      </c>
      <c r="G385" s="50" t="s">
        <v>6</v>
      </c>
      <c r="H385" s="36">
        <f>ROUND(Source!AC157*Source!I157, 2)+ROUND(Source!AD157*Source!I157, 2)+ROUND(Source!AF157*Source!I157, 2)</f>
        <v>246.43</v>
      </c>
      <c r="I385" s="37"/>
      <c r="J385" s="37">
        <f>IF(Source!BC157&lt;&gt; 0, Source!BC157, 1)</f>
        <v>6.11</v>
      </c>
      <c r="K385" s="36">
        <f>Source!O157</f>
        <v>1505.69</v>
      </c>
      <c r="L385" s="38"/>
      <c r="S385">
        <f>ROUND((Source!FX157/100)*((ROUND(Source!AF157*Source!I157, 2)+ROUND(Source!AE157*Source!I157, 2))), 2)</f>
        <v>0</v>
      </c>
      <c r="T385">
        <f>Source!X157</f>
        <v>0</v>
      </c>
      <c r="U385">
        <f>ROUND((Source!FY157/100)*((ROUND(Source!AF157*Source!I157, 2)+ROUND(Source!AE157*Source!I157, 2))), 2)</f>
        <v>0</v>
      </c>
      <c r="V385">
        <f>Source!Y157</f>
        <v>0</v>
      </c>
      <c r="W385">
        <f>IF(Source!BI157&lt;=1,H385, 0)</f>
        <v>246.43</v>
      </c>
      <c r="X385">
        <f>IF(Source!BI157=2,H385, 0)</f>
        <v>0</v>
      </c>
      <c r="Y385">
        <f>IF(Source!BI157=3,H385, 0)</f>
        <v>0</v>
      </c>
      <c r="Z385">
        <f>IF(Source!BI157=4,H385, 0)</f>
        <v>0</v>
      </c>
    </row>
    <row r="386" spans="1:26" ht="14.25" x14ac:dyDescent="0.2">
      <c r="A386" s="53" t="str">
        <f>Source!E159</f>
        <v>37,2</v>
      </c>
      <c r="B386" s="54" t="str">
        <f>Source!F159</f>
        <v>18.2.06.12</v>
      </c>
      <c r="C386" s="54" t="str">
        <f>Source!G159</f>
        <v>Приборы санитарно-технические</v>
      </c>
      <c r="D386" s="41" t="str">
        <f>Source!H159</f>
        <v>компл.</v>
      </c>
      <c r="E386" s="42">
        <f>Source!I159</f>
        <v>1</v>
      </c>
      <c r="F386" s="43">
        <f>Source!AL159+Source!AM159+Source!AO159</f>
        <v>0</v>
      </c>
      <c r="G386" s="48" t="s">
        <v>6</v>
      </c>
      <c r="H386" s="43">
        <f>ROUND(Source!AC159*Source!I159, 2)+ROUND(Source!AD159*Source!I159, 2)+ROUND(Source!AF159*Source!I159, 2)</f>
        <v>0</v>
      </c>
      <c r="I386" s="44"/>
      <c r="J386" s="44">
        <f>IF(Source!BC159&lt;&gt; 0, Source!BC159, 1)</f>
        <v>6.11</v>
      </c>
      <c r="K386" s="43">
        <f>Source!O159</f>
        <v>0</v>
      </c>
      <c r="L386" s="49"/>
      <c r="S386">
        <f>ROUND((Source!FX159/100)*((ROUND(Source!AF159*Source!I159, 2)+ROUND(Source!AE159*Source!I159, 2))), 2)</f>
        <v>0</v>
      </c>
      <c r="T386">
        <f>Source!X159</f>
        <v>0</v>
      </c>
      <c r="U386">
        <f>ROUND((Source!FY159/100)*((ROUND(Source!AF159*Source!I159, 2)+ROUND(Source!AE159*Source!I159, 2))), 2)</f>
        <v>0</v>
      </c>
      <c r="V386">
        <f>Source!Y159</f>
        <v>0</v>
      </c>
      <c r="W386">
        <f>IF(Source!BI159&lt;=1,H386, 0)</f>
        <v>0</v>
      </c>
      <c r="X386">
        <f>IF(Source!BI159=2,H386, 0)</f>
        <v>0</v>
      </c>
      <c r="Y386">
        <f>IF(Source!BI159=3,H386, 0)</f>
        <v>0</v>
      </c>
      <c r="Z386">
        <f>IF(Source!BI159=4,H386, 0)</f>
        <v>0</v>
      </c>
    </row>
    <row r="387" spans="1:26" ht="15" x14ac:dyDescent="0.25">
      <c r="G387" s="92">
        <f>H378+H379+H381+H382+H383+SUM(H385:H386)</f>
        <v>322.41000000000003</v>
      </c>
      <c r="H387" s="92"/>
      <c r="J387" s="92">
        <f>K378+K379+K381+K382+K383+SUM(K385:K386)</f>
        <v>1970.2600000000002</v>
      </c>
      <c r="K387" s="92"/>
      <c r="L387" s="46">
        <f>Source!U155</f>
        <v>2.4897499999999999</v>
      </c>
      <c r="O387" s="29">
        <f>G387</f>
        <v>322.41000000000003</v>
      </c>
      <c r="P387" s="29">
        <f>J387</f>
        <v>1970.2600000000002</v>
      </c>
      <c r="Q387" s="29">
        <f>L387</f>
        <v>2.4897499999999999</v>
      </c>
      <c r="W387">
        <f>IF(Source!BI155&lt;=1,H378+H379+H381+H382+H383, 0)</f>
        <v>75.98</v>
      </c>
      <c r="X387">
        <f>IF(Source!BI155=2,H378+H379+H381+H382+H383, 0)</f>
        <v>0</v>
      </c>
      <c r="Y387">
        <f>IF(Source!BI155=3,H378+H379+H381+H382+H383, 0)</f>
        <v>0</v>
      </c>
      <c r="Z387">
        <f>IF(Source!BI155=4,H378+H379+H381+H382+H383, 0)</f>
        <v>0</v>
      </c>
    </row>
    <row r="388" spans="1:26" ht="42.75" x14ac:dyDescent="0.2">
      <c r="A388" s="51" t="str">
        <f>Source!E161</f>
        <v>38</v>
      </c>
      <c r="B388" s="52" t="str">
        <f>Source!F161</f>
        <v>65-1-1</v>
      </c>
      <c r="C388" s="52" t="str">
        <f>Source!G161</f>
        <v>Разборка трубопроводов из водогазопроводных труб диаметром до 32 мм</v>
      </c>
      <c r="D388" s="35" t="str">
        <f>Source!H161</f>
        <v>100 м</v>
      </c>
      <c r="E388" s="13">
        <f>Source!I161</f>
        <v>7.0000000000000007E-2</v>
      </c>
      <c r="F388" s="36">
        <f>Source!AL161+Source!AM161+Source!AO161</f>
        <v>328.71</v>
      </c>
      <c r="G388" s="37"/>
      <c r="H388" s="36"/>
      <c r="I388" s="37" t="str">
        <f>Source!BO161</f>
        <v/>
      </c>
      <c r="J388" s="37"/>
      <c r="K388" s="36"/>
      <c r="L388" s="38"/>
      <c r="S388">
        <f>ROUND((Source!FX161/100)*((ROUND(Source!AF161*Source!I161, 2)+ROUND(Source!AE161*Source!I161, 2))), 2)</f>
        <v>17.239999999999998</v>
      </c>
      <c r="T388">
        <f>Source!X161</f>
        <v>105.32</v>
      </c>
      <c r="U388">
        <f>ROUND((Source!FY161/100)*((ROUND(Source!AF161*Source!I161, 2)+ROUND(Source!AE161*Source!I161, 2))), 2)</f>
        <v>11.65</v>
      </c>
      <c r="V388">
        <f>Source!Y161</f>
        <v>71.16</v>
      </c>
    </row>
    <row r="389" spans="1:26" x14ac:dyDescent="0.2">
      <c r="C389" s="28" t="str">
        <f>"Объем: "&amp;Source!I161&amp;"=7/"&amp;"100"</f>
        <v>Объем: 0,07=7/100</v>
      </c>
    </row>
    <row r="390" spans="1:26" ht="14.25" x14ac:dyDescent="0.2">
      <c r="A390" s="51"/>
      <c r="B390" s="52"/>
      <c r="C390" s="52" t="s">
        <v>850</v>
      </c>
      <c r="D390" s="35"/>
      <c r="E390" s="13"/>
      <c r="F390" s="36">
        <f>Source!AO161</f>
        <v>288.02</v>
      </c>
      <c r="G390" s="37" t="str">
        <f>Source!DG161</f>
        <v>)*1,15</v>
      </c>
      <c r="H390" s="36">
        <f>ROUND(Source!AF161*Source!I161, 2)</f>
        <v>23.19</v>
      </c>
      <c r="I390" s="37"/>
      <c r="J390" s="37">
        <f>IF(Source!BA161&lt;&gt; 0, Source!BA161, 1)</f>
        <v>6.11</v>
      </c>
      <c r="K390" s="36">
        <f>Source!S161</f>
        <v>141.66</v>
      </c>
      <c r="L390" s="38"/>
      <c r="R390">
        <f>H390</f>
        <v>23.19</v>
      </c>
    </row>
    <row r="391" spans="1:26" ht="14.25" x14ac:dyDescent="0.2">
      <c r="A391" s="51"/>
      <c r="B391" s="52"/>
      <c r="C391" s="52" t="s">
        <v>392</v>
      </c>
      <c r="D391" s="35"/>
      <c r="E391" s="13"/>
      <c r="F391" s="36">
        <f>Source!AM161</f>
        <v>7.09</v>
      </c>
      <c r="G391" s="37" t="str">
        <f>Source!DE161</f>
        <v>)*1,15</v>
      </c>
      <c r="H391" s="36">
        <f>ROUND(Source!AD161*Source!I161, 2)</f>
        <v>0.56999999999999995</v>
      </c>
      <c r="I391" s="37"/>
      <c r="J391" s="37">
        <f>IF(Source!BB161&lt;&gt; 0, Source!BB161, 1)</f>
        <v>6.11</v>
      </c>
      <c r="K391" s="36">
        <f>Source!Q161</f>
        <v>3.49</v>
      </c>
      <c r="L391" s="38"/>
    </row>
    <row r="392" spans="1:26" ht="14.25" x14ac:dyDescent="0.2">
      <c r="A392" s="51"/>
      <c r="B392" s="52"/>
      <c r="C392" s="52" t="s">
        <v>851</v>
      </c>
      <c r="D392" s="35"/>
      <c r="E392" s="13"/>
      <c r="F392" s="36">
        <f>Source!AN161</f>
        <v>1.35</v>
      </c>
      <c r="G392" s="37" t="str">
        <f>Source!DF161</f>
        <v>)*1,15</v>
      </c>
      <c r="H392" s="39">
        <f>ROUND(Source!AE161*Source!I161, 2)</f>
        <v>0.11</v>
      </c>
      <c r="I392" s="37"/>
      <c r="J392" s="37">
        <f>IF(Source!BS161&lt;&gt; 0, Source!BS161, 1)</f>
        <v>6.11</v>
      </c>
      <c r="K392" s="39">
        <f>Source!R161</f>
        <v>0.66</v>
      </c>
      <c r="L392" s="38"/>
      <c r="R392">
        <f>H392</f>
        <v>0.11</v>
      </c>
    </row>
    <row r="393" spans="1:26" ht="14.25" x14ac:dyDescent="0.2">
      <c r="A393" s="51"/>
      <c r="B393" s="52"/>
      <c r="C393" s="52" t="s">
        <v>857</v>
      </c>
      <c r="D393" s="35"/>
      <c r="E393" s="13"/>
      <c r="F393" s="36">
        <f>Source!AL161</f>
        <v>33.6</v>
      </c>
      <c r="G393" s="37" t="str">
        <f>Source!DD161</f>
        <v/>
      </c>
      <c r="H393" s="36">
        <f>ROUND(Source!AC161*Source!I161, 2)</f>
        <v>2.35</v>
      </c>
      <c r="I393" s="37"/>
      <c r="J393" s="37">
        <f>IF(Source!BC161&lt;&gt; 0, Source!BC161, 1)</f>
        <v>6.11</v>
      </c>
      <c r="K393" s="36">
        <f>Source!P161</f>
        <v>14.37</v>
      </c>
      <c r="L393" s="38"/>
    </row>
    <row r="394" spans="1:26" ht="14.25" x14ac:dyDescent="0.2">
      <c r="A394" s="51"/>
      <c r="B394" s="52"/>
      <c r="C394" s="52" t="s">
        <v>852</v>
      </c>
      <c r="D394" s="35" t="s">
        <v>853</v>
      </c>
      <c r="E394" s="13">
        <f>Source!BZ161</f>
        <v>74</v>
      </c>
      <c r="F394" s="55"/>
      <c r="G394" s="37"/>
      <c r="H394" s="36">
        <f>SUM(S388:S396)</f>
        <v>17.239999999999998</v>
      </c>
      <c r="I394" s="40"/>
      <c r="J394" s="33">
        <f>Source!AT161</f>
        <v>74</v>
      </c>
      <c r="K394" s="36">
        <f>SUM(T388:T396)</f>
        <v>105.32</v>
      </c>
      <c r="L394" s="38"/>
    </row>
    <row r="395" spans="1:26" ht="14.25" x14ac:dyDescent="0.2">
      <c r="A395" s="51"/>
      <c r="B395" s="52"/>
      <c r="C395" s="52" t="s">
        <v>854</v>
      </c>
      <c r="D395" s="35" t="s">
        <v>853</v>
      </c>
      <c r="E395" s="13">
        <f>Source!CA161</f>
        <v>50</v>
      </c>
      <c r="F395" s="55"/>
      <c r="G395" s="37"/>
      <c r="H395" s="36">
        <f>SUM(U388:U396)</f>
        <v>11.65</v>
      </c>
      <c r="I395" s="40"/>
      <c r="J395" s="33">
        <f>Source!AU161</f>
        <v>50</v>
      </c>
      <c r="K395" s="36">
        <f>SUM(V388:V396)</f>
        <v>71.16</v>
      </c>
      <c r="L395" s="38"/>
    </row>
    <row r="396" spans="1:26" ht="14.25" x14ac:dyDescent="0.2">
      <c r="A396" s="53"/>
      <c r="B396" s="54"/>
      <c r="C396" s="54" t="s">
        <v>855</v>
      </c>
      <c r="D396" s="41" t="s">
        <v>856</v>
      </c>
      <c r="E396" s="42">
        <f>Source!AQ161</f>
        <v>34.659999999999997</v>
      </c>
      <c r="F396" s="43"/>
      <c r="G396" s="44" t="str">
        <f>Source!DI161</f>
        <v>)*1,15</v>
      </c>
      <c r="H396" s="43"/>
      <c r="I396" s="44"/>
      <c r="J396" s="44"/>
      <c r="K396" s="43"/>
      <c r="L396" s="45">
        <f>Source!U161</f>
        <v>2.79013</v>
      </c>
    </row>
    <row r="397" spans="1:26" ht="15" x14ac:dyDescent="0.25">
      <c r="G397" s="92">
        <f>H390+H391+H393+H394+H395</f>
        <v>55</v>
      </c>
      <c r="H397" s="92"/>
      <c r="J397" s="92">
        <f>K390+K391+K393+K394+K395</f>
        <v>336</v>
      </c>
      <c r="K397" s="92"/>
      <c r="L397" s="46">
        <f>Source!U161</f>
        <v>2.79013</v>
      </c>
      <c r="O397" s="29">
        <f>G397</f>
        <v>55</v>
      </c>
      <c r="P397" s="29">
        <f>J397</f>
        <v>336</v>
      </c>
      <c r="Q397" s="29">
        <f>L397</f>
        <v>2.79013</v>
      </c>
      <c r="W397">
        <f>IF(Source!BI161&lt;=1,H390+H391+H393+H394+H395, 0)</f>
        <v>55</v>
      </c>
      <c r="X397">
        <f>IF(Source!BI161=2,H390+H391+H393+H394+H395, 0)</f>
        <v>0</v>
      </c>
      <c r="Y397">
        <f>IF(Source!BI161=3,H390+H391+H393+H394+H395, 0)</f>
        <v>0</v>
      </c>
      <c r="Z397">
        <f>IF(Source!BI161=4,H390+H391+H393+H394+H395, 0)</f>
        <v>0</v>
      </c>
    </row>
    <row r="398" spans="1:26" ht="42.75" x14ac:dyDescent="0.2">
      <c r="A398" s="51" t="str">
        <f>Source!E163</f>
        <v>39</v>
      </c>
      <c r="B398" s="52" t="str">
        <f>Source!F163</f>
        <v>16-04-005-01</v>
      </c>
      <c r="C398" s="52" t="str">
        <f>Source!G163</f>
        <v>Прокладка внутренних трубопроводов водоснабжения и отопления из полипропиленовых труб 20 мм</v>
      </c>
      <c r="D398" s="35" t="str">
        <f>Source!H163</f>
        <v>100 м</v>
      </c>
      <c r="E398" s="13">
        <f>Source!I163</f>
        <v>0.2</v>
      </c>
      <c r="F398" s="36">
        <f>Source!AL163+Source!AM163+Source!AO163</f>
        <v>1428.21</v>
      </c>
      <c r="G398" s="37"/>
      <c r="H398" s="36"/>
      <c r="I398" s="37" t="str">
        <f>Source!BO163</f>
        <v/>
      </c>
      <c r="J398" s="37"/>
      <c r="K398" s="36"/>
      <c r="L398" s="38"/>
      <c r="S398">
        <f>ROUND((Source!FX163/100)*((ROUND(Source!AF163*Source!I163, 2)+ROUND(Source!AE163*Source!I163, 2))), 2)</f>
        <v>244.32</v>
      </c>
      <c r="T398">
        <f>Source!X163</f>
        <v>1490.17</v>
      </c>
      <c r="U398">
        <f>ROUND((Source!FY163/100)*((ROUND(Source!AF163*Source!I163, 2)+ROUND(Source!AE163*Source!I163, 2))), 2)</f>
        <v>149.62</v>
      </c>
      <c r="V398">
        <f>Source!Y163</f>
        <v>920.02</v>
      </c>
    </row>
    <row r="399" spans="1:26" x14ac:dyDescent="0.2">
      <c r="C399" s="28" t="str">
        <f>"Объем: "&amp;Source!I163&amp;"=20/"&amp;"100"</f>
        <v>Объем: 0,2=20/100</v>
      </c>
    </row>
    <row r="400" spans="1:26" ht="14.25" x14ac:dyDescent="0.2">
      <c r="A400" s="51"/>
      <c r="B400" s="52"/>
      <c r="C400" s="52" t="s">
        <v>850</v>
      </c>
      <c r="D400" s="35"/>
      <c r="E400" s="13"/>
      <c r="F400" s="36">
        <f>Source!AO163</f>
        <v>921.99</v>
      </c>
      <c r="G400" s="37" t="str">
        <f>Source!DG163</f>
        <v>)*1,15</v>
      </c>
      <c r="H400" s="36">
        <f>ROUND(Source!AF163*Source!I163, 2)</f>
        <v>212.06</v>
      </c>
      <c r="I400" s="37"/>
      <c r="J400" s="37">
        <f>IF(Source!BA163&lt;&gt; 0, Source!BA163, 1)</f>
        <v>6.11</v>
      </c>
      <c r="K400" s="36">
        <f>Source!S163</f>
        <v>1295.67</v>
      </c>
      <c r="L400" s="38"/>
      <c r="R400">
        <f>H400</f>
        <v>212.06</v>
      </c>
    </row>
    <row r="401" spans="1:26" ht="14.25" x14ac:dyDescent="0.2">
      <c r="A401" s="51"/>
      <c r="B401" s="52"/>
      <c r="C401" s="52" t="s">
        <v>392</v>
      </c>
      <c r="D401" s="35"/>
      <c r="E401" s="13"/>
      <c r="F401" s="36">
        <f>Source!AM163</f>
        <v>468.26</v>
      </c>
      <c r="G401" s="37" t="str">
        <f>Source!DE163</f>
        <v>)*1,25</v>
      </c>
      <c r="H401" s="36">
        <f>ROUND(Source!AD163*Source!I163, 2)</f>
        <v>117.06</v>
      </c>
      <c r="I401" s="37"/>
      <c r="J401" s="37">
        <f>IF(Source!BB163&lt;&gt; 0, Source!BB163, 1)</f>
        <v>6.11</v>
      </c>
      <c r="K401" s="36">
        <f>Source!Q163</f>
        <v>715.26</v>
      </c>
      <c r="L401" s="38"/>
    </row>
    <row r="402" spans="1:26" ht="14.25" x14ac:dyDescent="0.2">
      <c r="A402" s="51"/>
      <c r="B402" s="52"/>
      <c r="C402" s="52" t="s">
        <v>851</v>
      </c>
      <c r="D402" s="35"/>
      <c r="E402" s="13"/>
      <c r="F402" s="36">
        <f>Source!AN163</f>
        <v>0.09</v>
      </c>
      <c r="G402" s="37" t="str">
        <f>Source!DF163</f>
        <v>)*1,25</v>
      </c>
      <c r="H402" s="39">
        <f>ROUND(Source!AE163*Source!I163, 2)</f>
        <v>0.02</v>
      </c>
      <c r="I402" s="37"/>
      <c r="J402" s="37">
        <f>IF(Source!BS163&lt;&gt; 0, Source!BS163, 1)</f>
        <v>6.11</v>
      </c>
      <c r="K402" s="39">
        <f>Source!R163</f>
        <v>0.13</v>
      </c>
      <c r="L402" s="38"/>
      <c r="R402">
        <f>H402</f>
        <v>0.02</v>
      </c>
    </row>
    <row r="403" spans="1:26" ht="14.25" x14ac:dyDescent="0.2">
      <c r="A403" s="51"/>
      <c r="B403" s="52"/>
      <c r="C403" s="52" t="s">
        <v>857</v>
      </c>
      <c r="D403" s="35"/>
      <c r="E403" s="13"/>
      <c r="F403" s="36">
        <f>Source!AL163</f>
        <v>37.96</v>
      </c>
      <c r="G403" s="37" t="str">
        <f>Source!DD163</f>
        <v/>
      </c>
      <c r="H403" s="36">
        <f>ROUND(Source!AC163*Source!I163, 2)</f>
        <v>7.59</v>
      </c>
      <c r="I403" s="37"/>
      <c r="J403" s="37">
        <f>IF(Source!BC163&lt;&gt; 0, Source!BC163, 1)</f>
        <v>6.11</v>
      </c>
      <c r="K403" s="36">
        <f>Source!P163</f>
        <v>46.39</v>
      </c>
      <c r="L403" s="38"/>
    </row>
    <row r="404" spans="1:26" ht="14.25" x14ac:dyDescent="0.2">
      <c r="A404" s="51"/>
      <c r="B404" s="52"/>
      <c r="C404" s="52" t="s">
        <v>852</v>
      </c>
      <c r="D404" s="35" t="s">
        <v>853</v>
      </c>
      <c r="E404" s="13">
        <f>Source!BZ163</f>
        <v>128</v>
      </c>
      <c r="F404" s="80" t="str">
        <f>CONCATENATE(" )", Source!DL163, Source!FT163, "=", Source!FX163)</f>
        <v xml:space="preserve"> )*0,9=115,2</v>
      </c>
      <c r="G404" s="91"/>
      <c r="H404" s="36">
        <f>SUM(S398:S408)</f>
        <v>244.32</v>
      </c>
      <c r="I404" s="40"/>
      <c r="J404" s="33">
        <f>Source!AT163</f>
        <v>115</v>
      </c>
      <c r="K404" s="36">
        <f>SUM(T398:T408)</f>
        <v>1490.17</v>
      </c>
      <c r="L404" s="38"/>
    </row>
    <row r="405" spans="1:26" ht="14.25" x14ac:dyDescent="0.2">
      <c r="A405" s="51"/>
      <c r="B405" s="52"/>
      <c r="C405" s="52" t="s">
        <v>854</v>
      </c>
      <c r="D405" s="35" t="s">
        <v>853</v>
      </c>
      <c r="E405" s="13">
        <f>Source!CA163</f>
        <v>83</v>
      </c>
      <c r="F405" s="80" t="str">
        <f>CONCATENATE(" )", Source!DM163, Source!FU163, "=", Source!FY163)</f>
        <v xml:space="preserve"> )*0,85=70,55</v>
      </c>
      <c r="G405" s="91"/>
      <c r="H405" s="36">
        <f>SUM(U398:U408)</f>
        <v>149.62</v>
      </c>
      <c r="I405" s="40"/>
      <c r="J405" s="33">
        <f>Source!AU163</f>
        <v>71</v>
      </c>
      <c r="K405" s="36">
        <f>SUM(V398:V408)</f>
        <v>920.02</v>
      </c>
      <c r="L405" s="38"/>
    </row>
    <row r="406" spans="1:26" ht="14.25" x14ac:dyDescent="0.2">
      <c r="A406" s="51"/>
      <c r="B406" s="52"/>
      <c r="C406" s="52" t="s">
        <v>855</v>
      </c>
      <c r="D406" s="35" t="s">
        <v>856</v>
      </c>
      <c r="E406" s="13">
        <f>Source!AQ163</f>
        <v>96.95</v>
      </c>
      <c r="F406" s="36"/>
      <c r="G406" s="37" t="str">
        <f>Source!DI163</f>
        <v>)*1,15</v>
      </c>
      <c r="H406" s="36"/>
      <c r="I406" s="37"/>
      <c r="J406" s="37"/>
      <c r="K406" s="36"/>
      <c r="L406" s="47">
        <f>Source!U163</f>
        <v>22.298500000000001</v>
      </c>
    </row>
    <row r="407" spans="1:26" ht="28.5" x14ac:dyDescent="0.2">
      <c r="A407" s="51" t="str">
        <f>Source!E165</f>
        <v>39,1</v>
      </c>
      <c r="B407" s="52" t="str">
        <f>Source!F165</f>
        <v>24.1.02.01-0113</v>
      </c>
      <c r="C407" s="52" t="str">
        <f>Source!G165</f>
        <v>Хомуты для крепления труб</v>
      </c>
      <c r="D407" s="35" t="str">
        <f>Source!H165</f>
        <v>шт.</v>
      </c>
      <c r="E407" s="13">
        <f>Source!I165</f>
        <v>28</v>
      </c>
      <c r="F407" s="36">
        <f>Source!AL165+Source!AM165+Source!AO165</f>
        <v>8.09</v>
      </c>
      <c r="G407" s="50" t="s">
        <v>6</v>
      </c>
      <c r="H407" s="36">
        <f>ROUND(Source!AC165*Source!I165, 2)+ROUND(Source!AD165*Source!I165, 2)+ROUND(Source!AF165*Source!I165, 2)</f>
        <v>226.52</v>
      </c>
      <c r="I407" s="37"/>
      <c r="J407" s="37">
        <f>IF(Source!BC165&lt;&gt; 0, Source!BC165, 1)</f>
        <v>6.11</v>
      </c>
      <c r="K407" s="36">
        <f>Source!O165</f>
        <v>1384.04</v>
      </c>
      <c r="L407" s="38"/>
      <c r="S407">
        <f>ROUND((Source!FX165/100)*((ROUND(Source!AF165*Source!I165, 2)+ROUND(Source!AE165*Source!I165, 2))), 2)</f>
        <v>0</v>
      </c>
      <c r="T407">
        <f>Source!X165</f>
        <v>0</v>
      </c>
      <c r="U407">
        <f>ROUND((Source!FY165/100)*((ROUND(Source!AF165*Source!I165, 2)+ROUND(Source!AE165*Source!I165, 2))), 2)</f>
        <v>0</v>
      </c>
      <c r="V407">
        <f>Source!Y165</f>
        <v>0</v>
      </c>
      <c r="W407">
        <f>IF(Source!BI165&lt;=1,H407, 0)</f>
        <v>226.52</v>
      </c>
      <c r="X407">
        <f>IF(Source!BI165=2,H407, 0)</f>
        <v>0</v>
      </c>
      <c r="Y407">
        <f>IF(Source!BI165=3,H407, 0)</f>
        <v>0</v>
      </c>
      <c r="Z407">
        <f>IF(Source!BI165=4,H407, 0)</f>
        <v>0</v>
      </c>
    </row>
    <row r="408" spans="1:26" ht="85.5" x14ac:dyDescent="0.2">
      <c r="A408" s="53" t="str">
        <f>Source!E167</f>
        <v>39,2</v>
      </c>
      <c r="B408" s="54" t="str">
        <f>Source!F167</f>
        <v>24.3.02.01-0002</v>
      </c>
      <c r="C408" s="54" t="str">
        <f>Source!G167</f>
        <v>Трубопроводы напорные из полипропилена PPRS с гильзами и креплениями для холодного и горячего водоснабжения PN10 SDR 11, диаметром 20 мм, толщина стенки 1,9 мм</v>
      </c>
      <c r="D408" s="41" t="str">
        <f>Source!H167</f>
        <v>м</v>
      </c>
      <c r="E408" s="42">
        <f>Source!I167</f>
        <v>20.100000000000001</v>
      </c>
      <c r="F408" s="43">
        <f>Source!AL167+Source!AM167+Source!AO167</f>
        <v>4.5999999999999996</v>
      </c>
      <c r="G408" s="48" t="s">
        <v>6</v>
      </c>
      <c r="H408" s="43">
        <f>ROUND(Source!AC167*Source!I167, 2)+ROUND(Source!AD167*Source!I167, 2)+ROUND(Source!AF167*Source!I167, 2)</f>
        <v>92.46</v>
      </c>
      <c r="I408" s="44"/>
      <c r="J408" s="44">
        <f>IF(Source!BC167&lt;&gt; 0, Source!BC167, 1)</f>
        <v>6.11</v>
      </c>
      <c r="K408" s="43">
        <f>Source!O167</f>
        <v>564.92999999999995</v>
      </c>
      <c r="L408" s="49"/>
      <c r="S408">
        <f>ROUND((Source!FX167/100)*((ROUND(Source!AF167*Source!I167, 2)+ROUND(Source!AE167*Source!I167, 2))), 2)</f>
        <v>0</v>
      </c>
      <c r="T408">
        <f>Source!X167</f>
        <v>0</v>
      </c>
      <c r="U408">
        <f>ROUND((Source!FY167/100)*((ROUND(Source!AF167*Source!I167, 2)+ROUND(Source!AE167*Source!I167, 2))), 2)</f>
        <v>0</v>
      </c>
      <c r="V408">
        <f>Source!Y167</f>
        <v>0</v>
      </c>
      <c r="W408">
        <f>IF(Source!BI167&lt;=1,H408, 0)</f>
        <v>92.46</v>
      </c>
      <c r="X408">
        <f>IF(Source!BI167=2,H408, 0)</f>
        <v>0</v>
      </c>
      <c r="Y408">
        <f>IF(Source!BI167=3,H408, 0)</f>
        <v>0</v>
      </c>
      <c r="Z408">
        <f>IF(Source!BI167=4,H408, 0)</f>
        <v>0</v>
      </c>
    </row>
    <row r="409" spans="1:26" ht="15" x14ac:dyDescent="0.25">
      <c r="G409" s="92">
        <f>H400+H401+H403+H404+H405+SUM(H407:H408)</f>
        <v>1049.6300000000001</v>
      </c>
      <c r="H409" s="92"/>
      <c r="J409" s="92">
        <f>K400+K401+K403+K404+K405+SUM(K407:K408)</f>
        <v>6416.48</v>
      </c>
      <c r="K409" s="92"/>
      <c r="L409" s="46">
        <f>Source!U163</f>
        <v>22.298500000000001</v>
      </c>
      <c r="O409" s="29">
        <f>G409</f>
        <v>1049.6300000000001</v>
      </c>
      <c r="P409" s="29">
        <f>J409</f>
        <v>6416.48</v>
      </c>
      <c r="Q409" s="29">
        <f>L409</f>
        <v>22.298500000000001</v>
      </c>
      <c r="W409">
        <f>IF(Source!BI163&lt;=1,H400+H401+H403+H404+H405, 0)</f>
        <v>730.65</v>
      </c>
      <c r="X409">
        <f>IF(Source!BI163=2,H400+H401+H403+H404+H405, 0)</f>
        <v>0</v>
      </c>
      <c r="Y409">
        <f>IF(Source!BI163=3,H400+H401+H403+H404+H405, 0)</f>
        <v>0</v>
      </c>
      <c r="Z409">
        <f>IF(Source!BI163=4,H400+H401+H403+H404+H405, 0)</f>
        <v>0</v>
      </c>
    </row>
    <row r="410" spans="1:26" ht="42.75" x14ac:dyDescent="0.2">
      <c r="A410" s="51" t="str">
        <f>Source!E169</f>
        <v>40</v>
      </c>
      <c r="B410" s="52" t="str">
        <f>Source!F169</f>
        <v>16-04-004-02</v>
      </c>
      <c r="C410" s="52" t="str">
        <f>Source!G169</f>
        <v>Прокладка внутренних трубопроводов канализации из полипропиленовых труб диаметром 110 мм</v>
      </c>
      <c r="D410" s="35" t="str">
        <f>Source!H169</f>
        <v>100 м</v>
      </c>
      <c r="E410" s="13">
        <f>Source!I169</f>
        <v>0.12</v>
      </c>
      <c r="F410" s="36">
        <f>Source!AL169+Source!AM169+Source!AO169</f>
        <v>602.48</v>
      </c>
      <c r="G410" s="37"/>
      <c r="H410" s="36"/>
      <c r="I410" s="37" t="str">
        <f>Source!BO169</f>
        <v/>
      </c>
      <c r="J410" s="37"/>
      <c r="K410" s="36"/>
      <c r="L410" s="38"/>
      <c r="S410">
        <f>ROUND((Source!FX169/100)*((ROUND(Source!AF169*Source!I169, 2)+ROUND(Source!AE169*Source!I169, 2))), 2)</f>
        <v>84.38</v>
      </c>
      <c r="T410">
        <f>Source!X169</f>
        <v>514.71</v>
      </c>
      <c r="U410">
        <f>ROUND((Source!FY169/100)*((ROUND(Source!AF169*Source!I169, 2)+ROUND(Source!AE169*Source!I169, 2))), 2)</f>
        <v>51.68</v>
      </c>
      <c r="V410">
        <f>Source!Y169</f>
        <v>317.77</v>
      </c>
    </row>
    <row r="411" spans="1:26" x14ac:dyDescent="0.2">
      <c r="C411" s="28" t="str">
        <f>"Объем: "&amp;Source!I169&amp;"=12/"&amp;"100"</f>
        <v>Объем: 0,12=12/100</v>
      </c>
    </row>
    <row r="412" spans="1:26" ht="14.25" x14ac:dyDescent="0.2">
      <c r="A412" s="51"/>
      <c r="B412" s="52"/>
      <c r="C412" s="52" t="s">
        <v>850</v>
      </c>
      <c r="D412" s="35"/>
      <c r="E412" s="13"/>
      <c r="F412" s="36">
        <f>Source!AO169</f>
        <v>524.79999999999995</v>
      </c>
      <c r="G412" s="37" t="str">
        <f>Source!DG169</f>
        <v>)*1,15</v>
      </c>
      <c r="H412" s="36">
        <f>ROUND(Source!AF169*Source!I169, 2)</f>
        <v>72.42</v>
      </c>
      <c r="I412" s="37"/>
      <c r="J412" s="37">
        <f>IF(Source!BA169&lt;&gt; 0, Source!BA169, 1)</f>
        <v>6.11</v>
      </c>
      <c r="K412" s="36">
        <f>Source!S169</f>
        <v>442.5</v>
      </c>
      <c r="L412" s="38"/>
      <c r="R412">
        <f>H412</f>
        <v>72.42</v>
      </c>
    </row>
    <row r="413" spans="1:26" ht="14.25" x14ac:dyDescent="0.2">
      <c r="A413" s="51"/>
      <c r="B413" s="52"/>
      <c r="C413" s="52" t="s">
        <v>392</v>
      </c>
      <c r="D413" s="35"/>
      <c r="E413" s="13"/>
      <c r="F413" s="36">
        <f>Source!AM169</f>
        <v>36.31</v>
      </c>
      <c r="G413" s="37" t="str">
        <f>Source!DE169</f>
        <v>)*1,25</v>
      </c>
      <c r="H413" s="36">
        <f>ROUND(Source!AD169*Source!I169, 2)</f>
        <v>5.45</v>
      </c>
      <c r="I413" s="37"/>
      <c r="J413" s="37">
        <f>IF(Source!BB169&lt;&gt; 0, Source!BB169, 1)</f>
        <v>6.11</v>
      </c>
      <c r="K413" s="36">
        <f>Source!Q169</f>
        <v>33.28</v>
      </c>
      <c r="L413" s="38"/>
    </row>
    <row r="414" spans="1:26" ht="14.25" x14ac:dyDescent="0.2">
      <c r="A414" s="51"/>
      <c r="B414" s="52"/>
      <c r="C414" s="52" t="s">
        <v>851</v>
      </c>
      <c r="D414" s="35"/>
      <c r="E414" s="13"/>
      <c r="F414" s="36">
        <f>Source!AN169</f>
        <v>5.53</v>
      </c>
      <c r="G414" s="37" t="str">
        <f>Source!DF169</f>
        <v>)*1,25</v>
      </c>
      <c r="H414" s="39">
        <f>ROUND(Source!AE169*Source!I169, 2)</f>
        <v>0.83</v>
      </c>
      <c r="I414" s="37"/>
      <c r="J414" s="37">
        <f>IF(Source!BS169&lt;&gt; 0, Source!BS169, 1)</f>
        <v>6.11</v>
      </c>
      <c r="K414" s="39">
        <f>Source!R169</f>
        <v>5.07</v>
      </c>
      <c r="L414" s="38"/>
      <c r="R414">
        <f>H414</f>
        <v>0.83</v>
      </c>
    </row>
    <row r="415" spans="1:26" ht="14.25" x14ac:dyDescent="0.2">
      <c r="A415" s="51"/>
      <c r="B415" s="52"/>
      <c r="C415" s="52" t="s">
        <v>857</v>
      </c>
      <c r="D415" s="35"/>
      <c r="E415" s="13"/>
      <c r="F415" s="36">
        <f>Source!AL169</f>
        <v>41.37</v>
      </c>
      <c r="G415" s="37" t="str">
        <f>Source!DD169</f>
        <v/>
      </c>
      <c r="H415" s="36">
        <f>ROUND(Source!AC169*Source!I169, 2)</f>
        <v>4.96</v>
      </c>
      <c r="I415" s="37"/>
      <c r="J415" s="37">
        <f>IF(Source!BC169&lt;&gt; 0, Source!BC169, 1)</f>
        <v>6.11</v>
      </c>
      <c r="K415" s="36">
        <f>Source!P169</f>
        <v>30.33</v>
      </c>
      <c r="L415" s="38"/>
    </row>
    <row r="416" spans="1:26" ht="14.25" x14ac:dyDescent="0.2">
      <c r="A416" s="51"/>
      <c r="B416" s="52"/>
      <c r="C416" s="52" t="s">
        <v>852</v>
      </c>
      <c r="D416" s="35" t="s">
        <v>853</v>
      </c>
      <c r="E416" s="13">
        <f>Source!BZ169</f>
        <v>128</v>
      </c>
      <c r="F416" s="80" t="str">
        <f>CONCATENATE(" )", Source!DL169, Source!FT169, "=", Source!FX169)</f>
        <v xml:space="preserve"> )*0,9=115,2</v>
      </c>
      <c r="G416" s="91"/>
      <c r="H416" s="36">
        <f>SUM(S410:S420)</f>
        <v>84.38</v>
      </c>
      <c r="I416" s="40"/>
      <c r="J416" s="33">
        <f>Source!AT169</f>
        <v>115</v>
      </c>
      <c r="K416" s="36">
        <f>SUM(T410:T420)</f>
        <v>514.71</v>
      </c>
      <c r="L416" s="38"/>
    </row>
    <row r="417" spans="1:26" ht="14.25" x14ac:dyDescent="0.2">
      <c r="A417" s="51"/>
      <c r="B417" s="52"/>
      <c r="C417" s="52" t="s">
        <v>854</v>
      </c>
      <c r="D417" s="35" t="s">
        <v>853</v>
      </c>
      <c r="E417" s="13">
        <f>Source!CA169</f>
        <v>83</v>
      </c>
      <c r="F417" s="80" t="str">
        <f>CONCATENATE(" )", Source!DM169, Source!FU169, "=", Source!FY169)</f>
        <v xml:space="preserve"> )*0,85=70,55</v>
      </c>
      <c r="G417" s="91"/>
      <c r="H417" s="36">
        <f>SUM(U410:U420)</f>
        <v>51.68</v>
      </c>
      <c r="I417" s="40"/>
      <c r="J417" s="33">
        <f>Source!AU169</f>
        <v>71</v>
      </c>
      <c r="K417" s="36">
        <f>SUM(V410:V420)</f>
        <v>317.77</v>
      </c>
      <c r="L417" s="38"/>
    </row>
    <row r="418" spans="1:26" ht="14.25" x14ac:dyDescent="0.2">
      <c r="A418" s="51"/>
      <c r="B418" s="52"/>
      <c r="C418" s="52" t="s">
        <v>855</v>
      </c>
      <c r="D418" s="35" t="s">
        <v>856</v>
      </c>
      <c r="E418" s="13">
        <f>Source!AQ169</f>
        <v>55.83</v>
      </c>
      <c r="F418" s="36"/>
      <c r="G418" s="37" t="str">
        <f>Source!DI169</f>
        <v>)*1,15</v>
      </c>
      <c r="H418" s="36"/>
      <c r="I418" s="37"/>
      <c r="J418" s="37"/>
      <c r="K418" s="36"/>
      <c r="L418" s="47">
        <f>Source!U169</f>
        <v>7.7045399999999988</v>
      </c>
    </row>
    <row r="419" spans="1:26" ht="28.5" x14ac:dyDescent="0.2">
      <c r="A419" s="51" t="str">
        <f>Source!E171</f>
        <v>40,1</v>
      </c>
      <c r="B419" s="52" t="str">
        <f>Source!F171</f>
        <v>24.3.02.02-0004</v>
      </c>
      <c r="C419" s="52" t="str">
        <f>Source!G171</f>
        <v>Трубы безнапорные канализационные из полипропилена, диаметром 110 мм</v>
      </c>
      <c r="D419" s="35" t="str">
        <f>Source!H171</f>
        <v>м</v>
      </c>
      <c r="E419" s="13">
        <f>Source!I171</f>
        <v>11.976000000000001</v>
      </c>
      <c r="F419" s="36">
        <f>Source!AL171+Source!AM171+Source!AO171</f>
        <v>43.52</v>
      </c>
      <c r="G419" s="50" t="s">
        <v>6</v>
      </c>
      <c r="H419" s="36">
        <f>ROUND(Source!AC171*Source!I171, 2)+ROUND(Source!AD171*Source!I171, 2)+ROUND(Source!AF171*Source!I171, 2)</f>
        <v>521.20000000000005</v>
      </c>
      <c r="I419" s="37"/>
      <c r="J419" s="37">
        <f>IF(Source!BC171&lt;&gt; 0, Source!BC171, 1)</f>
        <v>6.11</v>
      </c>
      <c r="K419" s="36">
        <f>Source!O171</f>
        <v>3184.5</v>
      </c>
      <c r="L419" s="38"/>
      <c r="S419">
        <f>ROUND((Source!FX171/100)*((ROUND(Source!AF171*Source!I171, 2)+ROUND(Source!AE171*Source!I171, 2))), 2)</f>
        <v>0</v>
      </c>
      <c r="T419">
        <f>Source!X171</f>
        <v>0</v>
      </c>
      <c r="U419">
        <f>ROUND((Source!FY171/100)*((ROUND(Source!AF171*Source!I171, 2)+ROUND(Source!AE171*Source!I171, 2))), 2)</f>
        <v>0</v>
      </c>
      <c r="V419">
        <f>Source!Y171</f>
        <v>0</v>
      </c>
      <c r="W419">
        <f>IF(Source!BI171&lt;=1,H419, 0)</f>
        <v>521.20000000000005</v>
      </c>
      <c r="X419">
        <f>IF(Source!BI171=2,H419, 0)</f>
        <v>0</v>
      </c>
      <c r="Y419">
        <f>IF(Source!BI171=3,H419, 0)</f>
        <v>0</v>
      </c>
      <c r="Z419">
        <f>IF(Source!BI171=4,H419, 0)</f>
        <v>0</v>
      </c>
    </row>
    <row r="420" spans="1:26" ht="28.5" x14ac:dyDescent="0.2">
      <c r="A420" s="53" t="str">
        <f>Source!E173</f>
        <v>40,2</v>
      </c>
      <c r="B420" s="54" t="str">
        <f>Source!F173</f>
        <v>24.3.02.02</v>
      </c>
      <c r="C420" s="54" t="str">
        <f>Source!G173</f>
        <v>Трубы безнапорные канализационные из полипропилена</v>
      </c>
      <c r="D420" s="41" t="str">
        <f>Source!H173</f>
        <v>м</v>
      </c>
      <c r="E420" s="42">
        <f>Source!I173</f>
        <v>11.976000000000001</v>
      </c>
      <c r="F420" s="43">
        <f>Source!AL173+Source!AM173+Source!AO173</f>
        <v>0</v>
      </c>
      <c r="G420" s="48" t="s">
        <v>6</v>
      </c>
      <c r="H420" s="43">
        <f>ROUND(Source!AC173*Source!I173, 2)+ROUND(Source!AD173*Source!I173, 2)+ROUND(Source!AF173*Source!I173, 2)</f>
        <v>0</v>
      </c>
      <c r="I420" s="44"/>
      <c r="J420" s="44">
        <f>IF(Source!BC173&lt;&gt; 0, Source!BC173, 1)</f>
        <v>6.11</v>
      </c>
      <c r="K420" s="43">
        <f>Source!O173</f>
        <v>0</v>
      </c>
      <c r="L420" s="49"/>
      <c r="S420">
        <f>ROUND((Source!FX173/100)*((ROUND(Source!AF173*Source!I173, 2)+ROUND(Source!AE173*Source!I173, 2))), 2)</f>
        <v>0</v>
      </c>
      <c r="T420">
        <f>Source!X173</f>
        <v>0</v>
      </c>
      <c r="U420">
        <f>ROUND((Source!FY173/100)*((ROUND(Source!AF173*Source!I173, 2)+ROUND(Source!AE173*Source!I173, 2))), 2)</f>
        <v>0</v>
      </c>
      <c r="V420">
        <f>Source!Y173</f>
        <v>0</v>
      </c>
      <c r="W420">
        <f>IF(Source!BI173&lt;=1,H420, 0)</f>
        <v>0</v>
      </c>
      <c r="X420">
        <f>IF(Source!BI173=2,H420, 0)</f>
        <v>0</v>
      </c>
      <c r="Y420">
        <f>IF(Source!BI173=3,H420, 0)</f>
        <v>0</v>
      </c>
      <c r="Z420">
        <f>IF(Source!BI173=4,H420, 0)</f>
        <v>0</v>
      </c>
    </row>
    <row r="421" spans="1:26" ht="15" x14ac:dyDescent="0.25">
      <c r="G421" s="92">
        <f>H412+H413+H415+H416+H417+SUM(H419:H420)</f>
        <v>740.09</v>
      </c>
      <c r="H421" s="92"/>
      <c r="J421" s="92">
        <f>K412+K413+K415+K416+K417+SUM(K419:K420)</f>
        <v>4523.09</v>
      </c>
      <c r="K421" s="92"/>
      <c r="L421" s="46">
        <f>Source!U169</f>
        <v>7.7045399999999988</v>
      </c>
      <c r="O421" s="29">
        <f>G421</f>
        <v>740.09</v>
      </c>
      <c r="P421" s="29">
        <f>J421</f>
        <v>4523.09</v>
      </c>
      <c r="Q421" s="29">
        <f>L421</f>
        <v>7.7045399999999988</v>
      </c>
      <c r="W421">
        <f>IF(Source!BI169&lt;=1,H412+H413+H415+H416+H417, 0)</f>
        <v>218.89</v>
      </c>
      <c r="X421">
        <f>IF(Source!BI169=2,H412+H413+H415+H416+H417, 0)</f>
        <v>0</v>
      </c>
      <c r="Y421">
        <f>IF(Source!BI169=3,H412+H413+H415+H416+H417, 0)</f>
        <v>0</v>
      </c>
      <c r="Z421">
        <f>IF(Source!BI169=4,H412+H413+H415+H416+H417, 0)</f>
        <v>0</v>
      </c>
    </row>
    <row r="423" spans="1:26" ht="15" x14ac:dyDescent="0.25">
      <c r="A423" s="94" t="str">
        <f>CONCATENATE("Итого по локальной смете: ",IF(Source!G175&lt;&gt;"Новая локальная смета", Source!G175, ""))</f>
        <v xml:space="preserve">Итого по локальной смете: </v>
      </c>
      <c r="B423" s="94"/>
      <c r="C423" s="94"/>
      <c r="D423" s="94"/>
      <c r="E423" s="94"/>
      <c r="F423" s="94"/>
      <c r="G423" s="95">
        <f>SUM(O27:O422)</f>
        <v>66884.190000000017</v>
      </c>
      <c r="H423" s="95"/>
      <c r="I423" s="32"/>
      <c r="J423" s="95">
        <f>SUM(P27:P422)</f>
        <v>408805.92000000004</v>
      </c>
      <c r="K423" s="95"/>
      <c r="L423" s="46">
        <f>SUM(Q27:Q422)</f>
        <v>604.95366834999982</v>
      </c>
    </row>
    <row r="424" spans="1:26" ht="15" x14ac:dyDescent="0.25">
      <c r="C424" s="94" t="str">
        <f>Source!H203</f>
        <v>Всего с НР и СП</v>
      </c>
      <c r="D424" s="94"/>
      <c r="E424" s="94"/>
      <c r="F424" s="94"/>
      <c r="G424" s="94"/>
      <c r="H424" s="94"/>
      <c r="I424" s="94"/>
      <c r="J424" s="95">
        <f>IF(Source!P203=0, "", Source!P203)</f>
        <v>408805.92</v>
      </c>
      <c r="K424" s="95"/>
    </row>
    <row r="425" spans="1:26" ht="15" x14ac:dyDescent="0.25">
      <c r="C425" s="94" t="str">
        <f>Source!H204</f>
        <v>НДС 18%</v>
      </c>
      <c r="D425" s="94"/>
      <c r="E425" s="94"/>
      <c r="F425" s="94"/>
      <c r="G425" s="94"/>
      <c r="H425" s="94"/>
      <c r="I425" s="94"/>
      <c r="J425" s="95">
        <f>IF(Source!P204=0, "", Source!P204)</f>
        <v>73585.070000000007</v>
      </c>
      <c r="K425" s="95"/>
    </row>
    <row r="426" spans="1:26" ht="15" x14ac:dyDescent="0.25">
      <c r="C426" s="94" t="str">
        <f>Source!H205</f>
        <v>Всего по смете</v>
      </c>
      <c r="D426" s="94"/>
      <c r="E426" s="94"/>
      <c r="F426" s="94"/>
      <c r="G426" s="94"/>
      <c r="H426" s="94"/>
      <c r="I426" s="94"/>
      <c r="J426" s="95">
        <f>IF(Source!P205=0, "", Source!P205)</f>
        <v>482390.99</v>
      </c>
      <c r="K426" s="95"/>
    </row>
    <row r="427" spans="1:26" x14ac:dyDescent="0.2">
      <c r="C427" s="75"/>
      <c r="D427" s="75"/>
      <c r="E427" s="75"/>
      <c r="F427" s="75"/>
      <c r="G427" s="75"/>
      <c r="H427" s="75"/>
      <c r="I427" s="75"/>
      <c r="J427" s="75"/>
      <c r="K427" s="75"/>
    </row>
    <row r="429" spans="1:26" ht="14.25" x14ac:dyDescent="0.2">
      <c r="A429" s="31" t="s">
        <v>858</v>
      </c>
      <c r="B429" s="31"/>
      <c r="C429" s="77"/>
      <c r="D429" s="76"/>
      <c r="E429" s="76"/>
      <c r="F429" s="76"/>
      <c r="G429" s="76"/>
      <c r="H429" s="76"/>
      <c r="I429" s="76"/>
      <c r="J429" s="14"/>
      <c r="K429" s="14"/>
      <c r="L429" s="14"/>
    </row>
    <row r="430" spans="1:26" ht="14.25" x14ac:dyDescent="0.2">
      <c r="A430" s="14"/>
      <c r="B430" s="14"/>
      <c r="C430" s="77"/>
      <c r="D430" s="90"/>
      <c r="E430" s="90"/>
      <c r="F430" s="90"/>
      <c r="G430" s="90"/>
      <c r="H430" s="90"/>
      <c r="I430" s="76"/>
      <c r="J430" s="14"/>
      <c r="K430" s="14"/>
      <c r="L430" s="14"/>
    </row>
    <row r="431" spans="1:26" ht="14.25" x14ac:dyDescent="0.2">
      <c r="A431" s="14"/>
      <c r="B431" s="14"/>
      <c r="C431" s="77"/>
      <c r="D431" s="76"/>
      <c r="E431" s="76"/>
      <c r="F431" s="76"/>
      <c r="G431" s="76"/>
      <c r="H431" s="76"/>
      <c r="I431" s="76"/>
      <c r="J431" s="14"/>
      <c r="K431" s="14"/>
      <c r="L431" s="14"/>
    </row>
    <row r="432" spans="1:26" ht="14.25" x14ac:dyDescent="0.2">
      <c r="A432" s="31" t="s">
        <v>858</v>
      </c>
      <c r="B432" s="31"/>
      <c r="C432" s="77"/>
      <c r="D432" s="76"/>
      <c r="E432" s="76"/>
      <c r="F432" s="76"/>
      <c r="G432" s="76"/>
      <c r="H432" s="76"/>
      <c r="I432" s="76"/>
      <c r="J432" s="14"/>
      <c r="K432" s="14"/>
      <c r="L432" s="14"/>
    </row>
    <row r="433" spans="1:12" ht="14.25" x14ac:dyDescent="0.2">
      <c r="A433" s="14"/>
      <c r="B433" s="14"/>
      <c r="C433" s="76"/>
      <c r="D433" s="90"/>
      <c r="E433" s="90"/>
      <c r="F433" s="90"/>
      <c r="G433" s="90"/>
      <c r="H433" s="90"/>
      <c r="I433" s="76"/>
      <c r="J433" s="14"/>
      <c r="K433" s="14"/>
      <c r="L433" s="14"/>
    </row>
  </sheetData>
  <mergeCells count="177">
    <mergeCell ref="G423:H423"/>
    <mergeCell ref="J423:K423"/>
    <mergeCell ref="A423:F423"/>
    <mergeCell ref="J421:K421"/>
    <mergeCell ref="G421:H421"/>
    <mergeCell ref="F382:G382"/>
    <mergeCell ref="J375:K375"/>
    <mergeCell ref="G375:H375"/>
    <mergeCell ref="F371:G371"/>
    <mergeCell ref="F404:G404"/>
    <mergeCell ref="J397:K397"/>
    <mergeCell ref="G397:H397"/>
    <mergeCell ref="J387:K387"/>
    <mergeCell ref="G387:H387"/>
    <mergeCell ref="F383:G383"/>
    <mergeCell ref="F417:G417"/>
    <mergeCell ref="F416:G416"/>
    <mergeCell ref="J409:K409"/>
    <mergeCell ref="G409:H409"/>
    <mergeCell ref="F405:G405"/>
    <mergeCell ref="G321:H321"/>
    <mergeCell ref="J312:K312"/>
    <mergeCell ref="G312:H312"/>
    <mergeCell ref="J301:K301"/>
    <mergeCell ref="G301:H301"/>
    <mergeCell ref="F358:G358"/>
    <mergeCell ref="F357:G357"/>
    <mergeCell ref="J350:K350"/>
    <mergeCell ref="F370:G370"/>
    <mergeCell ref="J363:K363"/>
    <mergeCell ref="G363:H363"/>
    <mergeCell ref="G350:H350"/>
    <mergeCell ref="J341:K341"/>
    <mergeCell ref="G341:H341"/>
    <mergeCell ref="J332:K332"/>
    <mergeCell ref="G332:H332"/>
    <mergeCell ref="F329:G329"/>
    <mergeCell ref="F328:G328"/>
    <mergeCell ref="J321:K321"/>
    <mergeCell ref="F259:G259"/>
    <mergeCell ref="F277:G277"/>
    <mergeCell ref="J271:K271"/>
    <mergeCell ref="G271:H271"/>
    <mergeCell ref="F269:G269"/>
    <mergeCell ref="F268:G268"/>
    <mergeCell ref="J261:K261"/>
    <mergeCell ref="G261:H261"/>
    <mergeCell ref="G288:H288"/>
    <mergeCell ref="J297:K297"/>
    <mergeCell ref="G297:H297"/>
    <mergeCell ref="F295:G295"/>
    <mergeCell ref="F294:G294"/>
    <mergeCell ref="J288:K288"/>
    <mergeCell ref="J299:K299"/>
    <mergeCell ref="G299:H299"/>
    <mergeCell ref="F107:G107"/>
    <mergeCell ref="F286:G286"/>
    <mergeCell ref="F285:G285"/>
    <mergeCell ref="J281:K281"/>
    <mergeCell ref="G281:H281"/>
    <mergeCell ref="F278:G278"/>
    <mergeCell ref="J180:K180"/>
    <mergeCell ref="G180:H180"/>
    <mergeCell ref="F176:G176"/>
    <mergeCell ref="F175:G175"/>
    <mergeCell ref="J241:K241"/>
    <mergeCell ref="G241:H241"/>
    <mergeCell ref="F258:G258"/>
    <mergeCell ref="J251:K251"/>
    <mergeCell ref="G251:H251"/>
    <mergeCell ref="F247:G247"/>
    <mergeCell ref="F246:G246"/>
    <mergeCell ref="J134:K134"/>
    <mergeCell ref="G134:H134"/>
    <mergeCell ref="J168:K168"/>
    <mergeCell ref="G168:H168"/>
    <mergeCell ref="J202:K202"/>
    <mergeCell ref="G202:H202"/>
    <mergeCell ref="F197:G197"/>
    <mergeCell ref="F196:G196"/>
    <mergeCell ref="J189:K189"/>
    <mergeCell ref="G189:H189"/>
    <mergeCell ref="F65:G65"/>
    <mergeCell ref="F64:G64"/>
    <mergeCell ref="J57:K57"/>
    <mergeCell ref="G57:H57"/>
    <mergeCell ref="G87:H87"/>
    <mergeCell ref="F106:G106"/>
    <mergeCell ref="F239:G239"/>
    <mergeCell ref="F238:G238"/>
    <mergeCell ref="J234:K234"/>
    <mergeCell ref="G234:H234"/>
    <mergeCell ref="J223:K223"/>
    <mergeCell ref="G223:H223"/>
    <mergeCell ref="J212:K212"/>
    <mergeCell ref="G212:H212"/>
    <mergeCell ref="J127:K127"/>
    <mergeCell ref="G127:H127"/>
    <mergeCell ref="J118:K118"/>
    <mergeCell ref="G118:H118"/>
    <mergeCell ref="J109:K109"/>
    <mergeCell ref="G109:H109"/>
    <mergeCell ref="J145:K145"/>
    <mergeCell ref="G145:H145"/>
    <mergeCell ref="F142:G142"/>
    <mergeCell ref="F141:G141"/>
    <mergeCell ref="D433:H433"/>
    <mergeCell ref="C22:F22"/>
    <mergeCell ref="G22:H22"/>
    <mergeCell ref="I22:J22"/>
    <mergeCell ref="K22:L22"/>
    <mergeCell ref="A24:L24"/>
    <mergeCell ref="C424:I424"/>
    <mergeCell ref="J424:K424"/>
    <mergeCell ref="J99:K99"/>
    <mergeCell ref="G99:H99"/>
    <mergeCell ref="J87:K87"/>
    <mergeCell ref="F85:G85"/>
    <mergeCell ref="F84:G84"/>
    <mergeCell ref="J79:K79"/>
    <mergeCell ref="G79:H79"/>
    <mergeCell ref="F76:G76"/>
    <mergeCell ref="C425:I425"/>
    <mergeCell ref="J425:K425"/>
    <mergeCell ref="C426:I426"/>
    <mergeCell ref="J426:K426"/>
    <mergeCell ref="J35:K35"/>
    <mergeCell ref="G35:H35"/>
    <mergeCell ref="F33:G33"/>
    <mergeCell ref="F32:G32"/>
    <mergeCell ref="C21:F21"/>
    <mergeCell ref="G21:H21"/>
    <mergeCell ref="I21:J21"/>
    <mergeCell ref="K21:L21"/>
    <mergeCell ref="C20:F20"/>
    <mergeCell ref="G20:H20"/>
    <mergeCell ref="I20:J20"/>
    <mergeCell ref="K20:L20"/>
    <mergeCell ref="D430:H430"/>
    <mergeCell ref="F163:G163"/>
    <mergeCell ref="F162:G162"/>
    <mergeCell ref="J155:K155"/>
    <mergeCell ref="G155:H155"/>
    <mergeCell ref="F153:G153"/>
    <mergeCell ref="F152:G152"/>
    <mergeCell ref="F54:G54"/>
    <mergeCell ref="F53:G53"/>
    <mergeCell ref="J46:K46"/>
    <mergeCell ref="G46:H46"/>
    <mergeCell ref="F43:G43"/>
    <mergeCell ref="F42:G42"/>
    <mergeCell ref="F75:G75"/>
    <mergeCell ref="J70:K70"/>
    <mergeCell ref="G70:H70"/>
    <mergeCell ref="C19:F19"/>
    <mergeCell ref="G19:H19"/>
    <mergeCell ref="I19:J19"/>
    <mergeCell ref="K19:L19"/>
    <mergeCell ref="B10:K10"/>
    <mergeCell ref="B12:K12"/>
    <mergeCell ref="B14:K14"/>
    <mergeCell ref="B15:K15"/>
    <mergeCell ref="G17:H17"/>
    <mergeCell ref="I17:J17"/>
    <mergeCell ref="B7:E7"/>
    <mergeCell ref="H7:L7"/>
    <mergeCell ref="B3:E3"/>
    <mergeCell ref="H3:L3"/>
    <mergeCell ref="B4:E4"/>
    <mergeCell ref="H4:L4"/>
    <mergeCell ref="B6:E6"/>
    <mergeCell ref="H6:L6"/>
    <mergeCell ref="C18:F18"/>
    <mergeCell ref="G18:H18"/>
    <mergeCell ref="I18:J18"/>
    <mergeCell ref="K18:L18"/>
    <mergeCell ref="H5:J5"/>
  </mergeCells>
  <pageMargins left="0.4" right="0.2" top="0.4" bottom="0.4" header="0.2" footer="0.2"/>
  <pageSetup paperSize="9" scale="59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41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2" t="str">
        <f>Source!B1</f>
        <v>Smeta.RU  (495) 974-1589</v>
      </c>
    </row>
    <row r="2" spans="1:31" ht="15" x14ac:dyDescent="0.25">
      <c r="A2" s="32"/>
      <c r="B2" s="32"/>
      <c r="C2" s="32"/>
      <c r="D2" s="32"/>
      <c r="E2" s="96" t="s">
        <v>859</v>
      </c>
      <c r="F2" s="96"/>
      <c r="G2" s="96"/>
      <c r="H2" s="96"/>
    </row>
    <row r="3" spans="1:31" ht="14.25" x14ac:dyDescent="0.2">
      <c r="A3" s="14"/>
      <c r="B3" s="14"/>
      <c r="C3" s="14"/>
      <c r="D3" s="14"/>
      <c r="E3" s="96" t="s">
        <v>860</v>
      </c>
      <c r="F3" s="96"/>
      <c r="G3" s="96"/>
      <c r="H3" s="96"/>
    </row>
    <row r="4" spans="1:31" ht="14.25" x14ac:dyDescent="0.2">
      <c r="A4" s="14"/>
      <c r="B4" s="14"/>
      <c r="C4" s="14"/>
      <c r="D4" s="14"/>
      <c r="E4" s="96" t="s">
        <v>861</v>
      </c>
      <c r="F4" s="96"/>
      <c r="G4" s="96"/>
      <c r="H4" s="96"/>
    </row>
    <row r="5" spans="1:31" ht="14.25" x14ac:dyDescent="0.2">
      <c r="A5" s="14"/>
      <c r="B5" s="14"/>
      <c r="C5" s="14"/>
      <c r="D5" s="14"/>
      <c r="E5" s="14"/>
      <c r="F5" s="14"/>
      <c r="G5" s="14"/>
      <c r="H5" s="14"/>
    </row>
    <row r="6" spans="1:31" ht="14.25" x14ac:dyDescent="0.2">
      <c r="A6" s="14"/>
      <c r="B6" s="14"/>
      <c r="C6" s="14"/>
      <c r="D6" s="14"/>
      <c r="E6" s="14"/>
      <c r="F6" s="14"/>
      <c r="G6" s="97" t="s">
        <v>862</v>
      </c>
      <c r="H6" s="98"/>
    </row>
    <row r="7" spans="1:31" ht="14.25" x14ac:dyDescent="0.2">
      <c r="A7" s="14"/>
      <c r="B7" s="14"/>
      <c r="C7" s="14"/>
      <c r="D7" s="14"/>
      <c r="E7" s="14"/>
      <c r="F7" s="13" t="s">
        <v>863</v>
      </c>
      <c r="G7" s="99" t="s">
        <v>864</v>
      </c>
      <c r="H7" s="98"/>
    </row>
    <row r="8" spans="1:31" ht="14.25" x14ac:dyDescent="0.2">
      <c r="A8" s="14"/>
      <c r="B8" s="14"/>
      <c r="C8" s="14"/>
      <c r="D8" s="14"/>
      <c r="E8" s="14"/>
      <c r="F8" s="14"/>
      <c r="G8" s="97" t="str">
        <f>IF(Source!AT15 &lt;&gt; "", Source!AT15, "")</f>
        <v/>
      </c>
      <c r="H8" s="98"/>
    </row>
    <row r="9" spans="1:31" ht="14.25" x14ac:dyDescent="0.2">
      <c r="A9" s="14" t="s">
        <v>865</v>
      </c>
      <c r="B9" s="14"/>
      <c r="C9" s="102" t="str">
        <f>IF(Source!BA15 &lt;&gt; "", Source!BA15, IF(Source!AU15 &lt;&gt; "", Source!AU15, ""))</f>
        <v/>
      </c>
      <c r="D9" s="102"/>
      <c r="E9" s="102"/>
      <c r="F9" s="13" t="s">
        <v>866</v>
      </c>
      <c r="G9" s="100"/>
      <c r="H9" s="101"/>
    </row>
    <row r="10" spans="1:31" ht="14.25" x14ac:dyDescent="0.2">
      <c r="A10" s="14"/>
      <c r="B10" s="14"/>
      <c r="C10" s="103" t="s">
        <v>867</v>
      </c>
      <c r="D10" s="103"/>
      <c r="E10" s="103"/>
      <c r="F10" s="14"/>
      <c r="G10" s="97" t="str">
        <f>IF(Source!AK15 &lt;&gt; "", Source!AK15, "")</f>
        <v/>
      </c>
      <c r="H10" s="98"/>
    </row>
    <row r="11" spans="1:31" ht="14.25" x14ac:dyDescent="0.2">
      <c r="A11" s="14" t="s">
        <v>868</v>
      </c>
      <c r="B11" s="14"/>
      <c r="C11" s="102" t="str">
        <f>IF(Source!AX12&lt;&gt; "", Source!AX12, IF(Source!AJ12 &lt;&gt; "", Source!AJ12, ""))</f>
        <v/>
      </c>
      <c r="D11" s="102"/>
      <c r="E11" s="102"/>
      <c r="F11" s="13" t="s">
        <v>866</v>
      </c>
      <c r="G11" s="100"/>
      <c r="H11" s="101"/>
    </row>
    <row r="12" spans="1:31" ht="14.25" x14ac:dyDescent="0.2">
      <c r="A12" s="14"/>
      <c r="B12" s="14"/>
      <c r="C12" s="103" t="s">
        <v>867</v>
      </c>
      <c r="D12" s="103"/>
      <c r="E12" s="103"/>
      <c r="F12" s="14"/>
      <c r="G12" s="97" t="str">
        <f>IF(Source!AO15 &lt;&gt; "", Source!AO15, "")</f>
        <v/>
      </c>
      <c r="H12" s="98"/>
    </row>
    <row r="13" spans="1:31" ht="14.25" x14ac:dyDescent="0.2">
      <c r="A13" s="14" t="s">
        <v>869</v>
      </c>
      <c r="B13" s="14"/>
      <c r="C13" s="102" t="str">
        <f>IF(Source!AY12&lt;&gt; "", Source!AY12, IF(Source!AN12 &lt;&gt; "", Source!AN12, ""))</f>
        <v/>
      </c>
      <c r="D13" s="102"/>
      <c r="E13" s="102"/>
      <c r="F13" s="13" t="s">
        <v>866</v>
      </c>
      <c r="G13" s="100"/>
      <c r="H13" s="101"/>
    </row>
    <row r="14" spans="1:31" ht="14.25" x14ac:dyDescent="0.2">
      <c r="A14" s="14"/>
      <c r="B14" s="14"/>
      <c r="C14" s="103" t="s">
        <v>867</v>
      </c>
      <c r="D14" s="103"/>
      <c r="E14" s="103"/>
      <c r="F14" s="14"/>
      <c r="G14" s="97" t="str">
        <f>IF(Source!CO15 &lt;&gt; "", Source!CO15, "")</f>
        <v/>
      </c>
      <c r="H14" s="98"/>
    </row>
    <row r="15" spans="1:31" ht="71.25" x14ac:dyDescent="0.2">
      <c r="A15" s="14" t="s">
        <v>870</v>
      </c>
      <c r="B15" s="14"/>
      <c r="C15" s="102" t="s">
        <v>5</v>
      </c>
      <c r="D15" s="102"/>
      <c r="E15" s="102"/>
      <c r="F15" s="14"/>
      <c r="G15" s="100"/>
      <c r="H15" s="101"/>
      <c r="AE15" s="34" t="s">
        <v>5</v>
      </c>
    </row>
    <row r="16" spans="1:31" ht="14.25" x14ac:dyDescent="0.2">
      <c r="A16" s="14"/>
      <c r="B16" s="14"/>
      <c r="C16" s="103" t="s">
        <v>871</v>
      </c>
      <c r="D16" s="103"/>
      <c r="E16" s="103"/>
      <c r="F16" s="14"/>
      <c r="G16" s="97" t="str">
        <f>IF(Source!CP15 &lt;&gt; "", Source!CP15, "")</f>
        <v/>
      </c>
      <c r="H16" s="98"/>
    </row>
    <row r="17" spans="1:31" ht="71.25" x14ac:dyDescent="0.2">
      <c r="A17" s="14" t="s">
        <v>872</v>
      </c>
      <c r="B17" s="14"/>
      <c r="C17" s="102" t="str">
        <f>IF(Source!G12&lt;&gt;"Новый объект", Source!G12, "")</f>
        <v>Капитальный ремонт помещения женского санузла 2-го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  <c r="D17" s="102"/>
      <c r="E17" s="102"/>
      <c r="F17" s="14"/>
      <c r="G17" s="104"/>
      <c r="H17" s="105"/>
      <c r="AE17" s="34" t="str">
        <f>IF(Source!G12&lt;&gt;"Новый объект", Source!G12, "")</f>
        <v>Капитальный ремонт помещения женского санузла 2-го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</row>
    <row r="18" spans="1:31" ht="14.25" x14ac:dyDescent="0.2">
      <c r="A18" s="14"/>
      <c r="B18" s="14"/>
      <c r="C18" s="103" t="s">
        <v>873</v>
      </c>
      <c r="D18" s="103"/>
      <c r="E18" s="103"/>
      <c r="F18" s="14"/>
      <c r="G18" s="14"/>
      <c r="H18" s="14"/>
    </row>
    <row r="19" spans="1:31" ht="14.25" x14ac:dyDescent="0.2">
      <c r="A19" s="14"/>
      <c r="B19" s="14"/>
      <c r="C19" s="14"/>
      <c r="D19" s="85" t="s">
        <v>874</v>
      </c>
      <c r="E19" s="85"/>
      <c r="F19" s="114"/>
      <c r="G19" s="97" t="str">
        <f>IF(Source!CQ15 &lt;&gt; "", Source!CQ15, "")</f>
        <v/>
      </c>
      <c r="H19" s="98"/>
    </row>
    <row r="20" spans="1:31" ht="14.25" x14ac:dyDescent="0.2">
      <c r="A20" s="14"/>
      <c r="B20" s="14"/>
      <c r="C20" s="14"/>
      <c r="D20" s="85" t="s">
        <v>875</v>
      </c>
      <c r="E20" s="114"/>
      <c r="F20" s="57" t="s">
        <v>876</v>
      </c>
      <c r="G20" s="97" t="str">
        <f>IF(Source!CR15 &lt;&gt; "", Source!CR15, "")</f>
        <v/>
      </c>
      <c r="H20" s="98"/>
    </row>
    <row r="21" spans="1:31" ht="14.25" x14ac:dyDescent="0.2">
      <c r="A21" s="14"/>
      <c r="B21" s="14"/>
      <c r="C21" s="14"/>
      <c r="D21" s="14"/>
      <c r="E21" s="14"/>
      <c r="F21" s="25" t="s">
        <v>877</v>
      </c>
      <c r="G21" s="115" t="str">
        <f>IF(Source!CS15 &lt;&gt; 0, Source!CS15, "")</f>
        <v/>
      </c>
      <c r="H21" s="116"/>
    </row>
    <row r="22" spans="1:31" ht="14.25" x14ac:dyDescent="0.2">
      <c r="A22" s="14"/>
      <c r="B22" s="14"/>
      <c r="C22" s="14"/>
      <c r="D22" s="14"/>
      <c r="E22" s="14"/>
      <c r="F22" s="13" t="s">
        <v>878</v>
      </c>
      <c r="G22" s="106" t="str">
        <f>IF(Source!CT15 &lt;&gt; "", Source!CT15, "")</f>
        <v/>
      </c>
      <c r="H22" s="107"/>
    </row>
    <row r="23" spans="1:31" ht="14.25" x14ac:dyDescent="0.2">
      <c r="A23" s="14"/>
      <c r="B23" s="14"/>
      <c r="C23" s="14"/>
      <c r="D23" s="14"/>
      <c r="E23" s="14"/>
      <c r="F23" s="14"/>
      <c r="G23" s="14"/>
      <c r="H23" s="14"/>
    </row>
    <row r="24" spans="1:31" ht="14.25" x14ac:dyDescent="0.2">
      <c r="A24" s="14"/>
      <c r="B24" s="14"/>
      <c r="C24" s="14"/>
      <c r="D24" s="108" t="s">
        <v>879</v>
      </c>
      <c r="E24" s="110" t="s">
        <v>880</v>
      </c>
      <c r="F24" s="110" t="s">
        <v>881</v>
      </c>
      <c r="G24" s="112"/>
      <c r="H24" s="14"/>
    </row>
    <row r="25" spans="1:31" ht="14.25" x14ac:dyDescent="0.2">
      <c r="A25" s="14"/>
      <c r="B25" s="14"/>
      <c r="C25" s="14"/>
      <c r="D25" s="109"/>
      <c r="E25" s="111"/>
      <c r="F25" s="58" t="s">
        <v>882</v>
      </c>
      <c r="G25" s="59" t="s">
        <v>883</v>
      </c>
      <c r="H25" s="14"/>
    </row>
    <row r="26" spans="1:31" ht="14.25" x14ac:dyDescent="0.2">
      <c r="A26" s="14"/>
      <c r="B26" s="14"/>
      <c r="C26" s="14"/>
      <c r="D26" s="60" t="str">
        <f>IF(Source!CN15 &lt;&gt; "", Source!CN15, "")</f>
        <v/>
      </c>
      <c r="E26" s="61">
        <v>43362.6487037037</v>
      </c>
      <c r="F26" s="60"/>
      <c r="G26" s="62"/>
      <c r="H26" s="14"/>
    </row>
    <row r="27" spans="1:31" ht="14.25" x14ac:dyDescent="0.2">
      <c r="A27" s="14"/>
      <c r="B27" s="14"/>
      <c r="C27" s="14"/>
      <c r="D27" s="14"/>
      <c r="E27" s="14"/>
      <c r="F27" s="14"/>
      <c r="G27" s="14"/>
      <c r="H27" s="14"/>
    </row>
    <row r="28" spans="1:31" ht="18" x14ac:dyDescent="0.25">
      <c r="A28" s="113" t="s">
        <v>884</v>
      </c>
      <c r="B28" s="113"/>
      <c r="C28" s="113"/>
      <c r="D28" s="113"/>
      <c r="E28" s="113"/>
      <c r="F28" s="113"/>
      <c r="G28" s="113"/>
      <c r="H28" s="113"/>
    </row>
    <row r="29" spans="1:31" ht="18" x14ac:dyDescent="0.25">
      <c r="A29" s="113" t="s">
        <v>885</v>
      </c>
      <c r="B29" s="113"/>
      <c r="C29" s="113"/>
      <c r="D29" s="113"/>
      <c r="E29" s="113"/>
      <c r="F29" s="113"/>
      <c r="G29" s="113"/>
      <c r="H29" s="113"/>
    </row>
    <row r="30" spans="1:31" ht="14.25" x14ac:dyDescent="0.2">
      <c r="A30" s="14"/>
      <c r="B30" s="14"/>
      <c r="C30" s="14"/>
      <c r="D30" s="14"/>
      <c r="E30" s="14"/>
      <c r="F30" s="14"/>
      <c r="G30" s="14"/>
      <c r="H30" s="14"/>
    </row>
    <row r="31" spans="1:31" ht="15" x14ac:dyDescent="0.25">
      <c r="A31" s="11" t="s">
        <v>886</v>
      </c>
      <c r="B31" s="14"/>
      <c r="C31" s="14"/>
      <c r="D31" s="14"/>
      <c r="E31" s="14"/>
      <c r="F31" s="119">
        <f>(Source!P237/1000)</f>
        <v>482.39098999999999</v>
      </c>
      <c r="G31" s="119"/>
      <c r="H31" s="14" t="s">
        <v>887</v>
      </c>
    </row>
    <row r="32" spans="1:31" ht="14.25" x14ac:dyDescent="0.2">
      <c r="A32" s="14"/>
      <c r="B32" s="14"/>
      <c r="C32" s="14"/>
      <c r="D32" s="14"/>
      <c r="E32" s="14"/>
      <c r="F32" s="14"/>
      <c r="G32" s="14"/>
      <c r="H32" s="14"/>
    </row>
    <row r="33" spans="1:28" ht="14.25" x14ac:dyDescent="0.2">
      <c r="A33" s="120" t="s">
        <v>888</v>
      </c>
      <c r="B33" s="120"/>
      <c r="C33" s="120" t="s">
        <v>889</v>
      </c>
      <c r="D33" s="120" t="s">
        <v>890</v>
      </c>
      <c r="E33" s="120" t="s">
        <v>891</v>
      </c>
      <c r="F33" s="120" t="s">
        <v>892</v>
      </c>
      <c r="G33" s="120"/>
      <c r="H33" s="120"/>
    </row>
    <row r="34" spans="1:28" ht="57" x14ac:dyDescent="0.2">
      <c r="A34" s="24" t="s">
        <v>893</v>
      </c>
      <c r="B34" s="24" t="s">
        <v>894</v>
      </c>
      <c r="C34" s="120"/>
      <c r="D34" s="120"/>
      <c r="E34" s="120"/>
      <c r="F34" s="24" t="s">
        <v>895</v>
      </c>
      <c r="G34" s="24" t="s">
        <v>896</v>
      </c>
      <c r="H34" s="24" t="s">
        <v>897</v>
      </c>
    </row>
    <row r="35" spans="1:28" ht="14.25" x14ac:dyDescent="0.2">
      <c r="A35" s="24">
        <v>1</v>
      </c>
      <c r="B35" s="24">
        <v>2</v>
      </c>
      <c r="C35" s="24">
        <v>3</v>
      </c>
      <c r="D35" s="24">
        <v>4</v>
      </c>
      <c r="E35" s="24">
        <v>5</v>
      </c>
      <c r="F35" s="24">
        <v>6</v>
      </c>
      <c r="G35" s="24">
        <v>7</v>
      </c>
      <c r="H35" s="24">
        <v>8</v>
      </c>
    </row>
    <row r="37" spans="1:28" ht="16.5" x14ac:dyDescent="0.25">
      <c r="A37" s="117" t="str">
        <f>CONCATENATE("Локальная смета: ",IF(Source!G20&lt;&gt;"Новая локальная смета", Source!G20, ""))</f>
        <v xml:space="preserve">Локальная смета: </v>
      </c>
      <c r="B37" s="117"/>
      <c r="C37" s="117"/>
      <c r="D37" s="117"/>
      <c r="E37" s="117"/>
      <c r="F37" s="117"/>
      <c r="G37" s="117"/>
      <c r="H37" s="117"/>
    </row>
    <row r="38" spans="1:28" ht="42.75" x14ac:dyDescent="0.2">
      <c r="A38" s="52">
        <v>1</v>
      </c>
      <c r="B38" s="52" t="str">
        <f>Source!E25</f>
        <v>1</v>
      </c>
      <c r="C38" s="52" t="str">
        <f>Source!G25</f>
        <v>Разборка деревянных заполнений проемов оконных с подоконными досками</v>
      </c>
      <c r="D38" s="52" t="str">
        <f>Source!F25</f>
        <v>46-04-012-01</v>
      </c>
      <c r="E38" s="37" t="str">
        <f>Source!H25</f>
        <v>100 м2</v>
      </c>
      <c r="F38" s="14">
        <f>Source!I25</f>
        <v>3.2399999999999998E-2</v>
      </c>
      <c r="G38" s="27">
        <f>Source!AB25</f>
        <v>1767.24</v>
      </c>
      <c r="H38" s="27">
        <f>Source!O25</f>
        <v>349.85</v>
      </c>
      <c r="T38">
        <f>Source!O25+Source!X25+Source!Y25</f>
        <v>862.84</v>
      </c>
      <c r="U38">
        <f>Source!P25</f>
        <v>0</v>
      </c>
      <c r="V38">
        <f>Source!S25</f>
        <v>301.95</v>
      </c>
      <c r="W38">
        <f>Source!Q25</f>
        <v>47.9</v>
      </c>
      <c r="X38">
        <f>Source!R25</f>
        <v>20.69</v>
      </c>
      <c r="Y38">
        <f>Source!U25</f>
        <v>6.1086959999999992</v>
      </c>
      <c r="Z38">
        <f>Source!V25</f>
        <v>0.250776</v>
      </c>
      <c r="AA38">
        <f>Source!X25</f>
        <v>319.41000000000003</v>
      </c>
      <c r="AB38">
        <f>Source!Y25</f>
        <v>193.58</v>
      </c>
    </row>
    <row r="39" spans="1:28" ht="14.25" x14ac:dyDescent="0.2">
      <c r="C39" s="28" t="str">
        <f>"Объем: "&amp;Source!I25&amp;"=3,24/"&amp;"100"</f>
        <v>Объем: 0,0324=3,24/100</v>
      </c>
      <c r="F39" s="14"/>
      <c r="G39" s="14"/>
      <c r="H39" s="14"/>
    </row>
    <row r="40" spans="1:28" x14ac:dyDescent="0.2">
      <c r="C40" s="28" t="s">
        <v>898</v>
      </c>
      <c r="D40" s="28">
        <f>Source!BA25</f>
        <v>6.11</v>
      </c>
    </row>
    <row r="41" spans="1:28" x14ac:dyDescent="0.2">
      <c r="C41" s="28" t="s">
        <v>899</v>
      </c>
      <c r="D41" s="28">
        <f>Source!BB25</f>
        <v>6.11</v>
      </c>
    </row>
    <row r="42" spans="1:28" x14ac:dyDescent="0.2">
      <c r="C42" s="28" t="s">
        <v>900</v>
      </c>
      <c r="D42" s="28">
        <f>Source!BC25</f>
        <v>6.11</v>
      </c>
    </row>
    <row r="43" spans="1:28" x14ac:dyDescent="0.2">
      <c r="C43" s="28" t="s">
        <v>901</v>
      </c>
      <c r="D43" s="28">
        <f>Source!BS25</f>
        <v>6.11</v>
      </c>
    </row>
    <row r="44" spans="1:28" x14ac:dyDescent="0.2">
      <c r="C44" s="11" t="s">
        <v>902</v>
      </c>
      <c r="D44" s="40"/>
      <c r="E44" s="40"/>
      <c r="F44" s="40">
        <f>Source!BZ25</f>
        <v>110</v>
      </c>
      <c r="G44" s="63">
        <f>(Source!AF25+Source!AE25)*Source!FX25/100</f>
        <v>1613.4821999999999</v>
      </c>
      <c r="H44" s="63">
        <f>Source!X25</f>
        <v>319.41000000000003</v>
      </c>
    </row>
    <row r="45" spans="1:28" x14ac:dyDescent="0.2">
      <c r="C45" s="11" t="s">
        <v>903</v>
      </c>
      <c r="D45" s="40"/>
      <c r="E45" s="40"/>
      <c r="F45" s="40"/>
      <c r="G45" s="40" t="str">
        <f>CONCATENATE(Source!DL25,Source!FT25, "=", Source!FX25, "%")</f>
        <v>*0,9=99%</v>
      </c>
      <c r="H45" s="40" t="str">
        <f>CONCATENATE(Source!AT25)</f>
        <v>99</v>
      </c>
    </row>
    <row r="46" spans="1:28" x14ac:dyDescent="0.2">
      <c r="C46" s="11" t="s">
        <v>904</v>
      </c>
      <c r="D46" s="40"/>
      <c r="E46" s="40"/>
      <c r="F46" s="40">
        <f>Source!CA25</f>
        <v>70</v>
      </c>
      <c r="G46" s="63">
        <f>(Source!AF25+Source!AE25)*Source!FY25/100</f>
        <v>969.71910000000003</v>
      </c>
      <c r="H46" s="63">
        <f>Source!Y25</f>
        <v>193.58</v>
      </c>
    </row>
    <row r="47" spans="1:28" x14ac:dyDescent="0.2">
      <c r="C47" s="11" t="s">
        <v>905</v>
      </c>
      <c r="D47" s="40"/>
      <c r="E47" s="40"/>
      <c r="F47" s="40"/>
      <c r="G47" s="40" t="str">
        <f>CONCATENATE(Source!DM25,Source!FU25, "=", Source!FY25, "%")</f>
        <v>*0,85=59,5%</v>
      </c>
      <c r="H47" s="40" t="str">
        <f>CONCATENATE(Source!AU25)</f>
        <v>60</v>
      </c>
    </row>
    <row r="48" spans="1:28" x14ac:dyDescent="0.2">
      <c r="C48" s="11" t="s">
        <v>906</v>
      </c>
      <c r="D48" s="40"/>
      <c r="E48" s="40"/>
      <c r="F48" s="40"/>
      <c r="G48" s="63">
        <f>((Source!AF25+Source!AE25)*Source!FX25/100)+((Source!AF25+Source!AE25)*Source!FY25/100)+Source!AB25</f>
        <v>4350.4412999999995</v>
      </c>
      <c r="H48" s="63">
        <f>Source!O25+Source!X25+Source!Y25</f>
        <v>862.84</v>
      </c>
    </row>
    <row r="49" spans="1:28" ht="71.25" x14ac:dyDescent="0.2">
      <c r="A49" s="52">
        <v>2</v>
      </c>
      <c r="B49" s="52" t="str">
        <f>Source!E27</f>
        <v>2</v>
      </c>
      <c r="C49" s="52" t="str">
        <f>Source!G27</f>
        <v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v>
      </c>
      <c r="D49" s="52" t="str">
        <f>Source!F27</f>
        <v>10-01-034-06</v>
      </c>
      <c r="E49" s="37" t="str">
        <f>Source!H27</f>
        <v>100 м2</v>
      </c>
      <c r="F49" s="14">
        <f>Source!I27</f>
        <v>3.2399999999999998E-2</v>
      </c>
      <c r="G49" s="27">
        <f>Source!AB27</f>
        <v>10081.99</v>
      </c>
      <c r="H49" s="27">
        <f>Source!O27</f>
        <v>1995.86</v>
      </c>
      <c r="T49">
        <f>Source!O27+Source!X27+Source!Y27</f>
        <v>2479.6799999999998</v>
      </c>
      <c r="U49">
        <f>Source!P27</f>
        <v>1642.77</v>
      </c>
      <c r="V49">
        <f>Source!S27</f>
        <v>289.94</v>
      </c>
      <c r="W49">
        <f>Source!Q27</f>
        <v>63.15</v>
      </c>
      <c r="X49">
        <f>Source!R27</f>
        <v>12.45</v>
      </c>
      <c r="Y49">
        <f>Source!U27</f>
        <v>5.429527199999999</v>
      </c>
      <c r="Z49">
        <f>Source!V27</f>
        <v>0.171315</v>
      </c>
      <c r="AA49">
        <f>Source!X27</f>
        <v>320.52999999999997</v>
      </c>
      <c r="AB49">
        <f>Source!Y27</f>
        <v>163.29</v>
      </c>
    </row>
    <row r="50" spans="1:28" ht="14.25" x14ac:dyDescent="0.2">
      <c r="C50" s="28" t="str">
        <f>"Объем: "&amp;Source!I27&amp;"=3,24/"&amp;"100"</f>
        <v>Объем: 0,0324=3,24/100</v>
      </c>
      <c r="F50" s="14"/>
      <c r="G50" s="14"/>
      <c r="H50" s="14"/>
    </row>
    <row r="51" spans="1:28" x14ac:dyDescent="0.2">
      <c r="C51" s="28" t="s">
        <v>898</v>
      </c>
      <c r="D51" s="28">
        <f>Source!BA27</f>
        <v>6.11</v>
      </c>
    </row>
    <row r="52" spans="1:28" x14ac:dyDescent="0.2">
      <c r="C52" s="28" t="s">
        <v>899</v>
      </c>
      <c r="D52" s="28">
        <f>Source!BB27</f>
        <v>6.11</v>
      </c>
    </row>
    <row r="53" spans="1:28" x14ac:dyDescent="0.2">
      <c r="C53" s="28" t="s">
        <v>900</v>
      </c>
      <c r="D53" s="28">
        <f>Source!BC27</f>
        <v>6.11</v>
      </c>
    </row>
    <row r="54" spans="1:28" x14ac:dyDescent="0.2">
      <c r="C54" s="28" t="s">
        <v>901</v>
      </c>
      <c r="D54" s="28">
        <f>Source!BS27</f>
        <v>6.11</v>
      </c>
    </row>
    <row r="55" spans="1:28" x14ac:dyDescent="0.2">
      <c r="C55" s="28" t="s">
        <v>907</v>
      </c>
      <c r="D55" s="118" t="s">
        <v>27</v>
      </c>
      <c r="E55" s="118"/>
      <c r="F55" s="118"/>
      <c r="G55" s="118"/>
      <c r="H55" s="118"/>
    </row>
    <row r="56" spans="1:28" x14ac:dyDescent="0.2">
      <c r="C56" s="28" t="s">
        <v>908</v>
      </c>
      <c r="D56" s="118" t="s">
        <v>27</v>
      </c>
      <c r="E56" s="118"/>
      <c r="F56" s="118"/>
      <c r="G56" s="118"/>
      <c r="H56" s="118"/>
    </row>
    <row r="57" spans="1:28" x14ac:dyDescent="0.2">
      <c r="C57" s="28" t="s">
        <v>909</v>
      </c>
      <c r="D57" s="118" t="s">
        <v>28</v>
      </c>
      <c r="E57" s="118"/>
      <c r="F57" s="118"/>
      <c r="G57" s="118"/>
      <c r="H57" s="118"/>
    </row>
    <row r="58" spans="1:28" x14ac:dyDescent="0.2">
      <c r="C58" s="28" t="s">
        <v>910</v>
      </c>
      <c r="D58" s="118" t="s">
        <v>28</v>
      </c>
      <c r="E58" s="118"/>
      <c r="F58" s="118"/>
      <c r="G58" s="118"/>
      <c r="H58" s="118"/>
    </row>
    <row r="59" spans="1:28" x14ac:dyDescent="0.2">
      <c r="C59" s="28" t="s">
        <v>911</v>
      </c>
      <c r="D59" s="118" t="s">
        <v>27</v>
      </c>
      <c r="E59" s="118"/>
      <c r="F59" s="118"/>
      <c r="G59" s="118"/>
      <c r="H59" s="118"/>
    </row>
    <row r="60" spans="1:28" x14ac:dyDescent="0.2">
      <c r="C60" s="11" t="s">
        <v>902</v>
      </c>
      <c r="D60" s="40"/>
      <c r="E60" s="40"/>
      <c r="F60" s="40">
        <f>Source!BZ27</f>
        <v>118</v>
      </c>
      <c r="G60" s="63">
        <f>(Source!AF27+Source!AE27)*Source!FX27/100</f>
        <v>1622.2368600000002</v>
      </c>
      <c r="H60" s="63">
        <f>Source!X27</f>
        <v>320.52999999999997</v>
      </c>
    </row>
    <row r="61" spans="1:28" x14ac:dyDescent="0.2">
      <c r="C61" s="11" t="s">
        <v>903</v>
      </c>
      <c r="D61" s="40"/>
      <c r="E61" s="40"/>
      <c r="F61" s="40"/>
      <c r="G61" s="40" t="str">
        <f>CONCATENATE(Source!DL27,Source!FT27, "=", Source!FX27, "%")</f>
        <v>*0,9=106,2%</v>
      </c>
      <c r="H61" s="40" t="str">
        <f>CONCATENATE(Source!AT27)</f>
        <v>106</v>
      </c>
    </row>
    <row r="62" spans="1:28" x14ac:dyDescent="0.2">
      <c r="C62" s="11" t="s">
        <v>904</v>
      </c>
      <c r="D62" s="40"/>
      <c r="E62" s="40"/>
      <c r="F62" s="40">
        <f>Source!CA27</f>
        <v>63</v>
      </c>
      <c r="G62" s="63">
        <f>(Source!AF27+Source!AE27)*Source!FY27/100</f>
        <v>817.99231500000008</v>
      </c>
      <c r="H62" s="63">
        <f>Source!Y27</f>
        <v>163.29</v>
      </c>
    </row>
    <row r="63" spans="1:28" x14ac:dyDescent="0.2">
      <c r="C63" s="11" t="s">
        <v>905</v>
      </c>
      <c r="D63" s="40"/>
      <c r="E63" s="40"/>
      <c r="F63" s="40"/>
      <c r="G63" s="40" t="str">
        <f>CONCATENATE(Source!DM27,Source!FU27, "=", Source!FY27, "%")</f>
        <v>*0,85=53,55%</v>
      </c>
      <c r="H63" s="40" t="str">
        <f>CONCATENATE(Source!AU27)</f>
        <v>54</v>
      </c>
    </row>
    <row r="64" spans="1:28" x14ac:dyDescent="0.2">
      <c r="C64" s="11" t="s">
        <v>906</v>
      </c>
      <c r="D64" s="40"/>
      <c r="E64" s="40"/>
      <c r="F64" s="40"/>
      <c r="G64" s="63">
        <f>((Source!AF27+Source!AE27)*Source!FX27/100)+((Source!AF27+Source!AE27)*Source!FY27/100)+Source!AB27</f>
        <v>12522.219175</v>
      </c>
      <c r="H64" s="63">
        <f>Source!O27+Source!X27+Source!Y27</f>
        <v>2479.6799999999998</v>
      </c>
    </row>
    <row r="65" spans="1:28" ht="71.25" x14ac:dyDescent="0.2">
      <c r="A65" s="52">
        <v>3</v>
      </c>
      <c r="B65" s="52" t="str">
        <f>Source!E29</f>
        <v>2,1</v>
      </c>
      <c r="C65" s="52" t="str">
        <f>Source!G29</f>
        <v>Блок оконный пластиковый двустворчатый, с глухой и поворотно-откидной створкой, двухкамерным стеклопакетом (42 мм), площадью до 3,5 м2</v>
      </c>
      <c r="D65" s="52" t="str">
        <f>Source!F29</f>
        <v>11.3.02.01-0019</v>
      </c>
      <c r="E65" s="37" t="str">
        <f>Source!H29</f>
        <v>м2</v>
      </c>
      <c r="F65" s="14">
        <f>Source!I29</f>
        <v>3.24</v>
      </c>
      <c r="G65" s="27">
        <f>Source!AB29</f>
        <v>2554.73</v>
      </c>
      <c r="H65" s="27">
        <f>Source!O29</f>
        <v>50574.46</v>
      </c>
      <c r="T65">
        <f>Source!O29+Source!X29+Source!Y29</f>
        <v>50574.46</v>
      </c>
      <c r="U65">
        <f>Source!P29</f>
        <v>50574.46</v>
      </c>
      <c r="V65">
        <f>Source!S29</f>
        <v>0</v>
      </c>
      <c r="W65">
        <f>Source!Q29</f>
        <v>0</v>
      </c>
      <c r="X65">
        <f>Source!R29</f>
        <v>0</v>
      </c>
      <c r="Y65">
        <f>Source!U29</f>
        <v>0</v>
      </c>
      <c r="Z65">
        <f>Source!V29</f>
        <v>0</v>
      </c>
      <c r="AA65">
        <f>Source!X29</f>
        <v>0</v>
      </c>
      <c r="AB65">
        <f>Source!Y29</f>
        <v>0</v>
      </c>
    </row>
    <row r="66" spans="1:28" ht="14.25" x14ac:dyDescent="0.2">
      <c r="C66" s="28" t="s">
        <v>900</v>
      </c>
      <c r="D66" s="28">
        <f>Source!BC29</f>
        <v>6.11</v>
      </c>
      <c r="F66" s="14"/>
      <c r="G66" s="14"/>
      <c r="H66" s="14"/>
    </row>
    <row r="67" spans="1:28" ht="42.75" x14ac:dyDescent="0.2">
      <c r="A67" s="52">
        <v>4</v>
      </c>
      <c r="B67" s="52" t="str">
        <f>Source!E31</f>
        <v>3</v>
      </c>
      <c r="C67" s="52" t="str">
        <f>Source!G31</f>
        <v>Установка подоконных досок из ПВХ в каменных стенах толщиной свыше 0,51 м</v>
      </c>
      <c r="D67" s="52" t="str">
        <f>Source!F31</f>
        <v>10-01-035-03</v>
      </c>
      <c r="E67" s="37" t="str">
        <f>Source!H31</f>
        <v>100 м</v>
      </c>
      <c r="F67" s="14">
        <f>Source!I31</f>
        <v>1.6E-2</v>
      </c>
      <c r="G67" s="27">
        <f>Source!AB31</f>
        <v>6514.01</v>
      </c>
      <c r="H67" s="27">
        <f>Source!O31</f>
        <v>636.80999999999995</v>
      </c>
      <c r="T67">
        <f>Source!O31+Source!X31+Source!Y31</f>
        <v>670.46999999999991</v>
      </c>
      <c r="U67">
        <f>Source!P31</f>
        <v>613.63</v>
      </c>
      <c r="V67">
        <f>Source!S31</f>
        <v>20.5</v>
      </c>
      <c r="W67">
        <f>Source!Q31</f>
        <v>2.68</v>
      </c>
      <c r="X67">
        <f>Source!R31</f>
        <v>0.54</v>
      </c>
      <c r="Y67">
        <f>Source!U31</f>
        <v>0.39339199999999996</v>
      </c>
      <c r="Z67">
        <f>Source!V31</f>
        <v>7.4000000000000003E-3</v>
      </c>
      <c r="AA67">
        <f>Source!X31</f>
        <v>22.3</v>
      </c>
      <c r="AB67">
        <f>Source!Y31</f>
        <v>11.36</v>
      </c>
    </row>
    <row r="68" spans="1:28" ht="14.25" x14ac:dyDescent="0.2">
      <c r="C68" s="28" t="str">
        <f>"Объем: "&amp;Source!I31&amp;"=1,6/"&amp;"100"</f>
        <v>Объем: 0,016=1,6/100</v>
      </c>
      <c r="F68" s="14"/>
      <c r="G68" s="14"/>
      <c r="H68" s="14"/>
    </row>
    <row r="69" spans="1:28" x14ac:dyDescent="0.2">
      <c r="C69" s="28" t="s">
        <v>898</v>
      </c>
      <c r="D69" s="28">
        <f>Source!BA31</f>
        <v>6.11</v>
      </c>
    </row>
    <row r="70" spans="1:28" x14ac:dyDescent="0.2">
      <c r="C70" s="28" t="s">
        <v>899</v>
      </c>
      <c r="D70" s="28">
        <f>Source!BB31</f>
        <v>6.11</v>
      </c>
    </row>
    <row r="71" spans="1:28" x14ac:dyDescent="0.2">
      <c r="C71" s="28" t="s">
        <v>900</v>
      </c>
      <c r="D71" s="28">
        <f>Source!BC31</f>
        <v>6.11</v>
      </c>
    </row>
    <row r="72" spans="1:28" x14ac:dyDescent="0.2">
      <c r="C72" s="28" t="s">
        <v>901</v>
      </c>
      <c r="D72" s="28">
        <f>Source!BS31</f>
        <v>6.11</v>
      </c>
    </row>
    <row r="73" spans="1:28" x14ac:dyDescent="0.2">
      <c r="C73" s="28" t="s">
        <v>907</v>
      </c>
      <c r="D73" s="118" t="s">
        <v>27</v>
      </c>
      <c r="E73" s="118"/>
      <c r="F73" s="118"/>
      <c r="G73" s="118"/>
      <c r="H73" s="118"/>
    </row>
    <row r="74" spans="1:28" x14ac:dyDescent="0.2">
      <c r="C74" s="28" t="s">
        <v>908</v>
      </c>
      <c r="D74" s="118" t="s">
        <v>27</v>
      </c>
      <c r="E74" s="118"/>
      <c r="F74" s="118"/>
      <c r="G74" s="118"/>
      <c r="H74" s="118"/>
    </row>
    <row r="75" spans="1:28" x14ac:dyDescent="0.2">
      <c r="C75" s="28" t="s">
        <v>909</v>
      </c>
      <c r="D75" s="118" t="s">
        <v>28</v>
      </c>
      <c r="E75" s="118"/>
      <c r="F75" s="118"/>
      <c r="G75" s="118"/>
      <c r="H75" s="118"/>
    </row>
    <row r="76" spans="1:28" x14ac:dyDescent="0.2">
      <c r="C76" s="28" t="s">
        <v>910</v>
      </c>
      <c r="D76" s="118" t="s">
        <v>28</v>
      </c>
      <c r="E76" s="118"/>
      <c r="F76" s="118"/>
      <c r="G76" s="118"/>
      <c r="H76" s="118"/>
    </row>
    <row r="77" spans="1:28" x14ac:dyDescent="0.2">
      <c r="C77" s="28" t="s">
        <v>911</v>
      </c>
      <c r="D77" s="118" t="s">
        <v>27</v>
      </c>
      <c r="E77" s="118"/>
      <c r="F77" s="118"/>
      <c r="G77" s="118"/>
      <c r="H77" s="118"/>
    </row>
    <row r="78" spans="1:28" x14ac:dyDescent="0.2">
      <c r="C78" s="11" t="s">
        <v>902</v>
      </c>
      <c r="D78" s="40"/>
      <c r="E78" s="40"/>
      <c r="F78" s="40">
        <f>Source!BZ31</f>
        <v>118</v>
      </c>
      <c r="G78" s="63">
        <f>(Source!AF31+Source!AE31)*Source!FX31/100</f>
        <v>228.61673999999999</v>
      </c>
      <c r="H78" s="63">
        <f>Source!X31</f>
        <v>22.3</v>
      </c>
    </row>
    <row r="79" spans="1:28" x14ac:dyDescent="0.2">
      <c r="C79" s="11" t="s">
        <v>903</v>
      </c>
      <c r="D79" s="40"/>
      <c r="E79" s="40"/>
      <c r="F79" s="40"/>
      <c r="G79" s="40" t="str">
        <f>CONCATENATE(Source!DL31,Source!FT31, "=", Source!FX31, "%")</f>
        <v>*0,9=106,2%</v>
      </c>
      <c r="H79" s="40" t="str">
        <f>CONCATENATE(Source!AT31)</f>
        <v>106</v>
      </c>
    </row>
    <row r="80" spans="1:28" x14ac:dyDescent="0.2">
      <c r="C80" s="11" t="s">
        <v>904</v>
      </c>
      <c r="D80" s="40"/>
      <c r="E80" s="40"/>
      <c r="F80" s="40">
        <f>Source!CA31</f>
        <v>63</v>
      </c>
      <c r="G80" s="63">
        <f>(Source!AF31+Source!AE31)*Source!FY31/100</f>
        <v>115.27708499999999</v>
      </c>
      <c r="H80" s="63">
        <f>Source!Y31</f>
        <v>11.36</v>
      </c>
    </row>
    <row r="81" spans="1:28" x14ac:dyDescent="0.2">
      <c r="C81" s="11" t="s">
        <v>905</v>
      </c>
      <c r="D81" s="40"/>
      <c r="E81" s="40"/>
      <c r="F81" s="40"/>
      <c r="G81" s="40" t="str">
        <f>CONCATENATE(Source!DM31,Source!FU31, "=", Source!FY31, "%")</f>
        <v>*0,85=53,55%</v>
      </c>
      <c r="H81" s="40" t="str">
        <f>CONCATENATE(Source!AU31)</f>
        <v>54</v>
      </c>
    </row>
    <row r="82" spans="1:28" x14ac:dyDescent="0.2">
      <c r="C82" s="11" t="s">
        <v>906</v>
      </c>
      <c r="D82" s="40"/>
      <c r="E82" s="40"/>
      <c r="F82" s="40"/>
      <c r="G82" s="63">
        <f>((Source!AF31+Source!AE31)*Source!FX31/100)+((Source!AF31+Source!AE31)*Source!FY31/100)+Source!AB31</f>
        <v>6857.9038250000003</v>
      </c>
      <c r="H82" s="63">
        <f>Source!O31+Source!X31+Source!Y31</f>
        <v>670.46999999999991</v>
      </c>
    </row>
    <row r="83" spans="1:28" ht="28.5" x14ac:dyDescent="0.2">
      <c r="A83" s="52">
        <v>5</v>
      </c>
      <c r="B83" s="52" t="str">
        <f>Source!E33</f>
        <v>3,1</v>
      </c>
      <c r="C83" s="52" t="str">
        <f>Source!G33</f>
        <v>Доски подоконные ПВХ, шириной 250 мм</v>
      </c>
      <c r="D83" s="52" t="str">
        <f>Source!F33</f>
        <v>11.3.03.01-0004</v>
      </c>
      <c r="E83" s="37" t="str">
        <f>Source!H33</f>
        <v>м</v>
      </c>
      <c r="F83" s="14">
        <f>Source!I33</f>
        <v>1.6</v>
      </c>
      <c r="G83" s="27">
        <f>Source!AB33</f>
        <v>32.42</v>
      </c>
      <c r="H83" s="27">
        <f>Source!O33</f>
        <v>316.94</v>
      </c>
      <c r="T83">
        <f>Source!O33+Source!X33+Source!Y33</f>
        <v>316.94</v>
      </c>
      <c r="U83">
        <f>Source!P33</f>
        <v>316.94</v>
      </c>
      <c r="V83">
        <f>Source!S33</f>
        <v>0</v>
      </c>
      <c r="W83">
        <f>Source!Q33</f>
        <v>0</v>
      </c>
      <c r="X83">
        <f>Source!R33</f>
        <v>0</v>
      </c>
      <c r="Y83">
        <f>Source!U33</f>
        <v>0</v>
      </c>
      <c r="Z83">
        <f>Source!V33</f>
        <v>0</v>
      </c>
      <c r="AA83">
        <f>Source!X33</f>
        <v>0</v>
      </c>
      <c r="AB83">
        <f>Source!Y33</f>
        <v>0</v>
      </c>
    </row>
    <row r="84" spans="1:28" ht="14.25" x14ac:dyDescent="0.2">
      <c r="C84" s="28" t="s">
        <v>900</v>
      </c>
      <c r="D84" s="28">
        <f>Source!BC33</f>
        <v>6.11</v>
      </c>
      <c r="F84" s="14"/>
      <c r="G84" s="14"/>
      <c r="H84" s="14"/>
    </row>
    <row r="85" spans="1:28" ht="57" x14ac:dyDescent="0.2">
      <c r="A85" s="52">
        <v>6</v>
      </c>
      <c r="B85" s="52" t="str">
        <f>Source!E35</f>
        <v>4</v>
      </c>
      <c r="C85" s="52" t="str">
        <f>Source!G35</f>
        <v>Облицовка оконных и дверных откосов декоративным бумажно-слоистым пластиком или листами из синтетических материалов на клее</v>
      </c>
      <c r="D85" s="52" t="str">
        <f>Source!F35</f>
        <v>15-01-050-04</v>
      </c>
      <c r="E85" s="37" t="str">
        <f>Source!H35</f>
        <v>100 м2</v>
      </c>
      <c r="F85" s="14">
        <f>Source!I35</f>
        <v>1.23E-2</v>
      </c>
      <c r="G85" s="27">
        <f>Source!AB35</f>
        <v>1801.98</v>
      </c>
      <c r="H85" s="27">
        <f>Source!O35</f>
        <v>135.43</v>
      </c>
      <c r="T85">
        <f>Source!O35+Source!X35+Source!Y35</f>
        <v>323.89999999999998</v>
      </c>
      <c r="U85">
        <f>Source!P35</f>
        <v>0.03</v>
      </c>
      <c r="V85">
        <f>Source!S35</f>
        <v>132.08000000000001</v>
      </c>
      <c r="W85">
        <f>Source!Q35</f>
        <v>3.32</v>
      </c>
      <c r="X85">
        <f>Source!R35</f>
        <v>0.65</v>
      </c>
      <c r="Y85">
        <f>Source!U35</f>
        <v>2.3547181500000001</v>
      </c>
      <c r="Z85">
        <f>Source!V35</f>
        <v>8.9175000000000001E-3</v>
      </c>
      <c r="AA85">
        <f>Source!X35</f>
        <v>126.09</v>
      </c>
      <c r="AB85">
        <f>Source!Y35</f>
        <v>62.38</v>
      </c>
    </row>
    <row r="86" spans="1:28" ht="14.25" x14ac:dyDescent="0.2">
      <c r="C86" s="28" t="str">
        <f>"Объем: "&amp;Source!I35&amp;"=1,23/"&amp;"100"</f>
        <v>Объем: 0,0123=1,23/100</v>
      </c>
      <c r="F86" s="14"/>
      <c r="G86" s="14"/>
      <c r="H86" s="14"/>
    </row>
    <row r="87" spans="1:28" x14ac:dyDescent="0.2">
      <c r="C87" s="28" t="s">
        <v>898</v>
      </c>
      <c r="D87" s="28">
        <f>Source!BA35</f>
        <v>6.11</v>
      </c>
    </row>
    <row r="88" spans="1:28" x14ac:dyDescent="0.2">
      <c r="C88" s="28" t="s">
        <v>899</v>
      </c>
      <c r="D88" s="28">
        <f>Source!BB35</f>
        <v>6.11</v>
      </c>
    </row>
    <row r="89" spans="1:28" x14ac:dyDescent="0.2">
      <c r="C89" s="28" t="s">
        <v>900</v>
      </c>
      <c r="D89" s="28">
        <f>Source!BC35</f>
        <v>6.11</v>
      </c>
    </row>
    <row r="90" spans="1:28" x14ac:dyDescent="0.2">
      <c r="C90" s="28" t="s">
        <v>901</v>
      </c>
      <c r="D90" s="28">
        <f>Source!BS35</f>
        <v>6.11</v>
      </c>
    </row>
    <row r="91" spans="1:28" x14ac:dyDescent="0.2">
      <c r="C91" s="28" t="s">
        <v>907</v>
      </c>
      <c r="D91" s="118" t="s">
        <v>27</v>
      </c>
      <c r="E91" s="118"/>
      <c r="F91" s="118"/>
      <c r="G91" s="118"/>
      <c r="H91" s="118"/>
    </row>
    <row r="92" spans="1:28" x14ac:dyDescent="0.2">
      <c r="C92" s="28" t="s">
        <v>908</v>
      </c>
      <c r="D92" s="118" t="s">
        <v>27</v>
      </c>
      <c r="E92" s="118"/>
      <c r="F92" s="118"/>
      <c r="G92" s="118"/>
      <c r="H92" s="118"/>
    </row>
    <row r="93" spans="1:28" x14ac:dyDescent="0.2">
      <c r="C93" s="28" t="s">
        <v>909</v>
      </c>
      <c r="D93" s="118" t="s">
        <v>28</v>
      </c>
      <c r="E93" s="118"/>
      <c r="F93" s="118"/>
      <c r="G93" s="118"/>
      <c r="H93" s="118"/>
    </row>
    <row r="94" spans="1:28" x14ac:dyDescent="0.2">
      <c r="C94" s="28" t="s">
        <v>910</v>
      </c>
      <c r="D94" s="118" t="s">
        <v>28</v>
      </c>
      <c r="E94" s="118"/>
      <c r="F94" s="118"/>
      <c r="G94" s="118"/>
      <c r="H94" s="118"/>
    </row>
    <row r="95" spans="1:28" x14ac:dyDescent="0.2">
      <c r="C95" s="28" t="s">
        <v>911</v>
      </c>
      <c r="D95" s="118" t="s">
        <v>27</v>
      </c>
      <c r="E95" s="118"/>
      <c r="F95" s="118"/>
      <c r="G95" s="118"/>
      <c r="H95" s="118"/>
    </row>
    <row r="96" spans="1:28" x14ac:dyDescent="0.2">
      <c r="C96" s="11" t="s">
        <v>902</v>
      </c>
      <c r="D96" s="40"/>
      <c r="E96" s="40"/>
      <c r="F96" s="40">
        <f>Source!BZ35</f>
        <v>105</v>
      </c>
      <c r="G96" s="63">
        <f>(Source!AF35+Source!AE35)*Source!FX35/100</f>
        <v>1668.8888999999999</v>
      </c>
      <c r="H96" s="63">
        <f>Source!X35</f>
        <v>126.09</v>
      </c>
    </row>
    <row r="97" spans="1:28" x14ac:dyDescent="0.2">
      <c r="C97" s="11" t="s">
        <v>903</v>
      </c>
      <c r="D97" s="40"/>
      <c r="E97" s="40"/>
      <c r="F97" s="40"/>
      <c r="G97" s="40" t="str">
        <f>CONCATENATE(Source!DL35,Source!FT35, "=", Source!FX35, "%")</f>
        <v>*0,9=94,5%</v>
      </c>
      <c r="H97" s="40" t="str">
        <f>CONCATENATE(Source!AT35)</f>
        <v>95</v>
      </c>
    </row>
    <row r="98" spans="1:28" x14ac:dyDescent="0.2">
      <c r="C98" s="11" t="s">
        <v>904</v>
      </c>
      <c r="D98" s="40"/>
      <c r="E98" s="40"/>
      <c r="F98" s="40">
        <f>Source!CA35</f>
        <v>55</v>
      </c>
      <c r="G98" s="63">
        <f>(Source!AF35+Source!AE35)*Source!FY35/100</f>
        <v>825.61434999999994</v>
      </c>
      <c r="H98" s="63">
        <f>Source!Y35</f>
        <v>62.38</v>
      </c>
    </row>
    <row r="99" spans="1:28" x14ac:dyDescent="0.2">
      <c r="C99" s="11" t="s">
        <v>905</v>
      </c>
      <c r="D99" s="40"/>
      <c r="E99" s="40"/>
      <c r="F99" s="40"/>
      <c r="G99" s="40" t="str">
        <f>CONCATENATE(Source!DM35,Source!FU35, "=", Source!FY35, "%")</f>
        <v>*0,85=46,75%</v>
      </c>
      <c r="H99" s="40" t="str">
        <f>CONCATENATE(Source!AU35)</f>
        <v>47</v>
      </c>
    </row>
    <row r="100" spans="1:28" x14ac:dyDescent="0.2">
      <c r="C100" s="11" t="s">
        <v>906</v>
      </c>
      <c r="D100" s="40"/>
      <c r="E100" s="40"/>
      <c r="F100" s="40"/>
      <c r="G100" s="63">
        <f>((Source!AF35+Source!AE35)*Source!FX35/100)+((Source!AF35+Source!AE35)*Source!FY35/100)+Source!AB35</f>
        <v>4296.4832499999993</v>
      </c>
      <c r="H100" s="63">
        <f>Source!O35+Source!X35+Source!Y35</f>
        <v>323.89999999999998</v>
      </c>
    </row>
    <row r="101" spans="1:28" ht="85.5" x14ac:dyDescent="0.2">
      <c r="A101" s="52">
        <v>7</v>
      </c>
      <c r="B101" s="52" t="str">
        <f>Source!E37</f>
        <v>4,1</v>
      </c>
      <c r="C101" s="52" t="str">
        <f>Source!G37</f>
        <v>Сэндвич-панели для откосов (наружные слои – листы из поливинилхлорида, внутреннее наполнение – вспененный пенополистирол) белые, ширина 1,5 м, длина 3,0 м, толщина 10 мм</v>
      </c>
      <c r="D101" s="52" t="str">
        <f>Source!F37</f>
        <v>11.3.03.05-0011</v>
      </c>
      <c r="E101" s="37" t="str">
        <f>Source!H37</f>
        <v>м2</v>
      </c>
      <c r="F101" s="14">
        <f>Source!I37</f>
        <v>1.2915000000000001</v>
      </c>
      <c r="G101" s="27">
        <f>Source!AB37</f>
        <v>59.16</v>
      </c>
      <c r="H101" s="27">
        <f>Source!O37</f>
        <v>466.84</v>
      </c>
      <c r="T101">
        <f>Source!O37+Source!X37+Source!Y37</f>
        <v>466.84</v>
      </c>
      <c r="U101">
        <f>Source!P37</f>
        <v>466.84</v>
      </c>
      <c r="V101">
        <f>Source!S37</f>
        <v>0</v>
      </c>
      <c r="W101">
        <f>Source!Q37</f>
        <v>0</v>
      </c>
      <c r="X101">
        <f>Source!R37</f>
        <v>0</v>
      </c>
      <c r="Y101">
        <f>Source!U37</f>
        <v>0</v>
      </c>
      <c r="Z101">
        <f>Source!V37</f>
        <v>0</v>
      </c>
      <c r="AA101">
        <f>Source!X37</f>
        <v>0</v>
      </c>
      <c r="AB101">
        <f>Source!Y37</f>
        <v>0</v>
      </c>
    </row>
    <row r="102" spans="1:28" ht="14.25" x14ac:dyDescent="0.2">
      <c r="C102" s="28" t="s">
        <v>900</v>
      </c>
      <c r="D102" s="28">
        <f>Source!BC37</f>
        <v>6.11</v>
      </c>
      <c r="F102" s="14"/>
      <c r="G102" s="14"/>
      <c r="H102" s="14"/>
    </row>
    <row r="103" spans="1:28" ht="28.5" x14ac:dyDescent="0.2">
      <c r="A103" s="52">
        <v>8</v>
      </c>
      <c r="B103" s="52" t="str">
        <f>Source!E39</f>
        <v>4,2</v>
      </c>
      <c r="C103" s="52" t="str">
        <f>Source!G39</f>
        <v>Клей Forbo 522, для укладки ПВХ-покрытий</v>
      </c>
      <c r="D103" s="52" t="str">
        <f>Source!F39</f>
        <v>14.1.02.04-0102</v>
      </c>
      <c r="E103" s="37" t="str">
        <f>Source!H39</f>
        <v>кг</v>
      </c>
      <c r="F103" s="14">
        <f>Source!I39</f>
        <v>0.36899999999999999</v>
      </c>
      <c r="G103" s="27">
        <f>Source!AB39</f>
        <v>25.56</v>
      </c>
      <c r="H103" s="27">
        <f>Source!O39</f>
        <v>57.63</v>
      </c>
      <c r="T103">
        <f>Source!O39+Source!X39+Source!Y39</f>
        <v>57.63</v>
      </c>
      <c r="U103">
        <f>Source!P39</f>
        <v>57.63</v>
      </c>
      <c r="V103">
        <f>Source!S39</f>
        <v>0</v>
      </c>
      <c r="W103">
        <f>Source!Q39</f>
        <v>0</v>
      </c>
      <c r="X103">
        <f>Source!R39</f>
        <v>0</v>
      </c>
      <c r="Y103">
        <f>Source!U39</f>
        <v>0</v>
      </c>
      <c r="Z103">
        <f>Source!V39</f>
        <v>0</v>
      </c>
      <c r="AA103">
        <f>Source!X39</f>
        <v>0</v>
      </c>
      <c r="AB103">
        <f>Source!Y39</f>
        <v>0</v>
      </c>
    </row>
    <row r="104" spans="1:28" ht="14.25" x14ac:dyDescent="0.2">
      <c r="C104" s="28" t="s">
        <v>900</v>
      </c>
      <c r="D104" s="28">
        <f>Source!BC39</f>
        <v>6.11</v>
      </c>
      <c r="F104" s="14"/>
      <c r="G104" s="14"/>
      <c r="H104" s="14"/>
    </row>
    <row r="105" spans="1:28" ht="28.5" x14ac:dyDescent="0.2">
      <c r="A105" s="52">
        <v>9</v>
      </c>
      <c r="B105" s="52" t="str">
        <f>Source!E41</f>
        <v>4,3</v>
      </c>
      <c r="C105" s="52" t="str">
        <f>Source!G41</f>
        <v>Грунтовка: водно-дисперсионная "БИРСС Бетон-контакт"</v>
      </c>
      <c r="D105" s="52" t="str">
        <f>Source!F41</f>
        <v>14.3.01.02-0102</v>
      </c>
      <c r="E105" s="37" t="str">
        <f>Source!H41</f>
        <v>т</v>
      </c>
      <c r="F105" s="14">
        <f>Source!I41</f>
        <v>1.0899999999999999E-4</v>
      </c>
      <c r="G105" s="27">
        <f>Source!AB41</f>
        <v>18390.16</v>
      </c>
      <c r="H105" s="27">
        <f>Source!O41</f>
        <v>12.25</v>
      </c>
      <c r="T105">
        <f>Source!O41+Source!X41+Source!Y41</f>
        <v>12.25</v>
      </c>
      <c r="U105">
        <f>Source!P41</f>
        <v>12.25</v>
      </c>
      <c r="V105">
        <f>Source!S41</f>
        <v>0</v>
      </c>
      <c r="W105">
        <f>Source!Q41</f>
        <v>0</v>
      </c>
      <c r="X105">
        <f>Source!R41</f>
        <v>0</v>
      </c>
      <c r="Y105">
        <f>Source!U41</f>
        <v>0</v>
      </c>
      <c r="Z105">
        <f>Source!V41</f>
        <v>0</v>
      </c>
      <c r="AA105">
        <f>Source!X41</f>
        <v>0</v>
      </c>
      <c r="AB105">
        <f>Source!Y41</f>
        <v>0</v>
      </c>
    </row>
    <row r="106" spans="1:28" ht="14.25" x14ac:dyDescent="0.2">
      <c r="C106" s="28" t="s">
        <v>900</v>
      </c>
      <c r="D106" s="28">
        <f>Source!BC41</f>
        <v>6.11</v>
      </c>
      <c r="F106" s="14"/>
      <c r="G106" s="14"/>
      <c r="H106" s="14"/>
    </row>
    <row r="107" spans="1:28" ht="28.5" x14ac:dyDescent="0.2">
      <c r="A107" s="52">
        <v>10</v>
      </c>
      <c r="B107" s="52" t="str">
        <f>Source!E43</f>
        <v>5</v>
      </c>
      <c r="C107" s="52" t="str">
        <f>Source!G43</f>
        <v>Установка уголков ПВХ на клее</v>
      </c>
      <c r="D107" s="52" t="str">
        <f>Source!F43</f>
        <v>10-01-036-01</v>
      </c>
      <c r="E107" s="37" t="str">
        <f>Source!H43</f>
        <v>100 м</v>
      </c>
      <c r="F107" s="14">
        <f>Source!I43</f>
        <v>6.1499999999999999E-2</v>
      </c>
      <c r="G107" s="27">
        <f>Source!AB43</f>
        <v>101.72</v>
      </c>
      <c r="H107" s="27">
        <f>Source!O43</f>
        <v>38.229999999999997</v>
      </c>
      <c r="T107">
        <f>Source!O43+Source!X43+Source!Y43</f>
        <v>77.75</v>
      </c>
      <c r="U107">
        <f>Source!P43</f>
        <v>13.53</v>
      </c>
      <c r="V107">
        <f>Source!S43</f>
        <v>24.7</v>
      </c>
      <c r="W107">
        <f>Source!Q43</f>
        <v>0</v>
      </c>
      <c r="X107">
        <f>Source!R43</f>
        <v>0</v>
      </c>
      <c r="Y107">
        <f>Source!U43</f>
        <v>0.47385749999999993</v>
      </c>
      <c r="Z107">
        <f>Source!V43</f>
        <v>0</v>
      </c>
      <c r="AA107">
        <f>Source!X43</f>
        <v>26.18</v>
      </c>
      <c r="AB107">
        <f>Source!Y43</f>
        <v>13.34</v>
      </c>
    </row>
    <row r="108" spans="1:28" ht="14.25" x14ac:dyDescent="0.2">
      <c r="C108" s="28" t="str">
        <f>"Объем: "&amp;Source!I43&amp;"=6,15/"&amp;"100"</f>
        <v>Объем: 0,0615=6,15/100</v>
      </c>
      <c r="F108" s="14"/>
      <c r="G108" s="14"/>
      <c r="H108" s="14"/>
    </row>
    <row r="109" spans="1:28" x14ac:dyDescent="0.2">
      <c r="C109" s="28" t="s">
        <v>898</v>
      </c>
      <c r="D109" s="28">
        <f>Source!BA43</f>
        <v>6.11</v>
      </c>
    </row>
    <row r="110" spans="1:28" x14ac:dyDescent="0.2">
      <c r="C110" s="28" t="s">
        <v>899</v>
      </c>
      <c r="D110" s="28">
        <f>Source!BB43</f>
        <v>6.11</v>
      </c>
    </row>
    <row r="111" spans="1:28" x14ac:dyDescent="0.2">
      <c r="C111" s="28" t="s">
        <v>900</v>
      </c>
      <c r="D111" s="28">
        <f>Source!BC43</f>
        <v>6.11</v>
      </c>
    </row>
    <row r="112" spans="1:28" x14ac:dyDescent="0.2">
      <c r="C112" s="28" t="s">
        <v>901</v>
      </c>
      <c r="D112" s="28">
        <f>Source!BS43</f>
        <v>6.11</v>
      </c>
    </row>
    <row r="113" spans="1:28" x14ac:dyDescent="0.2">
      <c r="C113" s="28" t="s">
        <v>907</v>
      </c>
      <c r="D113" s="118" t="s">
        <v>27</v>
      </c>
      <c r="E113" s="118"/>
      <c r="F113" s="118"/>
      <c r="G113" s="118"/>
      <c r="H113" s="118"/>
    </row>
    <row r="114" spans="1:28" x14ac:dyDescent="0.2">
      <c r="C114" s="28" t="s">
        <v>908</v>
      </c>
      <c r="D114" s="118" t="s">
        <v>27</v>
      </c>
      <c r="E114" s="118"/>
      <c r="F114" s="118"/>
      <c r="G114" s="118"/>
      <c r="H114" s="118"/>
    </row>
    <row r="115" spans="1:28" x14ac:dyDescent="0.2">
      <c r="C115" s="28" t="s">
        <v>909</v>
      </c>
      <c r="D115" s="118" t="s">
        <v>28</v>
      </c>
      <c r="E115" s="118"/>
      <c r="F115" s="118"/>
      <c r="G115" s="118"/>
      <c r="H115" s="118"/>
    </row>
    <row r="116" spans="1:28" x14ac:dyDescent="0.2">
      <c r="C116" s="28" t="s">
        <v>910</v>
      </c>
      <c r="D116" s="118" t="s">
        <v>28</v>
      </c>
      <c r="E116" s="118"/>
      <c r="F116" s="118"/>
      <c r="G116" s="118"/>
      <c r="H116" s="118"/>
    </row>
    <row r="117" spans="1:28" x14ac:dyDescent="0.2">
      <c r="C117" s="28" t="s">
        <v>911</v>
      </c>
      <c r="D117" s="118" t="s">
        <v>27</v>
      </c>
      <c r="E117" s="118"/>
      <c r="F117" s="118"/>
      <c r="G117" s="118"/>
      <c r="H117" s="118"/>
    </row>
    <row r="118" spans="1:28" x14ac:dyDescent="0.2">
      <c r="C118" s="11" t="s">
        <v>902</v>
      </c>
      <c r="D118" s="40"/>
      <c r="E118" s="40"/>
      <c r="F118" s="40">
        <f>Source!BZ43</f>
        <v>118</v>
      </c>
      <c r="G118" s="63">
        <f>(Source!AF43+Source!AE43)*Source!FX43/100</f>
        <v>69.794640000000001</v>
      </c>
      <c r="H118" s="63">
        <f>Source!X43</f>
        <v>26.18</v>
      </c>
    </row>
    <row r="119" spans="1:28" x14ac:dyDescent="0.2">
      <c r="C119" s="11" t="s">
        <v>903</v>
      </c>
      <c r="D119" s="40"/>
      <c r="E119" s="40"/>
      <c r="F119" s="40"/>
      <c r="G119" s="40" t="str">
        <f>CONCATENATE(Source!DL43,Source!FT43, "=", Source!FX43, "%")</f>
        <v>*0,9=106,2%</v>
      </c>
      <c r="H119" s="40" t="str">
        <f>CONCATENATE(Source!AT43)</f>
        <v>106</v>
      </c>
    </row>
    <row r="120" spans="1:28" x14ac:dyDescent="0.2">
      <c r="C120" s="11" t="s">
        <v>904</v>
      </c>
      <c r="D120" s="40"/>
      <c r="E120" s="40"/>
      <c r="F120" s="40">
        <f>Source!CA43</f>
        <v>63</v>
      </c>
      <c r="G120" s="63">
        <f>(Source!AF43+Source!AE43)*Source!FY43/100</f>
        <v>35.193059999999996</v>
      </c>
      <c r="H120" s="63">
        <f>Source!Y43</f>
        <v>13.34</v>
      </c>
    </row>
    <row r="121" spans="1:28" x14ac:dyDescent="0.2">
      <c r="C121" s="11" t="s">
        <v>905</v>
      </c>
      <c r="D121" s="40"/>
      <c r="E121" s="40"/>
      <c r="F121" s="40"/>
      <c r="G121" s="40" t="str">
        <f>CONCATENATE(Source!DM43,Source!FU43, "=", Source!FY43, "%")</f>
        <v>*0,85=53,55%</v>
      </c>
      <c r="H121" s="40" t="str">
        <f>CONCATENATE(Source!AU43)</f>
        <v>54</v>
      </c>
    </row>
    <row r="122" spans="1:28" x14ac:dyDescent="0.2">
      <c r="C122" s="11" t="s">
        <v>906</v>
      </c>
      <c r="D122" s="40"/>
      <c r="E122" s="40"/>
      <c r="F122" s="40"/>
      <c r="G122" s="63">
        <f>((Source!AF43+Source!AE43)*Source!FX43/100)+((Source!AF43+Source!AE43)*Source!FY43/100)+Source!AB43</f>
        <v>206.70769999999999</v>
      </c>
      <c r="H122" s="63">
        <f>Source!O43+Source!X43+Source!Y43</f>
        <v>77.75</v>
      </c>
    </row>
    <row r="123" spans="1:28" ht="28.5" x14ac:dyDescent="0.2">
      <c r="A123" s="52">
        <v>11</v>
      </c>
      <c r="B123" s="52" t="str">
        <f>Source!E45</f>
        <v>5,1</v>
      </c>
      <c r="C123" s="52" t="str">
        <f>Source!G45</f>
        <v>Уголок ПВХ, размером 30х30 мм</v>
      </c>
      <c r="D123" s="52" t="str">
        <f>Source!F45</f>
        <v>11.3.03.13-0045</v>
      </c>
      <c r="E123" s="37" t="str">
        <f>Source!H45</f>
        <v>10 м</v>
      </c>
      <c r="F123" s="14">
        <f>Source!I45</f>
        <v>0.61499999999999999</v>
      </c>
      <c r="G123" s="27">
        <f>Source!AB45</f>
        <v>32.4</v>
      </c>
      <c r="H123" s="27">
        <f>Source!O45</f>
        <v>121.75</v>
      </c>
      <c r="T123">
        <f>Source!O45+Source!X45+Source!Y45</f>
        <v>121.75</v>
      </c>
      <c r="U123">
        <f>Source!P45</f>
        <v>121.75</v>
      </c>
      <c r="V123">
        <f>Source!S45</f>
        <v>0</v>
      </c>
      <c r="W123">
        <f>Source!Q45</f>
        <v>0</v>
      </c>
      <c r="X123">
        <f>Source!R45</f>
        <v>0</v>
      </c>
      <c r="Y123">
        <f>Source!U45</f>
        <v>0</v>
      </c>
      <c r="Z123">
        <f>Source!V45</f>
        <v>0</v>
      </c>
      <c r="AA123">
        <f>Source!X45</f>
        <v>0</v>
      </c>
      <c r="AB123">
        <f>Source!Y45</f>
        <v>0</v>
      </c>
    </row>
    <row r="124" spans="1:28" ht="14.25" x14ac:dyDescent="0.2">
      <c r="C124" s="28" t="s">
        <v>900</v>
      </c>
      <c r="D124" s="28">
        <f>Source!BC45</f>
        <v>6.11</v>
      </c>
      <c r="F124" s="14"/>
      <c r="G124" s="14"/>
      <c r="H124" s="14"/>
    </row>
    <row r="125" spans="1:28" ht="28.5" x14ac:dyDescent="0.2">
      <c r="A125" s="52">
        <v>12</v>
      </c>
      <c r="B125" s="52" t="str">
        <f>Source!E47</f>
        <v>6</v>
      </c>
      <c r="C125" s="52" t="str">
        <f>Source!G47</f>
        <v>Демонтаж лотков, решеток, затворов из полосовой и тонколистовой стали</v>
      </c>
      <c r="D125" s="52" t="str">
        <f>Source!F47</f>
        <v>09-06-001-02</v>
      </c>
      <c r="E125" s="37" t="str">
        <f>Source!H47</f>
        <v>т</v>
      </c>
      <c r="F125" s="14">
        <f>Source!I47</f>
        <v>2.5000000000000001E-2</v>
      </c>
      <c r="G125" s="27">
        <f>Source!AB47</f>
        <v>391.33</v>
      </c>
      <c r="H125" s="27">
        <f>Source!O47</f>
        <v>59.77</v>
      </c>
      <c r="T125">
        <f>Source!O47+Source!X47+Source!Y47</f>
        <v>131.27000000000001</v>
      </c>
      <c r="U125">
        <f>Source!P47</f>
        <v>0</v>
      </c>
      <c r="V125">
        <f>Source!S47</f>
        <v>46.32</v>
      </c>
      <c r="W125">
        <f>Source!Q47</f>
        <v>13.45</v>
      </c>
      <c r="X125">
        <f>Source!R47</f>
        <v>0.41</v>
      </c>
      <c r="Y125">
        <f>Source!U47</f>
        <v>0.88882499999999998</v>
      </c>
      <c r="Z125">
        <f>Source!V47</f>
        <v>5.4250000000000001E-3</v>
      </c>
      <c r="AA125">
        <f>Source!X47</f>
        <v>37.85</v>
      </c>
      <c r="AB125">
        <f>Source!Y47</f>
        <v>33.65</v>
      </c>
    </row>
    <row r="126" spans="1:28" ht="14.25" x14ac:dyDescent="0.2">
      <c r="C126" s="28" t="s">
        <v>898</v>
      </c>
      <c r="D126" s="28">
        <f>Source!BA47</f>
        <v>6.11</v>
      </c>
      <c r="F126" s="14"/>
      <c r="G126" s="14"/>
      <c r="H126" s="14"/>
    </row>
    <row r="127" spans="1:28" x14ac:dyDescent="0.2">
      <c r="C127" s="28" t="s">
        <v>899</v>
      </c>
      <c r="D127" s="28">
        <f>Source!BB47</f>
        <v>6.11</v>
      </c>
    </row>
    <row r="128" spans="1:28" x14ac:dyDescent="0.2">
      <c r="C128" s="28" t="s">
        <v>900</v>
      </c>
      <c r="D128" s="28">
        <f>Source!BC47</f>
        <v>6.11</v>
      </c>
    </row>
    <row r="129" spans="1:28" x14ac:dyDescent="0.2">
      <c r="C129" s="28" t="s">
        <v>901</v>
      </c>
      <c r="D129" s="28">
        <f>Source!BS47</f>
        <v>6.11</v>
      </c>
    </row>
    <row r="130" spans="1:28" x14ac:dyDescent="0.2">
      <c r="C130" s="28" t="s">
        <v>912</v>
      </c>
      <c r="D130" s="118" t="s">
        <v>81</v>
      </c>
      <c r="E130" s="118"/>
      <c r="F130" s="118"/>
      <c r="G130" s="118"/>
      <c r="H130" s="118"/>
    </row>
    <row r="131" spans="1:28" x14ac:dyDescent="0.2">
      <c r="C131" s="28" t="s">
        <v>907</v>
      </c>
      <c r="D131" s="118" t="s">
        <v>82</v>
      </c>
      <c r="E131" s="118"/>
      <c r="F131" s="118"/>
      <c r="G131" s="118"/>
      <c r="H131" s="118"/>
    </row>
    <row r="132" spans="1:28" x14ac:dyDescent="0.2">
      <c r="C132" s="28" t="s">
        <v>908</v>
      </c>
      <c r="D132" s="118" t="s">
        <v>82</v>
      </c>
      <c r="E132" s="118"/>
      <c r="F132" s="118"/>
      <c r="G132" s="118"/>
      <c r="H132" s="118"/>
    </row>
    <row r="133" spans="1:28" x14ac:dyDescent="0.2">
      <c r="C133" s="28" t="s">
        <v>909</v>
      </c>
      <c r="D133" s="118" t="s">
        <v>82</v>
      </c>
      <c r="E133" s="118"/>
      <c r="F133" s="118"/>
      <c r="G133" s="118"/>
      <c r="H133" s="118"/>
    </row>
    <row r="134" spans="1:28" x14ac:dyDescent="0.2">
      <c r="C134" s="28" t="s">
        <v>910</v>
      </c>
      <c r="D134" s="118" t="s">
        <v>82</v>
      </c>
      <c r="E134" s="118"/>
      <c r="F134" s="118"/>
      <c r="G134" s="118"/>
      <c r="H134" s="118"/>
    </row>
    <row r="135" spans="1:28" x14ac:dyDescent="0.2">
      <c r="C135" s="28" t="s">
        <v>911</v>
      </c>
      <c r="D135" s="118" t="s">
        <v>82</v>
      </c>
      <c r="E135" s="118"/>
      <c r="F135" s="118"/>
      <c r="G135" s="118"/>
      <c r="H135" s="118"/>
    </row>
    <row r="136" spans="1:28" x14ac:dyDescent="0.2">
      <c r="C136" s="11" t="s">
        <v>902</v>
      </c>
      <c r="D136" s="40"/>
      <c r="E136" s="40"/>
      <c r="F136" s="40">
        <f>Source!BZ47</f>
        <v>90</v>
      </c>
      <c r="G136" s="63">
        <f>(Source!AF47+Source!AE47)*Source!FX47/100</f>
        <v>247.81139999999999</v>
      </c>
      <c r="H136" s="63">
        <f>Source!X47</f>
        <v>37.85</v>
      </c>
    </row>
    <row r="137" spans="1:28" x14ac:dyDescent="0.2">
      <c r="C137" s="11" t="s">
        <v>903</v>
      </c>
      <c r="D137" s="40"/>
      <c r="E137" s="40"/>
      <c r="F137" s="40"/>
      <c r="G137" s="40" t="str">
        <f>CONCATENATE(Source!DL47,Source!FT47, "=", Source!FX47, "%")</f>
        <v>*0,9=81%</v>
      </c>
      <c r="H137" s="40" t="str">
        <f>CONCATENATE(Source!AT47)</f>
        <v>81</v>
      </c>
    </row>
    <row r="138" spans="1:28" x14ac:dyDescent="0.2">
      <c r="C138" s="11" t="s">
        <v>904</v>
      </c>
      <c r="D138" s="40"/>
      <c r="E138" s="40"/>
      <c r="F138" s="40">
        <f>Source!CA47</f>
        <v>85</v>
      </c>
      <c r="G138" s="63">
        <f>(Source!AF47+Source!AE47)*Source!FY47/100</f>
        <v>221.04165</v>
      </c>
      <c r="H138" s="63">
        <f>Source!Y47</f>
        <v>33.65</v>
      </c>
    </row>
    <row r="139" spans="1:28" x14ac:dyDescent="0.2">
      <c r="C139" s="11" t="s">
        <v>905</v>
      </c>
      <c r="D139" s="40"/>
      <c r="E139" s="40"/>
      <c r="F139" s="40"/>
      <c r="G139" s="40" t="str">
        <f>CONCATENATE(Source!DM47,Source!FU47, "=", Source!FY47, "%")</f>
        <v>*0,85=72,25%</v>
      </c>
      <c r="H139" s="40" t="str">
        <f>CONCATENATE(Source!AU47)</f>
        <v>72</v>
      </c>
    </row>
    <row r="140" spans="1:28" x14ac:dyDescent="0.2">
      <c r="C140" s="11" t="s">
        <v>906</v>
      </c>
      <c r="D140" s="40"/>
      <c r="E140" s="40"/>
      <c r="F140" s="40"/>
      <c r="G140" s="63">
        <f>((Source!AF47+Source!AE47)*Source!FX47/100)+((Source!AF47+Source!AE47)*Source!FY47/100)+Source!AB47</f>
        <v>860.18304999999998</v>
      </c>
      <c r="H140" s="63">
        <f>Source!O47+Source!X47+Source!Y47</f>
        <v>131.27000000000001</v>
      </c>
    </row>
    <row r="141" spans="1:28" ht="42.75" x14ac:dyDescent="0.2">
      <c r="A141" s="52">
        <v>13</v>
      </c>
      <c r="B141" s="52" t="str">
        <f>Source!E49</f>
        <v>7</v>
      </c>
      <c r="C141" s="52" t="str">
        <f>Source!G49</f>
        <v>Смена обделок из листовой стали (поясков, сандриков, отливов, карнизов) шириной до 0,4 м</v>
      </c>
      <c r="D141" s="52" t="str">
        <f>Source!F49</f>
        <v>58-20-1</v>
      </c>
      <c r="E141" s="37" t="str">
        <f>Source!H49</f>
        <v>100 м</v>
      </c>
      <c r="F141" s="14">
        <f>Source!I49</f>
        <v>1.4E-2</v>
      </c>
      <c r="G141" s="27">
        <f>Source!AB49</f>
        <v>454.41</v>
      </c>
      <c r="H141" s="27">
        <f>Source!O49</f>
        <v>38.880000000000003</v>
      </c>
      <c r="T141">
        <f>Source!O49+Source!X49+Source!Y49</f>
        <v>83.800000000000011</v>
      </c>
      <c r="U141">
        <f>Source!P49</f>
        <v>8.2200000000000006</v>
      </c>
      <c r="V141">
        <f>Source!S49</f>
        <v>30.22</v>
      </c>
      <c r="W141">
        <f>Source!Q49</f>
        <v>0.44</v>
      </c>
      <c r="X141">
        <f>Source!R49</f>
        <v>0.13</v>
      </c>
      <c r="Y141">
        <f>Source!U49</f>
        <v>0.57973999999999992</v>
      </c>
      <c r="Z141">
        <f>Source!V49</f>
        <v>1.6800000000000001E-3</v>
      </c>
      <c r="AA141">
        <f>Source!X49</f>
        <v>25.19</v>
      </c>
      <c r="AB141">
        <f>Source!Y49</f>
        <v>19.73</v>
      </c>
    </row>
    <row r="142" spans="1:28" ht="14.25" x14ac:dyDescent="0.2">
      <c r="C142" s="28" t="str">
        <f>"Объем: "&amp;Source!I49&amp;"=1,4/"&amp;"100"</f>
        <v>Объем: 0,014=1,4/100</v>
      </c>
      <c r="F142" s="14"/>
      <c r="G142" s="14"/>
      <c r="H142" s="14"/>
    </row>
    <row r="143" spans="1:28" x14ac:dyDescent="0.2">
      <c r="C143" s="28" t="s">
        <v>898</v>
      </c>
      <c r="D143" s="28">
        <f>Source!BA49</f>
        <v>6.11</v>
      </c>
    </row>
    <row r="144" spans="1:28" x14ac:dyDescent="0.2">
      <c r="C144" s="28" t="s">
        <v>899</v>
      </c>
      <c r="D144" s="28">
        <f>Source!BB49</f>
        <v>6.11</v>
      </c>
    </row>
    <row r="145" spans="1:28" x14ac:dyDescent="0.2">
      <c r="C145" s="28" t="s">
        <v>900</v>
      </c>
      <c r="D145" s="28">
        <f>Source!BC49</f>
        <v>6.11</v>
      </c>
    </row>
    <row r="146" spans="1:28" x14ac:dyDescent="0.2">
      <c r="C146" s="28" t="s">
        <v>901</v>
      </c>
      <c r="D146" s="28">
        <f>Source!BS49</f>
        <v>6.11</v>
      </c>
    </row>
    <row r="147" spans="1:28" x14ac:dyDescent="0.2">
      <c r="C147" s="11" t="s">
        <v>902</v>
      </c>
      <c r="D147" s="40"/>
      <c r="E147" s="40"/>
      <c r="F147" s="40">
        <f>Source!BZ49</f>
        <v>83</v>
      </c>
      <c r="G147" s="63">
        <f>(Source!AF49+Source!AE49)*Source!FX49/100</f>
        <v>294.45910000000003</v>
      </c>
      <c r="H147" s="63">
        <f>Source!X49</f>
        <v>25.19</v>
      </c>
    </row>
    <row r="148" spans="1:28" x14ac:dyDescent="0.2">
      <c r="C148" s="11" t="s">
        <v>904</v>
      </c>
      <c r="D148" s="40"/>
      <c r="E148" s="40"/>
      <c r="F148" s="40">
        <f>Source!CA49</f>
        <v>65</v>
      </c>
      <c r="G148" s="63">
        <f>(Source!AF49+Source!AE49)*Source!FY49/100</f>
        <v>230.60050000000004</v>
      </c>
      <c r="H148" s="63">
        <f>Source!Y49</f>
        <v>19.73</v>
      </c>
    </row>
    <row r="149" spans="1:28" x14ac:dyDescent="0.2">
      <c r="C149" s="11" t="s">
        <v>906</v>
      </c>
      <c r="D149" s="40"/>
      <c r="E149" s="40"/>
      <c r="F149" s="40"/>
      <c r="G149" s="63">
        <f>((Source!AF49+Source!AE49)*Source!FX49/100)+((Source!AF49+Source!AE49)*Source!FY49/100)+Source!AB49</f>
        <v>979.46960000000013</v>
      </c>
      <c r="H149" s="63">
        <f>Source!O49+Source!X49+Source!Y49</f>
        <v>83.800000000000011</v>
      </c>
    </row>
    <row r="150" spans="1:28" ht="14.25" x14ac:dyDescent="0.2">
      <c r="A150" s="52">
        <v>14</v>
      </c>
      <c r="B150" s="52" t="str">
        <f>Source!E51</f>
        <v>7,1</v>
      </c>
      <c r="C150" s="52" t="str">
        <f>Source!G51</f>
        <v>Сталь листовая оцинкованная</v>
      </c>
      <c r="D150" s="52" t="str">
        <f>Source!F51</f>
        <v>08.3.05.05</v>
      </c>
      <c r="E150" s="37" t="str">
        <f>Source!H51</f>
        <v>т</v>
      </c>
      <c r="F150" s="14">
        <f>Source!I51</f>
        <v>2.5760000000000002E-3</v>
      </c>
      <c r="G150" s="27">
        <f>Source!AB51</f>
        <v>0</v>
      </c>
      <c r="H150" s="27">
        <f>Source!O51</f>
        <v>0</v>
      </c>
      <c r="T150">
        <f>Source!O51+Source!X51+Source!Y51</f>
        <v>0</v>
      </c>
      <c r="U150">
        <f>Source!P51</f>
        <v>0</v>
      </c>
      <c r="V150">
        <f>Source!S51</f>
        <v>0</v>
      </c>
      <c r="W150">
        <f>Source!Q51</f>
        <v>0</v>
      </c>
      <c r="X150">
        <f>Source!R51</f>
        <v>0</v>
      </c>
      <c r="Y150">
        <f>Source!U51</f>
        <v>0</v>
      </c>
      <c r="Z150">
        <f>Source!V51</f>
        <v>0</v>
      </c>
      <c r="AA150">
        <f>Source!X51</f>
        <v>0</v>
      </c>
      <c r="AB150">
        <f>Source!Y51</f>
        <v>0</v>
      </c>
    </row>
    <row r="151" spans="1:28" ht="14.25" x14ac:dyDescent="0.2">
      <c r="C151" s="28" t="s">
        <v>900</v>
      </c>
      <c r="D151" s="28">
        <f>Source!BC51</f>
        <v>6.11</v>
      </c>
      <c r="F151" s="14"/>
      <c r="G151" s="14"/>
      <c r="H151" s="14"/>
    </row>
    <row r="152" spans="1:28" ht="42.75" x14ac:dyDescent="0.2">
      <c r="A152" s="52">
        <v>15</v>
      </c>
      <c r="B152" s="52" t="str">
        <f>Source!E53</f>
        <v>7,2</v>
      </c>
      <c r="C152" s="52" t="str">
        <f>Source!G53</f>
        <v>Водоотлив оконный шириной планки 200 мм из оцинкованной стали с полимерным покрытием прим.</v>
      </c>
      <c r="D152" s="52" t="str">
        <f>Source!F53</f>
        <v>08.1.02.03-0021</v>
      </c>
      <c r="E152" s="37" t="str">
        <f>Source!H53</f>
        <v>П.М</v>
      </c>
      <c r="F152" s="14">
        <f>Source!I53</f>
        <v>1.4</v>
      </c>
      <c r="G152" s="27">
        <f>Source!AB53</f>
        <v>26.41</v>
      </c>
      <c r="H152" s="27">
        <f>Source!O53</f>
        <v>225.91</v>
      </c>
      <c r="T152">
        <f>Source!O53+Source!X53+Source!Y53</f>
        <v>225.91</v>
      </c>
      <c r="U152">
        <f>Source!P53</f>
        <v>225.91</v>
      </c>
      <c r="V152">
        <f>Source!S53</f>
        <v>0</v>
      </c>
      <c r="W152">
        <f>Source!Q53</f>
        <v>0</v>
      </c>
      <c r="X152">
        <f>Source!R53</f>
        <v>0</v>
      </c>
      <c r="Y152">
        <f>Source!U53</f>
        <v>0</v>
      </c>
      <c r="Z152">
        <f>Source!V53</f>
        <v>0</v>
      </c>
      <c r="AA152">
        <f>Source!X53</f>
        <v>0</v>
      </c>
      <c r="AB152">
        <f>Source!Y53</f>
        <v>0</v>
      </c>
    </row>
    <row r="153" spans="1:28" ht="14.25" x14ac:dyDescent="0.2">
      <c r="C153" s="28" t="s">
        <v>900</v>
      </c>
      <c r="D153" s="28">
        <f>Source!BC53</f>
        <v>6.11</v>
      </c>
      <c r="F153" s="14"/>
      <c r="G153" s="14"/>
      <c r="H153" s="14"/>
    </row>
    <row r="154" spans="1:28" ht="42.75" x14ac:dyDescent="0.2">
      <c r="A154" s="52">
        <v>16</v>
      </c>
      <c r="B154" s="52" t="str">
        <f>Source!E55</f>
        <v>8</v>
      </c>
      <c r="C154" s="52" t="str">
        <f>Source!G55</f>
        <v>Устройство подвесных потолков типа &lt;Армстронг&gt; по каркасу из оцинкованного профиля</v>
      </c>
      <c r="D154" s="52" t="str">
        <f>Source!F55</f>
        <v>15-01-047-15</v>
      </c>
      <c r="E154" s="37" t="str">
        <f>Source!H55</f>
        <v>100 м2</v>
      </c>
      <c r="F154" s="14">
        <f>Source!I55</f>
        <v>0.48599999999999999</v>
      </c>
      <c r="G154" s="27">
        <f>Source!AB55</f>
        <v>6848.88</v>
      </c>
      <c r="H154" s="27">
        <f>Source!O55</f>
        <v>20337.47</v>
      </c>
      <c r="T154">
        <f>Source!O55+Source!X55+Source!Y55</f>
        <v>25341.89</v>
      </c>
      <c r="U154">
        <f>Source!P55</f>
        <v>15843.26</v>
      </c>
      <c r="V154">
        <f>Source!S55</f>
        <v>3288.94</v>
      </c>
      <c r="W154">
        <f>Source!Q55</f>
        <v>1205.27</v>
      </c>
      <c r="X154">
        <f>Source!R55</f>
        <v>235.3</v>
      </c>
      <c r="Y154">
        <f>Source!U55</f>
        <v>57.264893999999991</v>
      </c>
      <c r="Z154">
        <f>Source!V55</f>
        <v>3.2440499999999997</v>
      </c>
      <c r="AA154">
        <f>Source!X55</f>
        <v>3348.03</v>
      </c>
      <c r="AB154">
        <f>Source!Y55</f>
        <v>1656.39</v>
      </c>
    </row>
    <row r="155" spans="1:28" ht="14.25" x14ac:dyDescent="0.2">
      <c r="C155" s="28" t="str">
        <f>"Объем: "&amp;Source!I55&amp;"=48,6/"&amp;"100"</f>
        <v>Объем: 0,486=48,6/100</v>
      </c>
      <c r="F155" s="14"/>
      <c r="G155" s="14"/>
      <c r="H155" s="14"/>
    </row>
    <row r="156" spans="1:28" x14ac:dyDescent="0.2">
      <c r="C156" s="28" t="s">
        <v>898</v>
      </c>
      <c r="D156" s="28">
        <f>Source!BA55</f>
        <v>6.11</v>
      </c>
    </row>
    <row r="157" spans="1:28" x14ac:dyDescent="0.2">
      <c r="C157" s="28" t="s">
        <v>899</v>
      </c>
      <c r="D157" s="28">
        <f>Source!BB55</f>
        <v>6.11</v>
      </c>
    </row>
    <row r="158" spans="1:28" x14ac:dyDescent="0.2">
      <c r="C158" s="28" t="s">
        <v>900</v>
      </c>
      <c r="D158" s="28">
        <f>Source!BC55</f>
        <v>6.11</v>
      </c>
    </row>
    <row r="159" spans="1:28" x14ac:dyDescent="0.2">
      <c r="C159" s="28" t="s">
        <v>901</v>
      </c>
      <c r="D159" s="28">
        <f>Source!BS55</f>
        <v>6.11</v>
      </c>
    </row>
    <row r="160" spans="1:28" x14ac:dyDescent="0.2">
      <c r="C160" s="28" t="s">
        <v>907</v>
      </c>
      <c r="D160" s="118" t="s">
        <v>27</v>
      </c>
      <c r="E160" s="118"/>
      <c r="F160" s="118"/>
      <c r="G160" s="118"/>
      <c r="H160" s="118"/>
    </row>
    <row r="161" spans="1:28" x14ac:dyDescent="0.2">
      <c r="C161" s="28" t="s">
        <v>908</v>
      </c>
      <c r="D161" s="118" t="s">
        <v>27</v>
      </c>
      <c r="E161" s="118"/>
      <c r="F161" s="118"/>
      <c r="G161" s="118"/>
      <c r="H161" s="118"/>
    </row>
    <row r="162" spans="1:28" x14ac:dyDescent="0.2">
      <c r="C162" s="28" t="s">
        <v>909</v>
      </c>
      <c r="D162" s="118" t="s">
        <v>28</v>
      </c>
      <c r="E162" s="118"/>
      <c r="F162" s="118"/>
      <c r="G162" s="118"/>
      <c r="H162" s="118"/>
    </row>
    <row r="163" spans="1:28" x14ac:dyDescent="0.2">
      <c r="C163" s="28" t="s">
        <v>910</v>
      </c>
      <c r="D163" s="118" t="s">
        <v>28</v>
      </c>
      <c r="E163" s="118"/>
      <c r="F163" s="118"/>
      <c r="G163" s="118"/>
      <c r="H163" s="118"/>
    </row>
    <row r="164" spans="1:28" x14ac:dyDescent="0.2">
      <c r="C164" s="28" t="s">
        <v>911</v>
      </c>
      <c r="D164" s="118" t="s">
        <v>27</v>
      </c>
      <c r="E164" s="118"/>
      <c r="F164" s="118"/>
      <c r="G164" s="118"/>
      <c r="H164" s="118"/>
    </row>
    <row r="165" spans="1:28" x14ac:dyDescent="0.2">
      <c r="C165" s="11" t="s">
        <v>902</v>
      </c>
      <c r="D165" s="40"/>
      <c r="E165" s="40"/>
      <c r="F165" s="40">
        <f>Source!BZ55</f>
        <v>105</v>
      </c>
      <c r="G165" s="63">
        <f>(Source!AF55+Source!AE55)*Source!FX55/100</f>
        <v>1121.5543499999999</v>
      </c>
      <c r="H165" s="63">
        <f>Source!X55</f>
        <v>3348.03</v>
      </c>
    </row>
    <row r="166" spans="1:28" x14ac:dyDescent="0.2">
      <c r="C166" s="11" t="s">
        <v>903</v>
      </c>
      <c r="D166" s="40"/>
      <c r="E166" s="40"/>
      <c r="F166" s="40"/>
      <c r="G166" s="40" t="str">
        <f>CONCATENATE(Source!DL55,Source!FT55, "=", Source!FX55, "%")</f>
        <v>*0,9=94,5%</v>
      </c>
      <c r="H166" s="40" t="str">
        <f>CONCATENATE(Source!AT55)</f>
        <v>95</v>
      </c>
    </row>
    <row r="167" spans="1:28" x14ac:dyDescent="0.2">
      <c r="C167" s="11" t="s">
        <v>904</v>
      </c>
      <c r="D167" s="40"/>
      <c r="E167" s="40"/>
      <c r="F167" s="40">
        <f>Source!CA55</f>
        <v>55</v>
      </c>
      <c r="G167" s="63">
        <f>(Source!AF55+Source!AE55)*Source!FY55/100</f>
        <v>554.84302500000001</v>
      </c>
      <c r="H167" s="63">
        <f>Source!Y55</f>
        <v>1656.39</v>
      </c>
    </row>
    <row r="168" spans="1:28" x14ac:dyDescent="0.2">
      <c r="C168" s="11" t="s">
        <v>905</v>
      </c>
      <c r="D168" s="40"/>
      <c r="E168" s="40"/>
      <c r="F168" s="40"/>
      <c r="G168" s="40" t="str">
        <f>CONCATENATE(Source!DM55,Source!FU55, "=", Source!FY55, "%")</f>
        <v>*0,85=46,75%</v>
      </c>
      <c r="H168" s="40" t="str">
        <f>CONCATENATE(Source!AU55)</f>
        <v>47</v>
      </c>
    </row>
    <row r="169" spans="1:28" x14ac:dyDescent="0.2">
      <c r="C169" s="11" t="s">
        <v>906</v>
      </c>
      <c r="D169" s="40"/>
      <c r="E169" s="40"/>
      <c r="F169" s="40"/>
      <c r="G169" s="63">
        <f>((Source!AF55+Source!AE55)*Source!FX55/100)+((Source!AF55+Source!AE55)*Source!FY55/100)+Source!AB55</f>
        <v>8525.2773749999997</v>
      </c>
      <c r="H169" s="63">
        <f>Source!O55+Source!X55+Source!Y55</f>
        <v>25341.89</v>
      </c>
    </row>
    <row r="170" spans="1:28" ht="28.5" x14ac:dyDescent="0.2">
      <c r="A170" s="52">
        <v>17</v>
      </c>
      <c r="B170" s="52" t="str">
        <f>Source!E57</f>
        <v>9</v>
      </c>
      <c r="C170" s="52" t="str">
        <f>Source!G57</f>
        <v>Разборка покрытий полов из керамических плиток</v>
      </c>
      <c r="D170" s="52" t="str">
        <f>Source!F57</f>
        <v>57-2-3</v>
      </c>
      <c r="E170" s="37" t="str">
        <f>Source!H57</f>
        <v>100 м2</v>
      </c>
      <c r="F170" s="14">
        <f>Source!I57</f>
        <v>0.47199999999999998</v>
      </c>
      <c r="G170" s="27">
        <f>Source!AB57</f>
        <v>641</v>
      </c>
      <c r="H170" s="27">
        <f>Source!O57</f>
        <v>1848.6</v>
      </c>
      <c r="T170">
        <f>Source!O57+Source!X57+Source!Y57</f>
        <v>4475.38</v>
      </c>
      <c r="U170">
        <f>Source!P57</f>
        <v>0</v>
      </c>
      <c r="V170">
        <f>Source!S57</f>
        <v>1718.79</v>
      </c>
      <c r="W170">
        <f>Source!Q57</f>
        <v>129.81</v>
      </c>
      <c r="X170">
        <f>Source!R57</f>
        <v>56.06</v>
      </c>
      <c r="Y170">
        <f>Source!U57</f>
        <v>32.978639999999999</v>
      </c>
      <c r="Z170">
        <f>Source!V57</f>
        <v>0.67967999999999995</v>
      </c>
      <c r="AA170">
        <f>Source!X57</f>
        <v>1419.88</v>
      </c>
      <c r="AB170">
        <f>Source!Y57</f>
        <v>1206.9000000000001</v>
      </c>
    </row>
    <row r="171" spans="1:28" ht="14.25" x14ac:dyDescent="0.2">
      <c r="C171" s="28" t="str">
        <f>"Объем: "&amp;Source!I57&amp;"=47,2/"&amp;"100"</f>
        <v>Объем: 0,472=47,2/100</v>
      </c>
      <c r="F171" s="14"/>
      <c r="G171" s="14"/>
      <c r="H171" s="14"/>
    </row>
    <row r="172" spans="1:28" x14ac:dyDescent="0.2">
      <c r="C172" s="28" t="s">
        <v>898</v>
      </c>
      <c r="D172" s="28">
        <f>Source!BA57</f>
        <v>6.11</v>
      </c>
    </row>
    <row r="173" spans="1:28" x14ac:dyDescent="0.2">
      <c r="C173" s="28" t="s">
        <v>899</v>
      </c>
      <c r="D173" s="28">
        <f>Source!BB57</f>
        <v>6.11</v>
      </c>
    </row>
    <row r="174" spans="1:28" x14ac:dyDescent="0.2">
      <c r="C174" s="28" t="s">
        <v>900</v>
      </c>
      <c r="D174" s="28">
        <f>Source!BC57</f>
        <v>6.11</v>
      </c>
    </row>
    <row r="175" spans="1:28" x14ac:dyDescent="0.2">
      <c r="C175" s="28" t="s">
        <v>901</v>
      </c>
      <c r="D175" s="28">
        <f>Source!BS57</f>
        <v>6.11</v>
      </c>
    </row>
    <row r="176" spans="1:28" x14ac:dyDescent="0.2">
      <c r="C176" s="11" t="s">
        <v>902</v>
      </c>
      <c r="D176" s="40"/>
      <c r="E176" s="40"/>
      <c r="F176" s="40">
        <f>Source!BZ57</f>
        <v>80</v>
      </c>
      <c r="G176" s="63">
        <f>(Source!AF57+Source!AE57)*Source!FX57/100</f>
        <v>492.34400000000011</v>
      </c>
      <c r="H176" s="63">
        <f>Source!X57</f>
        <v>1419.88</v>
      </c>
    </row>
    <row r="177" spans="1:28" x14ac:dyDescent="0.2">
      <c r="C177" s="11" t="s">
        <v>904</v>
      </c>
      <c r="D177" s="40"/>
      <c r="E177" s="40"/>
      <c r="F177" s="40">
        <f>Source!CA57</f>
        <v>68</v>
      </c>
      <c r="G177" s="63">
        <f>(Source!AF57+Source!AE57)*Source!FY57/100</f>
        <v>418.49240000000003</v>
      </c>
      <c r="H177" s="63">
        <f>Source!Y57</f>
        <v>1206.9000000000001</v>
      </c>
    </row>
    <row r="178" spans="1:28" x14ac:dyDescent="0.2">
      <c r="C178" s="11" t="s">
        <v>906</v>
      </c>
      <c r="D178" s="40"/>
      <c r="E178" s="40"/>
      <c r="F178" s="40"/>
      <c r="G178" s="63">
        <f>((Source!AF57+Source!AE57)*Source!FX57/100)+((Source!AF57+Source!AE57)*Source!FY57/100)+Source!AB57</f>
        <v>1551.8364000000001</v>
      </c>
      <c r="H178" s="63">
        <f>Source!O57+Source!X57+Source!Y57</f>
        <v>4475.38</v>
      </c>
    </row>
    <row r="179" spans="1:28" ht="28.5" x14ac:dyDescent="0.2">
      <c r="A179" s="52">
        <v>18</v>
      </c>
      <c r="B179" s="52" t="str">
        <f>Source!E59</f>
        <v>10</v>
      </c>
      <c r="C179" s="52" t="str">
        <f>Source!G59</f>
        <v>Разборка покрытий полов из плиток поливинилхлоридных</v>
      </c>
      <c r="D179" s="52" t="str">
        <f>Source!F59</f>
        <v>57-2-2</v>
      </c>
      <c r="E179" s="37" t="str">
        <f>Source!H59</f>
        <v>100 м2</v>
      </c>
      <c r="F179" s="14">
        <f>Source!I59</f>
        <v>0.47199999999999998</v>
      </c>
      <c r="G179" s="27">
        <f>Source!AB59</f>
        <v>322.39999999999998</v>
      </c>
      <c r="H179" s="27">
        <f>Source!O59</f>
        <v>929.78</v>
      </c>
      <c r="T179">
        <f>Source!O59+Source!X59+Source!Y59</f>
        <v>2296.04</v>
      </c>
      <c r="U179">
        <f>Source!P59</f>
        <v>0</v>
      </c>
      <c r="V179">
        <f>Source!S59</f>
        <v>918.07</v>
      </c>
      <c r="W179">
        <f>Source!Q59</f>
        <v>11.71</v>
      </c>
      <c r="X179">
        <f>Source!R59</f>
        <v>5.08</v>
      </c>
      <c r="Y179">
        <f>Source!U59</f>
        <v>19.263971999999999</v>
      </c>
      <c r="Z179">
        <f>Source!V59</f>
        <v>6.1359999999999998E-2</v>
      </c>
      <c r="AA179">
        <f>Source!X59</f>
        <v>738.52</v>
      </c>
      <c r="AB179">
        <f>Source!Y59</f>
        <v>627.74</v>
      </c>
    </row>
    <row r="180" spans="1:28" ht="14.25" x14ac:dyDescent="0.2">
      <c r="C180" s="28" t="str">
        <f>"Объем: "&amp;Source!I59&amp;"=47,2/"&amp;"100"</f>
        <v>Объем: 0,472=47,2/100</v>
      </c>
      <c r="F180" s="14"/>
      <c r="G180" s="14"/>
      <c r="H180" s="14"/>
    </row>
    <row r="181" spans="1:28" x14ac:dyDescent="0.2">
      <c r="C181" s="28" t="s">
        <v>898</v>
      </c>
      <c r="D181" s="28">
        <f>Source!BA59</f>
        <v>6.11</v>
      </c>
    </row>
    <row r="182" spans="1:28" x14ac:dyDescent="0.2">
      <c r="C182" s="28" t="s">
        <v>899</v>
      </c>
      <c r="D182" s="28">
        <f>Source!BB59</f>
        <v>6.11</v>
      </c>
    </row>
    <row r="183" spans="1:28" x14ac:dyDescent="0.2">
      <c r="C183" s="28" t="s">
        <v>900</v>
      </c>
      <c r="D183" s="28">
        <f>Source!BC59</f>
        <v>6.11</v>
      </c>
    </row>
    <row r="184" spans="1:28" x14ac:dyDescent="0.2">
      <c r="C184" s="28" t="s">
        <v>901</v>
      </c>
      <c r="D184" s="28">
        <f>Source!BS59</f>
        <v>6.11</v>
      </c>
    </row>
    <row r="185" spans="1:28" x14ac:dyDescent="0.2">
      <c r="C185" s="28" t="s">
        <v>909</v>
      </c>
      <c r="D185" s="118" t="s">
        <v>28</v>
      </c>
      <c r="E185" s="118"/>
      <c r="F185" s="118"/>
      <c r="G185" s="118"/>
      <c r="H185" s="118"/>
    </row>
    <row r="186" spans="1:28" x14ac:dyDescent="0.2">
      <c r="C186" s="28" t="s">
        <v>910</v>
      </c>
      <c r="D186" s="118" t="s">
        <v>28</v>
      </c>
      <c r="E186" s="118"/>
      <c r="F186" s="118"/>
      <c r="G186" s="118"/>
      <c r="H186" s="118"/>
    </row>
    <row r="187" spans="1:28" x14ac:dyDescent="0.2">
      <c r="C187" s="11" t="s">
        <v>902</v>
      </c>
      <c r="D187" s="40"/>
      <c r="E187" s="40"/>
      <c r="F187" s="40">
        <f>Source!BZ59</f>
        <v>80</v>
      </c>
      <c r="G187" s="63">
        <f>(Source!AF59+Source!AE59)*Source!FX59/100</f>
        <v>256.08</v>
      </c>
      <c r="H187" s="63">
        <f>Source!X59</f>
        <v>738.52</v>
      </c>
    </row>
    <row r="188" spans="1:28" x14ac:dyDescent="0.2">
      <c r="C188" s="11" t="s">
        <v>904</v>
      </c>
      <c r="D188" s="40"/>
      <c r="E188" s="40"/>
      <c r="F188" s="40">
        <f>Source!CA59</f>
        <v>68</v>
      </c>
      <c r="G188" s="63">
        <f>(Source!AF59+Source!AE59)*Source!FY59/100</f>
        <v>217.66800000000001</v>
      </c>
      <c r="H188" s="63">
        <f>Source!Y59</f>
        <v>627.74</v>
      </c>
    </row>
    <row r="189" spans="1:28" x14ac:dyDescent="0.2">
      <c r="C189" s="11" t="s">
        <v>906</v>
      </c>
      <c r="D189" s="40"/>
      <c r="E189" s="40"/>
      <c r="F189" s="40"/>
      <c r="G189" s="63">
        <f>((Source!AF59+Source!AE59)*Source!FX59/100)+((Source!AF59+Source!AE59)*Source!FY59/100)+Source!AB59</f>
        <v>796.14799999999991</v>
      </c>
      <c r="H189" s="63">
        <f>Source!O59+Source!X59+Source!Y59</f>
        <v>2296.04</v>
      </c>
    </row>
    <row r="190" spans="1:28" ht="28.5" x14ac:dyDescent="0.2">
      <c r="A190" s="52">
        <v>19</v>
      </c>
      <c r="B190" s="52" t="str">
        <f>Source!E61</f>
        <v>11</v>
      </c>
      <c r="C190" s="52" t="str">
        <f>Source!G61</f>
        <v>Разборка плинтусов цементных и из керамической плитки</v>
      </c>
      <c r="D190" s="52" t="str">
        <f>Source!F61</f>
        <v>57-3-2</v>
      </c>
      <c r="E190" s="37" t="str">
        <f>Source!H61</f>
        <v>100 м</v>
      </c>
      <c r="F190" s="14">
        <f>Source!I61</f>
        <v>0.245</v>
      </c>
      <c r="G190" s="27">
        <f>Source!AB61</f>
        <v>128.09</v>
      </c>
      <c r="H190" s="27">
        <f>Source!O61</f>
        <v>191.74</v>
      </c>
      <c r="T190">
        <f>Source!O61+Source!X61+Source!Y61</f>
        <v>475.51</v>
      </c>
      <c r="U190">
        <f>Source!P61</f>
        <v>0</v>
      </c>
      <c r="V190">
        <f>Source!S61</f>
        <v>191.74</v>
      </c>
      <c r="W190">
        <f>Source!Q61</f>
        <v>0</v>
      </c>
      <c r="X190">
        <f>Source!R61</f>
        <v>0</v>
      </c>
      <c r="Y190">
        <f>Source!U61</f>
        <v>4.0233899999999991</v>
      </c>
      <c r="Z190">
        <f>Source!V61</f>
        <v>0</v>
      </c>
      <c r="AA190">
        <f>Source!X61</f>
        <v>153.38999999999999</v>
      </c>
      <c r="AB190">
        <f>Source!Y61</f>
        <v>130.38</v>
      </c>
    </row>
    <row r="191" spans="1:28" ht="14.25" x14ac:dyDescent="0.2">
      <c r="C191" s="28" t="str">
        <f>"Объем: "&amp;Source!I61&amp;"=24,5/"&amp;"100"</f>
        <v>Объем: 0,245=24,5/100</v>
      </c>
      <c r="F191" s="14"/>
      <c r="G191" s="14"/>
      <c r="H191" s="14"/>
    </row>
    <row r="192" spans="1:28" x14ac:dyDescent="0.2">
      <c r="C192" s="28" t="s">
        <v>898</v>
      </c>
      <c r="D192" s="28">
        <f>Source!BA61</f>
        <v>6.11</v>
      </c>
    </row>
    <row r="193" spans="1:28" x14ac:dyDescent="0.2">
      <c r="C193" s="28" t="s">
        <v>899</v>
      </c>
      <c r="D193" s="28">
        <f>Source!BB61</f>
        <v>6.11</v>
      </c>
    </row>
    <row r="194" spans="1:28" x14ac:dyDescent="0.2">
      <c r="C194" s="28" t="s">
        <v>900</v>
      </c>
      <c r="D194" s="28">
        <f>Source!BC61</f>
        <v>6.11</v>
      </c>
    </row>
    <row r="195" spans="1:28" x14ac:dyDescent="0.2">
      <c r="C195" s="28" t="s">
        <v>901</v>
      </c>
      <c r="D195" s="28">
        <f>Source!BS61</f>
        <v>6.11</v>
      </c>
    </row>
    <row r="196" spans="1:28" x14ac:dyDescent="0.2">
      <c r="C196" s="28" t="s">
        <v>909</v>
      </c>
      <c r="D196" s="118" t="s">
        <v>28</v>
      </c>
      <c r="E196" s="118"/>
      <c r="F196" s="118"/>
      <c r="G196" s="118"/>
      <c r="H196" s="118"/>
    </row>
    <row r="197" spans="1:28" x14ac:dyDescent="0.2">
      <c r="C197" s="28" t="s">
        <v>910</v>
      </c>
      <c r="D197" s="118" t="s">
        <v>28</v>
      </c>
      <c r="E197" s="118"/>
      <c r="F197" s="118"/>
      <c r="G197" s="118"/>
      <c r="H197" s="118"/>
    </row>
    <row r="198" spans="1:28" x14ac:dyDescent="0.2">
      <c r="C198" s="11" t="s">
        <v>902</v>
      </c>
      <c r="D198" s="40"/>
      <c r="E198" s="40"/>
      <c r="F198" s="40">
        <f>Source!BZ61</f>
        <v>80</v>
      </c>
      <c r="G198" s="63">
        <f>(Source!AF61+Source!AE61)*Source!FX61/100</f>
        <v>102.47200000000001</v>
      </c>
      <c r="H198" s="63">
        <f>Source!X61</f>
        <v>153.38999999999999</v>
      </c>
    </row>
    <row r="199" spans="1:28" x14ac:dyDescent="0.2">
      <c r="C199" s="11" t="s">
        <v>904</v>
      </c>
      <c r="D199" s="40"/>
      <c r="E199" s="40"/>
      <c r="F199" s="40">
        <f>Source!CA61</f>
        <v>68</v>
      </c>
      <c r="G199" s="63">
        <f>(Source!AF61+Source!AE61)*Source!FY61/100</f>
        <v>87.101200000000006</v>
      </c>
      <c r="H199" s="63">
        <f>Source!Y61</f>
        <v>130.38</v>
      </c>
    </row>
    <row r="200" spans="1:28" x14ac:dyDescent="0.2">
      <c r="C200" s="11" t="s">
        <v>906</v>
      </c>
      <c r="D200" s="40"/>
      <c r="E200" s="40"/>
      <c r="F200" s="40"/>
      <c r="G200" s="63">
        <f>((Source!AF61+Source!AE61)*Source!FX61/100)+((Source!AF61+Source!AE61)*Source!FY61/100)+Source!AB61</f>
        <v>317.66320000000002</v>
      </c>
      <c r="H200" s="63">
        <f>Source!O61+Source!X61+Source!Y61</f>
        <v>475.51</v>
      </c>
    </row>
    <row r="201" spans="1:28" ht="28.5" x14ac:dyDescent="0.2">
      <c r="A201" s="52">
        <v>20</v>
      </c>
      <c r="B201" s="52" t="str">
        <f>Source!E63</f>
        <v>12</v>
      </c>
      <c r="C201" s="52" t="str">
        <f>Source!G63</f>
        <v>Устройство стяжек цементных толщиной 20 мм</v>
      </c>
      <c r="D201" s="52" t="str">
        <f>Source!F63</f>
        <v>11-01-011-01</v>
      </c>
      <c r="E201" s="37" t="str">
        <f>Source!H63</f>
        <v>100 м2</v>
      </c>
      <c r="F201" s="14">
        <f>Source!I63</f>
        <v>0.47199999999999998</v>
      </c>
      <c r="G201" s="27">
        <f>Source!AB63</f>
        <v>424.61</v>
      </c>
      <c r="H201" s="27">
        <f>Source!O63</f>
        <v>1224.54</v>
      </c>
      <c r="T201">
        <f>Source!O63+Source!X63+Source!Y63</f>
        <v>3153.5</v>
      </c>
      <c r="U201">
        <f>Source!P63</f>
        <v>24.63</v>
      </c>
      <c r="V201">
        <f>Source!S63</f>
        <v>1040.43</v>
      </c>
      <c r="W201">
        <f>Source!Q63</f>
        <v>159.47999999999999</v>
      </c>
      <c r="X201">
        <f>Source!R63</f>
        <v>61.83</v>
      </c>
      <c r="Y201">
        <f>Source!U63</f>
        <v>21.446027999999998</v>
      </c>
      <c r="Z201">
        <f>Source!V63</f>
        <v>0.74929999999999997</v>
      </c>
      <c r="AA201">
        <f>Source!X63</f>
        <v>1223.51</v>
      </c>
      <c r="AB201">
        <f>Source!Y63</f>
        <v>705.45</v>
      </c>
    </row>
    <row r="202" spans="1:28" ht="14.25" x14ac:dyDescent="0.2">
      <c r="C202" s="28" t="str">
        <f>"Объем: "&amp;Source!I63&amp;"=47,2/"&amp;"100"</f>
        <v>Объем: 0,472=47,2/100</v>
      </c>
      <c r="F202" s="14"/>
      <c r="G202" s="14"/>
      <c r="H202" s="14"/>
    </row>
    <row r="203" spans="1:28" x14ac:dyDescent="0.2">
      <c r="C203" s="28" t="s">
        <v>898</v>
      </c>
      <c r="D203" s="28">
        <f>Source!BA63</f>
        <v>6.11</v>
      </c>
    </row>
    <row r="204" spans="1:28" x14ac:dyDescent="0.2">
      <c r="C204" s="28" t="s">
        <v>899</v>
      </c>
      <c r="D204" s="28">
        <f>Source!BB63</f>
        <v>6.11</v>
      </c>
    </row>
    <row r="205" spans="1:28" x14ac:dyDescent="0.2">
      <c r="C205" s="28" t="s">
        <v>900</v>
      </c>
      <c r="D205" s="28">
        <f>Source!BC63</f>
        <v>6.11</v>
      </c>
    </row>
    <row r="206" spans="1:28" x14ac:dyDescent="0.2">
      <c r="C206" s="28" t="s">
        <v>901</v>
      </c>
      <c r="D206" s="28">
        <f>Source!BS63</f>
        <v>6.11</v>
      </c>
    </row>
    <row r="207" spans="1:28" x14ac:dyDescent="0.2">
      <c r="C207" s="28" t="s">
        <v>907</v>
      </c>
      <c r="D207" s="118" t="s">
        <v>27</v>
      </c>
      <c r="E207" s="118"/>
      <c r="F207" s="118"/>
      <c r="G207" s="118"/>
      <c r="H207" s="118"/>
    </row>
    <row r="208" spans="1:28" x14ac:dyDescent="0.2">
      <c r="C208" s="28" t="s">
        <v>908</v>
      </c>
      <c r="D208" s="118" t="s">
        <v>27</v>
      </c>
      <c r="E208" s="118"/>
      <c r="F208" s="118"/>
      <c r="G208" s="118"/>
      <c r="H208" s="118"/>
    </row>
    <row r="209" spans="1:28" x14ac:dyDescent="0.2">
      <c r="C209" s="28" t="s">
        <v>909</v>
      </c>
      <c r="D209" s="118" t="s">
        <v>28</v>
      </c>
      <c r="E209" s="118"/>
      <c r="F209" s="118"/>
      <c r="G209" s="118"/>
      <c r="H209" s="118"/>
    </row>
    <row r="210" spans="1:28" x14ac:dyDescent="0.2">
      <c r="C210" s="28" t="s">
        <v>910</v>
      </c>
      <c r="D210" s="118" t="s">
        <v>28</v>
      </c>
      <c r="E210" s="118"/>
      <c r="F210" s="118"/>
      <c r="G210" s="118"/>
      <c r="H210" s="118"/>
    </row>
    <row r="211" spans="1:28" x14ac:dyDescent="0.2">
      <c r="C211" s="28" t="s">
        <v>911</v>
      </c>
      <c r="D211" s="118" t="s">
        <v>27</v>
      </c>
      <c r="E211" s="118"/>
      <c r="F211" s="118"/>
      <c r="G211" s="118"/>
      <c r="H211" s="118"/>
    </row>
    <row r="212" spans="1:28" x14ac:dyDescent="0.2">
      <c r="C212" s="11" t="s">
        <v>902</v>
      </c>
      <c r="D212" s="40"/>
      <c r="E212" s="40"/>
      <c r="F212" s="40">
        <f>Source!BZ63</f>
        <v>123</v>
      </c>
      <c r="G212" s="63">
        <f>(Source!AF63+Source!AE63)*Source!FX63/100</f>
        <v>423.10646999999994</v>
      </c>
      <c r="H212" s="63">
        <f>Source!X63</f>
        <v>1223.51</v>
      </c>
    </row>
    <row r="213" spans="1:28" x14ac:dyDescent="0.2">
      <c r="C213" s="11" t="s">
        <v>903</v>
      </c>
      <c r="D213" s="40"/>
      <c r="E213" s="40"/>
      <c r="F213" s="40"/>
      <c r="G213" s="40" t="str">
        <f>CONCATENATE(Source!DL63,Source!FT63, "=", Source!FX63, "%")</f>
        <v>*0,9=110,7%</v>
      </c>
      <c r="H213" s="40" t="str">
        <f>CONCATENATE(Source!AT63)</f>
        <v>111</v>
      </c>
    </row>
    <row r="214" spans="1:28" x14ac:dyDescent="0.2">
      <c r="C214" s="11" t="s">
        <v>904</v>
      </c>
      <c r="D214" s="40"/>
      <c r="E214" s="40"/>
      <c r="F214" s="40">
        <f>Source!CA63</f>
        <v>75</v>
      </c>
      <c r="G214" s="63">
        <f>(Source!AF63+Source!AE63)*Source!FY63/100</f>
        <v>243.65887499999997</v>
      </c>
      <c r="H214" s="63">
        <f>Source!Y63</f>
        <v>705.45</v>
      </c>
    </row>
    <row r="215" spans="1:28" x14ac:dyDescent="0.2">
      <c r="C215" s="11" t="s">
        <v>905</v>
      </c>
      <c r="D215" s="40"/>
      <c r="E215" s="40"/>
      <c r="F215" s="40"/>
      <c r="G215" s="40" t="str">
        <f>CONCATENATE(Source!DM63,Source!FU63, "=", Source!FY63, "%")</f>
        <v>*0,85=63,75%</v>
      </c>
      <c r="H215" s="40" t="str">
        <f>CONCATENATE(Source!AU63)</f>
        <v>64</v>
      </c>
    </row>
    <row r="216" spans="1:28" x14ac:dyDescent="0.2">
      <c r="C216" s="11" t="s">
        <v>906</v>
      </c>
      <c r="D216" s="40"/>
      <c r="E216" s="40"/>
      <c r="F216" s="40"/>
      <c r="G216" s="63">
        <f>((Source!AF63+Source!AE63)*Source!FX63/100)+((Source!AF63+Source!AE63)*Source!FY63/100)+Source!AB63</f>
        <v>1091.3753449999999</v>
      </c>
      <c r="H216" s="63">
        <f>Source!O63+Source!X63+Source!Y63</f>
        <v>3153.5</v>
      </c>
    </row>
    <row r="217" spans="1:28" ht="28.5" x14ac:dyDescent="0.2">
      <c r="A217" s="52">
        <v>21</v>
      </c>
      <c r="B217" s="52" t="str">
        <f>Source!E65</f>
        <v>12,1</v>
      </c>
      <c r="C217" s="52" t="str">
        <f>Source!G65</f>
        <v>Раствор готовый кладочный цементный марки 150</v>
      </c>
      <c r="D217" s="52" t="str">
        <f>Source!F65</f>
        <v>04.3.01.09-0015</v>
      </c>
      <c r="E217" s="37" t="str">
        <f>Source!H65</f>
        <v>м3</v>
      </c>
      <c r="F217" s="14">
        <f>Source!I65</f>
        <v>0.96287999999999996</v>
      </c>
      <c r="G217" s="27">
        <f>Source!AB65</f>
        <v>548.29999999999995</v>
      </c>
      <c r="H217" s="27">
        <f>Source!O65</f>
        <v>3225.76</v>
      </c>
      <c r="T217">
        <f>Source!O65+Source!X65+Source!Y65</f>
        <v>3225.76</v>
      </c>
      <c r="U217">
        <f>Source!P65</f>
        <v>3225.76</v>
      </c>
      <c r="V217">
        <f>Source!S65</f>
        <v>0</v>
      </c>
      <c r="W217">
        <f>Source!Q65</f>
        <v>0</v>
      </c>
      <c r="X217">
        <f>Source!R65</f>
        <v>0</v>
      </c>
      <c r="Y217">
        <f>Source!U65</f>
        <v>0</v>
      </c>
      <c r="Z217">
        <f>Source!V65</f>
        <v>0</v>
      </c>
      <c r="AA217">
        <f>Source!X65</f>
        <v>0</v>
      </c>
      <c r="AB217">
        <f>Source!Y65</f>
        <v>0</v>
      </c>
    </row>
    <row r="218" spans="1:28" ht="14.25" x14ac:dyDescent="0.2">
      <c r="C218" s="28" t="s">
        <v>900</v>
      </c>
      <c r="D218" s="28">
        <f>Source!BC65</f>
        <v>6.11</v>
      </c>
      <c r="F218" s="14"/>
      <c r="G218" s="14"/>
      <c r="H218" s="14"/>
    </row>
    <row r="219" spans="1:28" ht="42.75" x14ac:dyDescent="0.2">
      <c r="A219" s="52">
        <v>22</v>
      </c>
      <c r="B219" s="52" t="str">
        <f>Source!E67</f>
        <v>13</v>
      </c>
      <c r="C219" s="52" t="str">
        <f>Source!G67</f>
        <v>Устройство стяжек из выравнивающей смеси типа "Ветонит" 5000, толщиной 5 мм</v>
      </c>
      <c r="D219" s="52" t="str">
        <f>Source!F67</f>
        <v>11-01-011-08</v>
      </c>
      <c r="E219" s="37" t="str">
        <f>Source!H67</f>
        <v>100 м2</v>
      </c>
      <c r="F219" s="14">
        <f>Source!I67</f>
        <v>0.47199999999999998</v>
      </c>
      <c r="G219" s="27">
        <f>Source!AB67</f>
        <v>11078.65</v>
      </c>
      <c r="H219" s="27">
        <f>Source!O67</f>
        <v>31949.94</v>
      </c>
      <c r="T219">
        <f>Source!O67+Source!X67+Source!Y67</f>
        <v>33827.31</v>
      </c>
      <c r="U219">
        <f>Source!P67</f>
        <v>30861.78</v>
      </c>
      <c r="V219">
        <f>Source!S67</f>
        <v>1065.69</v>
      </c>
      <c r="W219">
        <f>Source!Q67</f>
        <v>22.47</v>
      </c>
      <c r="X219">
        <f>Source!R67</f>
        <v>7.09</v>
      </c>
      <c r="Y219">
        <f>Source!U67</f>
        <v>20.447275999999995</v>
      </c>
      <c r="Z219">
        <f>Source!V67</f>
        <v>0.1003</v>
      </c>
      <c r="AA219">
        <f>Source!X67</f>
        <v>1190.79</v>
      </c>
      <c r="AB219">
        <f>Source!Y67</f>
        <v>686.58</v>
      </c>
    </row>
    <row r="220" spans="1:28" ht="14.25" x14ac:dyDescent="0.2">
      <c r="C220" s="28" t="str">
        <f>"Объем: "&amp;Source!I67&amp;"=47,2/"&amp;"100"</f>
        <v>Объем: 0,472=47,2/100</v>
      </c>
      <c r="F220" s="14"/>
      <c r="G220" s="14"/>
      <c r="H220" s="14"/>
    </row>
    <row r="221" spans="1:28" x14ac:dyDescent="0.2">
      <c r="C221" s="28" t="s">
        <v>898</v>
      </c>
      <c r="D221" s="28">
        <f>Source!BA67</f>
        <v>6.11</v>
      </c>
    </row>
    <row r="222" spans="1:28" x14ac:dyDescent="0.2">
      <c r="C222" s="28" t="s">
        <v>899</v>
      </c>
      <c r="D222" s="28">
        <f>Source!BB67</f>
        <v>6.11</v>
      </c>
    </row>
    <row r="223" spans="1:28" x14ac:dyDescent="0.2">
      <c r="C223" s="28" t="s">
        <v>900</v>
      </c>
      <c r="D223" s="28">
        <f>Source!BC67</f>
        <v>6.11</v>
      </c>
    </row>
    <row r="224" spans="1:28" x14ac:dyDescent="0.2">
      <c r="C224" s="28" t="s">
        <v>901</v>
      </c>
      <c r="D224" s="28">
        <f>Source!BS67</f>
        <v>6.11</v>
      </c>
    </row>
    <row r="225" spans="1:28" x14ac:dyDescent="0.2">
      <c r="C225" s="28" t="s">
        <v>907</v>
      </c>
      <c r="D225" s="118" t="s">
        <v>27</v>
      </c>
      <c r="E225" s="118"/>
      <c r="F225" s="118"/>
      <c r="G225" s="118"/>
      <c r="H225" s="118"/>
    </row>
    <row r="226" spans="1:28" x14ac:dyDescent="0.2">
      <c r="C226" s="28" t="s">
        <v>908</v>
      </c>
      <c r="D226" s="118" t="s">
        <v>27</v>
      </c>
      <c r="E226" s="118"/>
      <c r="F226" s="118"/>
      <c r="G226" s="118"/>
      <c r="H226" s="118"/>
    </row>
    <row r="227" spans="1:28" x14ac:dyDescent="0.2">
      <c r="C227" s="28" t="s">
        <v>909</v>
      </c>
      <c r="D227" s="118" t="s">
        <v>28</v>
      </c>
      <c r="E227" s="118"/>
      <c r="F227" s="118"/>
      <c r="G227" s="118"/>
      <c r="H227" s="118"/>
    </row>
    <row r="228" spans="1:28" x14ac:dyDescent="0.2">
      <c r="C228" s="28" t="s">
        <v>910</v>
      </c>
      <c r="D228" s="118" t="s">
        <v>28</v>
      </c>
      <c r="E228" s="118"/>
      <c r="F228" s="118"/>
      <c r="G228" s="118"/>
      <c r="H228" s="118"/>
    </row>
    <row r="229" spans="1:28" x14ac:dyDescent="0.2">
      <c r="C229" s="28" t="s">
        <v>911</v>
      </c>
      <c r="D229" s="118" t="s">
        <v>27</v>
      </c>
      <c r="E229" s="118"/>
      <c r="F229" s="118"/>
      <c r="G229" s="118"/>
      <c r="H229" s="118"/>
    </row>
    <row r="230" spans="1:28" x14ac:dyDescent="0.2">
      <c r="C230" s="11" t="s">
        <v>902</v>
      </c>
      <c r="D230" s="40"/>
      <c r="E230" s="40"/>
      <c r="F230" s="40">
        <f>Source!BZ67</f>
        <v>123</v>
      </c>
      <c r="G230" s="63">
        <f>(Source!AF67+Source!AE67)*Source!FX67/100</f>
        <v>411.79292999999996</v>
      </c>
      <c r="H230" s="63">
        <f>Source!X67</f>
        <v>1190.79</v>
      </c>
    </row>
    <row r="231" spans="1:28" x14ac:dyDescent="0.2">
      <c r="C231" s="11" t="s">
        <v>903</v>
      </c>
      <c r="D231" s="40"/>
      <c r="E231" s="40"/>
      <c r="F231" s="40"/>
      <c r="G231" s="40" t="str">
        <f>CONCATENATE(Source!DL67,Source!FT67, "=", Source!FX67, "%")</f>
        <v>*0,9=110,7%</v>
      </c>
      <c r="H231" s="40" t="str">
        <f>CONCATENATE(Source!AT67)</f>
        <v>111</v>
      </c>
    </row>
    <row r="232" spans="1:28" x14ac:dyDescent="0.2">
      <c r="C232" s="11" t="s">
        <v>904</v>
      </c>
      <c r="D232" s="40"/>
      <c r="E232" s="40"/>
      <c r="F232" s="40">
        <f>Source!CA67</f>
        <v>75</v>
      </c>
      <c r="G232" s="63">
        <f>(Source!AF67+Source!AE67)*Source!FY67/100</f>
        <v>237.14362499999996</v>
      </c>
      <c r="H232" s="63">
        <f>Source!Y67</f>
        <v>686.58</v>
      </c>
    </row>
    <row r="233" spans="1:28" x14ac:dyDescent="0.2">
      <c r="C233" s="11" t="s">
        <v>905</v>
      </c>
      <c r="D233" s="40"/>
      <c r="E233" s="40"/>
      <c r="F233" s="40"/>
      <c r="G233" s="40" t="str">
        <f>CONCATENATE(Source!DM67,Source!FU67, "=", Source!FY67, "%")</f>
        <v>*0,85=63,75%</v>
      </c>
      <c r="H233" s="40" t="str">
        <f>CONCATENATE(Source!AU67)</f>
        <v>64</v>
      </c>
    </row>
    <row r="234" spans="1:28" x14ac:dyDescent="0.2">
      <c r="C234" s="11" t="s">
        <v>906</v>
      </c>
      <c r="D234" s="40"/>
      <c r="E234" s="40"/>
      <c r="F234" s="40"/>
      <c r="G234" s="63">
        <f>((Source!AF67+Source!AE67)*Source!FX67/100)+((Source!AF67+Source!AE67)*Source!FY67/100)+Source!AB67</f>
        <v>11727.586555</v>
      </c>
      <c r="H234" s="63">
        <f>Source!O67+Source!X67+Source!Y67</f>
        <v>33827.31</v>
      </c>
    </row>
    <row r="235" spans="1:28" ht="28.5" x14ac:dyDescent="0.2">
      <c r="A235" s="52">
        <v>23</v>
      </c>
      <c r="B235" s="52" t="str">
        <f>Source!E69</f>
        <v>14</v>
      </c>
      <c r="C235" s="52" t="str">
        <f>Source!G69</f>
        <v>Устройство покрытий из плит керамогранитных размером 40х40 см</v>
      </c>
      <c r="D235" s="52" t="str">
        <f>Source!F69</f>
        <v>11-01-047-01</v>
      </c>
      <c r="E235" s="37" t="str">
        <f>Source!H69</f>
        <v>100 м2</v>
      </c>
      <c r="F235" s="14">
        <f>Source!I69</f>
        <v>0.47199999999999998</v>
      </c>
      <c r="G235" s="27">
        <f>Source!AB69</f>
        <v>21989.86</v>
      </c>
      <c r="H235" s="27">
        <f>Source!O69</f>
        <v>63417</v>
      </c>
      <c r="T235">
        <f>Source!O69+Source!X69+Source!Y69</f>
        <v>79273.84</v>
      </c>
      <c r="U235">
        <f>Source!P69</f>
        <v>54332.01</v>
      </c>
      <c r="V235">
        <f>Source!S69</f>
        <v>8997.92</v>
      </c>
      <c r="W235">
        <f>Source!Q69</f>
        <v>87.07</v>
      </c>
      <c r="X235">
        <f>Source!R69</f>
        <v>63.13</v>
      </c>
      <c r="Y235">
        <f>Source!U69</f>
        <v>168.49597599999998</v>
      </c>
      <c r="Z235">
        <f>Source!V69</f>
        <v>1.0206999999999999</v>
      </c>
      <c r="AA235">
        <f>Source!X69</f>
        <v>10057.77</v>
      </c>
      <c r="AB235">
        <f>Source!Y69</f>
        <v>5799.07</v>
      </c>
    </row>
    <row r="236" spans="1:28" ht="14.25" x14ac:dyDescent="0.2">
      <c r="C236" s="28" t="str">
        <f>"Объем: "&amp;Source!I69&amp;"=47,2/"&amp;"100"</f>
        <v>Объем: 0,472=47,2/100</v>
      </c>
      <c r="F236" s="14"/>
      <c r="G236" s="14"/>
      <c r="H236" s="14"/>
    </row>
    <row r="237" spans="1:28" x14ac:dyDescent="0.2">
      <c r="C237" s="28" t="s">
        <v>898</v>
      </c>
      <c r="D237" s="28">
        <f>Source!BA69</f>
        <v>6.11</v>
      </c>
    </row>
    <row r="238" spans="1:28" x14ac:dyDescent="0.2">
      <c r="C238" s="28" t="s">
        <v>899</v>
      </c>
      <c r="D238" s="28">
        <f>Source!BB69</f>
        <v>6.11</v>
      </c>
    </row>
    <row r="239" spans="1:28" x14ac:dyDescent="0.2">
      <c r="C239" s="28" t="s">
        <v>900</v>
      </c>
      <c r="D239" s="28">
        <f>Source!BC69</f>
        <v>6.11</v>
      </c>
    </row>
    <row r="240" spans="1:28" x14ac:dyDescent="0.2">
      <c r="C240" s="28" t="s">
        <v>901</v>
      </c>
      <c r="D240" s="28">
        <f>Source!BS69</f>
        <v>6.11</v>
      </c>
    </row>
    <row r="241" spans="1:28" x14ac:dyDescent="0.2">
      <c r="C241" s="28" t="s">
        <v>907</v>
      </c>
      <c r="D241" s="118" t="s">
        <v>27</v>
      </c>
      <c r="E241" s="118"/>
      <c r="F241" s="118"/>
      <c r="G241" s="118"/>
      <c r="H241" s="118"/>
    </row>
    <row r="242" spans="1:28" x14ac:dyDescent="0.2">
      <c r="C242" s="28" t="s">
        <v>908</v>
      </c>
      <c r="D242" s="118" t="s">
        <v>27</v>
      </c>
      <c r="E242" s="118"/>
      <c r="F242" s="118"/>
      <c r="G242" s="118"/>
      <c r="H242" s="118"/>
    </row>
    <row r="243" spans="1:28" x14ac:dyDescent="0.2">
      <c r="C243" s="28" t="s">
        <v>909</v>
      </c>
      <c r="D243" s="118" t="s">
        <v>28</v>
      </c>
      <c r="E243" s="118"/>
      <c r="F243" s="118"/>
      <c r="G243" s="118"/>
      <c r="H243" s="118"/>
    </row>
    <row r="244" spans="1:28" x14ac:dyDescent="0.2">
      <c r="C244" s="28" t="s">
        <v>910</v>
      </c>
      <c r="D244" s="118" t="s">
        <v>28</v>
      </c>
      <c r="E244" s="118"/>
      <c r="F244" s="118"/>
      <c r="G244" s="118"/>
      <c r="H244" s="118"/>
    </row>
    <row r="245" spans="1:28" x14ac:dyDescent="0.2">
      <c r="C245" s="28" t="s">
        <v>911</v>
      </c>
      <c r="D245" s="118" t="s">
        <v>27</v>
      </c>
      <c r="E245" s="118"/>
      <c r="F245" s="118"/>
      <c r="G245" s="118"/>
      <c r="H245" s="118"/>
    </row>
    <row r="246" spans="1:28" x14ac:dyDescent="0.2">
      <c r="C246" s="11" t="s">
        <v>902</v>
      </c>
      <c r="D246" s="40"/>
      <c r="E246" s="40"/>
      <c r="F246" s="40">
        <f>Source!BZ69</f>
        <v>123</v>
      </c>
      <c r="G246" s="63">
        <f>(Source!AF69+Source!AE69)*Source!FX69/100</f>
        <v>3478.1054399999998</v>
      </c>
      <c r="H246" s="63">
        <f>Source!X69</f>
        <v>10057.77</v>
      </c>
    </row>
    <row r="247" spans="1:28" x14ac:dyDescent="0.2">
      <c r="C247" s="11" t="s">
        <v>903</v>
      </c>
      <c r="D247" s="40"/>
      <c r="E247" s="40"/>
      <c r="F247" s="40"/>
      <c r="G247" s="40" t="str">
        <f>CONCATENATE(Source!DL69,Source!FT69, "=", Source!FX69, "%")</f>
        <v>*0,9=110,7%</v>
      </c>
      <c r="H247" s="40" t="str">
        <f>CONCATENATE(Source!AT69)</f>
        <v>111</v>
      </c>
    </row>
    <row r="248" spans="1:28" x14ac:dyDescent="0.2">
      <c r="C248" s="11" t="s">
        <v>904</v>
      </c>
      <c r="D248" s="40"/>
      <c r="E248" s="40"/>
      <c r="F248" s="40">
        <f>Source!CA69</f>
        <v>75</v>
      </c>
      <c r="G248" s="63">
        <f>(Source!AF69+Source!AE69)*Source!FY69/100</f>
        <v>2002.9739999999999</v>
      </c>
      <c r="H248" s="63">
        <f>Source!Y69</f>
        <v>5799.07</v>
      </c>
    </row>
    <row r="249" spans="1:28" x14ac:dyDescent="0.2">
      <c r="C249" s="11" t="s">
        <v>905</v>
      </c>
      <c r="D249" s="40"/>
      <c r="E249" s="40"/>
      <c r="F249" s="40"/>
      <c r="G249" s="40" t="str">
        <f>CONCATENATE(Source!DM69,Source!FU69, "=", Source!FY69, "%")</f>
        <v>*0,85=63,75%</v>
      </c>
      <c r="H249" s="40" t="str">
        <f>CONCATENATE(Source!AU69)</f>
        <v>64</v>
      </c>
    </row>
    <row r="250" spans="1:28" x14ac:dyDescent="0.2">
      <c r="C250" s="11" t="s">
        <v>906</v>
      </c>
      <c r="D250" s="40"/>
      <c r="E250" s="40"/>
      <c r="F250" s="40"/>
      <c r="G250" s="63">
        <f>((Source!AF69+Source!AE69)*Source!FX69/100)+((Source!AF69+Source!AE69)*Source!FY69/100)+Source!AB69</f>
        <v>27470.939440000002</v>
      </c>
      <c r="H250" s="63">
        <f>Source!O69+Source!X69+Source!Y69</f>
        <v>79273.84</v>
      </c>
    </row>
    <row r="251" spans="1:28" ht="28.5" x14ac:dyDescent="0.2">
      <c r="A251" s="52">
        <v>24</v>
      </c>
      <c r="B251" s="52" t="str">
        <f>Source!E71</f>
        <v>14,1</v>
      </c>
      <c r="C251" s="52" t="str">
        <f>Source!G71</f>
        <v>Грунтовка акриловая НОРТЕКС-ГРУНТ</v>
      </c>
      <c r="D251" s="52" t="str">
        <f>Source!F71</f>
        <v>14.4.01.02-0113</v>
      </c>
      <c r="E251" s="37" t="str">
        <f>Source!H71</f>
        <v>кг</v>
      </c>
      <c r="F251" s="14">
        <f>Source!I71</f>
        <v>6.1360000000000001</v>
      </c>
      <c r="G251" s="27">
        <f>Source!AB71</f>
        <v>15.25</v>
      </c>
      <c r="H251" s="27">
        <f>Source!O71</f>
        <v>571.74</v>
      </c>
      <c r="T251">
        <f>Source!O71+Source!X71+Source!Y71</f>
        <v>571.74</v>
      </c>
      <c r="U251">
        <f>Source!P71</f>
        <v>571.74</v>
      </c>
      <c r="V251">
        <f>Source!S71</f>
        <v>0</v>
      </c>
      <c r="W251">
        <f>Source!Q71</f>
        <v>0</v>
      </c>
      <c r="X251">
        <f>Source!R71</f>
        <v>0</v>
      </c>
      <c r="Y251">
        <f>Source!U71</f>
        <v>0</v>
      </c>
      <c r="Z251">
        <f>Source!V71</f>
        <v>0</v>
      </c>
      <c r="AA251">
        <f>Source!X71</f>
        <v>0</v>
      </c>
      <c r="AB251">
        <f>Source!Y71</f>
        <v>0</v>
      </c>
    </row>
    <row r="252" spans="1:28" ht="14.25" x14ac:dyDescent="0.2">
      <c r="C252" s="28" t="s">
        <v>900</v>
      </c>
      <c r="D252" s="28">
        <f>Source!BC71</f>
        <v>6.11</v>
      </c>
      <c r="F252" s="14"/>
      <c r="G252" s="14"/>
      <c r="H252" s="14"/>
    </row>
    <row r="253" spans="1:28" ht="57" x14ac:dyDescent="0.2">
      <c r="A253" s="52">
        <v>25</v>
      </c>
      <c r="B253" s="52" t="str">
        <f>Source!E73</f>
        <v>14,2</v>
      </c>
      <c r="C253" s="52" t="s">
        <v>913</v>
      </c>
      <c r="D253" s="52" t="str">
        <f>Source!F73</f>
        <v>06.2.05.03-0003</v>
      </c>
      <c r="E253" s="37" t="str">
        <f>Source!H73</f>
        <v>м2</v>
      </c>
      <c r="F253" s="14">
        <f>Source!I73</f>
        <v>-48.143999999999998</v>
      </c>
      <c r="G253" s="27">
        <f>Source!AB73</f>
        <v>140.44999999999999</v>
      </c>
      <c r="H253" s="27">
        <f>Source!O73</f>
        <v>-41314.75</v>
      </c>
      <c r="T253">
        <f>Source!O73+Source!X73+Source!Y73</f>
        <v>-41314.75</v>
      </c>
      <c r="U253">
        <f>Source!P73</f>
        <v>-41314.75</v>
      </c>
      <c r="V253">
        <f>Source!S73</f>
        <v>0</v>
      </c>
      <c r="W253">
        <f>Source!Q73</f>
        <v>0</v>
      </c>
      <c r="X253">
        <f>Source!R73</f>
        <v>0</v>
      </c>
      <c r="Y253">
        <f>Source!U73</f>
        <v>0</v>
      </c>
      <c r="Z253">
        <f>Source!V73</f>
        <v>0</v>
      </c>
      <c r="AA253">
        <f>Source!X73</f>
        <v>0</v>
      </c>
      <c r="AB253">
        <f>Source!Y73</f>
        <v>0</v>
      </c>
    </row>
    <row r="254" spans="1:28" ht="14.25" x14ac:dyDescent="0.2">
      <c r="C254" s="28" t="s">
        <v>900</v>
      </c>
      <c r="D254" s="28">
        <f>Source!BC73</f>
        <v>6.11</v>
      </c>
      <c r="F254" s="14"/>
      <c r="G254" s="14"/>
      <c r="H254" s="14"/>
    </row>
    <row r="255" spans="1:28" ht="28.5" x14ac:dyDescent="0.2">
      <c r="A255" s="52">
        <v>26</v>
      </c>
      <c r="B255" s="52" t="str">
        <f>Source!E75</f>
        <v>14,3</v>
      </c>
      <c r="C255" s="52" t="str">
        <f>Source!G75</f>
        <v>Плитки керамогранитные размером 300х300х8 мм</v>
      </c>
      <c r="D255" s="52" t="str">
        <f>Source!F75</f>
        <v>06.2.05.03-0047</v>
      </c>
      <c r="E255" s="37" t="str">
        <f>Source!H75</f>
        <v>м2</v>
      </c>
      <c r="F255" s="14">
        <f>Source!I75</f>
        <v>48.143999999999998</v>
      </c>
      <c r="G255" s="27">
        <f>Source!AB75</f>
        <v>83.2</v>
      </c>
      <c r="H255" s="27">
        <f>Source!O75</f>
        <v>24474.1</v>
      </c>
      <c r="T255">
        <f>Source!O75+Source!X75+Source!Y75</f>
        <v>24474.1</v>
      </c>
      <c r="U255">
        <f>Source!P75</f>
        <v>24474.1</v>
      </c>
      <c r="V255">
        <f>Source!S75</f>
        <v>0</v>
      </c>
      <c r="W255">
        <f>Source!Q75</f>
        <v>0</v>
      </c>
      <c r="X255">
        <f>Source!R75</f>
        <v>0</v>
      </c>
      <c r="Y255">
        <f>Source!U75</f>
        <v>0</v>
      </c>
      <c r="Z255">
        <f>Source!V75</f>
        <v>0</v>
      </c>
      <c r="AA255">
        <f>Source!X75</f>
        <v>0</v>
      </c>
      <c r="AB255">
        <f>Source!Y75</f>
        <v>0</v>
      </c>
    </row>
    <row r="256" spans="1:28" ht="14.25" x14ac:dyDescent="0.2">
      <c r="C256" s="28" t="s">
        <v>900</v>
      </c>
      <c r="D256" s="28">
        <f>Source!BC75</f>
        <v>6.11</v>
      </c>
      <c r="F256" s="14"/>
      <c r="G256" s="14"/>
      <c r="H256" s="14"/>
    </row>
    <row r="257" spans="1:28" ht="28.5" x14ac:dyDescent="0.2">
      <c r="A257" s="52">
        <v>27</v>
      </c>
      <c r="B257" s="52" t="str">
        <f>Source!E77</f>
        <v>15</v>
      </c>
      <c r="C257" s="52" t="str">
        <f>Source!G77</f>
        <v>Покрытие поверхностей грунтовкой глубокого проникновения за 1 раз стен</v>
      </c>
      <c r="D257" s="52" t="str">
        <f>Source!F77</f>
        <v>15-04-006-03</v>
      </c>
      <c r="E257" s="37" t="str">
        <f>Source!H77</f>
        <v>100 м2</v>
      </c>
      <c r="F257" s="14">
        <f>Source!I77</f>
        <v>0.95799999999999996</v>
      </c>
      <c r="G257" s="27">
        <f>Source!AB77</f>
        <v>73.86</v>
      </c>
      <c r="H257" s="27">
        <f>Source!O77</f>
        <v>432.33</v>
      </c>
      <c r="T257">
        <f>Source!O77+Source!X77+Source!Y77</f>
        <v>1037.3499999999999</v>
      </c>
      <c r="U257">
        <f>Source!P77</f>
        <v>1.05</v>
      </c>
      <c r="V257">
        <f>Source!S77</f>
        <v>424.14</v>
      </c>
      <c r="W257">
        <f>Source!Q77</f>
        <v>7.14</v>
      </c>
      <c r="X257">
        <f>Source!R77</f>
        <v>1.93</v>
      </c>
      <c r="Y257">
        <f>Source!U77</f>
        <v>7.2161349999999986</v>
      </c>
      <c r="Z257">
        <f>Source!V77</f>
        <v>2.3949999999999999E-2</v>
      </c>
      <c r="AA257">
        <f>Source!X77</f>
        <v>404.77</v>
      </c>
      <c r="AB257">
        <f>Source!Y77</f>
        <v>200.25</v>
      </c>
    </row>
    <row r="258" spans="1:28" ht="14.25" x14ac:dyDescent="0.2">
      <c r="C258" s="28" t="str">
        <f>"Объем: "&amp;Source!I77&amp;"=95,8/"&amp;"100"</f>
        <v>Объем: 0,958=95,8/100</v>
      </c>
      <c r="F258" s="14"/>
      <c r="G258" s="14"/>
      <c r="H258" s="14"/>
    </row>
    <row r="259" spans="1:28" x14ac:dyDescent="0.2">
      <c r="C259" s="28" t="s">
        <v>898</v>
      </c>
      <c r="D259" s="28">
        <f>Source!BA77</f>
        <v>6.11</v>
      </c>
    </row>
    <row r="260" spans="1:28" x14ac:dyDescent="0.2">
      <c r="C260" s="28" t="s">
        <v>899</v>
      </c>
      <c r="D260" s="28">
        <f>Source!BB77</f>
        <v>6.11</v>
      </c>
    </row>
    <row r="261" spans="1:28" x14ac:dyDescent="0.2">
      <c r="C261" s="28" t="s">
        <v>900</v>
      </c>
      <c r="D261" s="28">
        <f>Source!BC77</f>
        <v>6.11</v>
      </c>
    </row>
    <row r="262" spans="1:28" x14ac:dyDescent="0.2">
      <c r="C262" s="28" t="s">
        <v>901</v>
      </c>
      <c r="D262" s="28">
        <f>Source!BS77</f>
        <v>6.11</v>
      </c>
    </row>
    <row r="263" spans="1:28" x14ac:dyDescent="0.2">
      <c r="C263" s="28" t="s">
        <v>907</v>
      </c>
      <c r="D263" s="118" t="s">
        <v>27</v>
      </c>
      <c r="E263" s="118"/>
      <c r="F263" s="118"/>
      <c r="G263" s="118"/>
      <c r="H263" s="118"/>
    </row>
    <row r="264" spans="1:28" x14ac:dyDescent="0.2">
      <c r="C264" s="28" t="s">
        <v>908</v>
      </c>
      <c r="D264" s="118" t="s">
        <v>27</v>
      </c>
      <c r="E264" s="118"/>
      <c r="F264" s="118"/>
      <c r="G264" s="118"/>
      <c r="H264" s="118"/>
    </row>
    <row r="265" spans="1:28" x14ac:dyDescent="0.2">
      <c r="C265" s="28" t="s">
        <v>909</v>
      </c>
      <c r="D265" s="118" t="s">
        <v>28</v>
      </c>
      <c r="E265" s="118"/>
      <c r="F265" s="118"/>
      <c r="G265" s="118"/>
      <c r="H265" s="118"/>
    </row>
    <row r="266" spans="1:28" x14ac:dyDescent="0.2">
      <c r="C266" s="28" t="s">
        <v>910</v>
      </c>
      <c r="D266" s="118" t="s">
        <v>28</v>
      </c>
      <c r="E266" s="118"/>
      <c r="F266" s="118"/>
      <c r="G266" s="118"/>
      <c r="H266" s="118"/>
    </row>
    <row r="267" spans="1:28" x14ac:dyDescent="0.2">
      <c r="C267" s="28" t="s">
        <v>911</v>
      </c>
      <c r="D267" s="118" t="s">
        <v>27</v>
      </c>
      <c r="E267" s="118"/>
      <c r="F267" s="118"/>
      <c r="G267" s="118"/>
      <c r="H267" s="118"/>
    </row>
    <row r="268" spans="1:28" x14ac:dyDescent="0.2">
      <c r="C268" s="11" t="s">
        <v>902</v>
      </c>
      <c r="D268" s="40"/>
      <c r="E268" s="40"/>
      <c r="F268" s="40">
        <f>Source!BZ77</f>
        <v>105</v>
      </c>
      <c r="G268" s="63">
        <f>(Source!AF77+Source!AE77)*Source!FX77/100</f>
        <v>68.786549999999991</v>
      </c>
      <c r="H268" s="63">
        <f>Source!X77</f>
        <v>404.77</v>
      </c>
    </row>
    <row r="269" spans="1:28" x14ac:dyDescent="0.2">
      <c r="C269" s="11" t="s">
        <v>903</v>
      </c>
      <c r="D269" s="40"/>
      <c r="E269" s="40"/>
      <c r="F269" s="40"/>
      <c r="G269" s="40" t="str">
        <f>CONCATENATE(Source!DL77,Source!FT77, "=", Source!FX77, "%")</f>
        <v>*0,9=94,5%</v>
      </c>
      <c r="H269" s="40" t="str">
        <f>CONCATENATE(Source!AT77)</f>
        <v>95</v>
      </c>
    </row>
    <row r="270" spans="1:28" x14ac:dyDescent="0.2">
      <c r="C270" s="11" t="s">
        <v>904</v>
      </c>
      <c r="D270" s="40"/>
      <c r="E270" s="40"/>
      <c r="F270" s="40">
        <f>Source!CA77</f>
        <v>55</v>
      </c>
      <c r="G270" s="63">
        <f>(Source!AF77+Source!AE77)*Source!FY77/100</f>
        <v>34.029324999999993</v>
      </c>
      <c r="H270" s="63">
        <f>Source!Y77</f>
        <v>200.25</v>
      </c>
    </row>
    <row r="271" spans="1:28" x14ac:dyDescent="0.2">
      <c r="C271" s="11" t="s">
        <v>905</v>
      </c>
      <c r="D271" s="40"/>
      <c r="E271" s="40"/>
      <c r="F271" s="40"/>
      <c r="G271" s="40" t="str">
        <f>CONCATENATE(Source!DM77,Source!FU77, "=", Source!FY77, "%")</f>
        <v>*0,85=46,75%</v>
      </c>
      <c r="H271" s="40" t="str">
        <f>CONCATENATE(Source!AU77)</f>
        <v>47</v>
      </c>
    </row>
    <row r="272" spans="1:28" x14ac:dyDescent="0.2">
      <c r="C272" s="11" t="s">
        <v>906</v>
      </c>
      <c r="D272" s="40"/>
      <c r="E272" s="40"/>
      <c r="F272" s="40"/>
      <c r="G272" s="63">
        <f>((Source!AF77+Source!AE77)*Source!FX77/100)+((Source!AF77+Source!AE77)*Source!FY77/100)+Source!AB77</f>
        <v>176.67587499999996</v>
      </c>
      <c r="H272" s="63">
        <f>Source!O77+Source!X77+Source!Y77</f>
        <v>1037.3499999999999</v>
      </c>
    </row>
    <row r="273" spans="1:28" ht="14.25" x14ac:dyDescent="0.2">
      <c r="A273" s="52">
        <v>28</v>
      </c>
      <c r="B273" s="52" t="str">
        <f>Source!E79</f>
        <v>15,1</v>
      </c>
      <c r="C273" s="52" t="str">
        <f>Source!G79</f>
        <v>Грунтовка</v>
      </c>
      <c r="D273" s="52" t="str">
        <f>Source!F79</f>
        <v>14.4.01.21</v>
      </c>
      <c r="E273" s="37" t="str">
        <f>Source!H79</f>
        <v>т</v>
      </c>
      <c r="F273" s="14">
        <f>Source!I79</f>
        <v>1.2454E-2</v>
      </c>
      <c r="G273" s="27">
        <f>Source!AB79</f>
        <v>0</v>
      </c>
      <c r="H273" s="27">
        <f>Source!O79</f>
        <v>0</v>
      </c>
      <c r="T273">
        <f>Source!O79+Source!X79+Source!Y79</f>
        <v>0</v>
      </c>
      <c r="U273">
        <f>Source!P79</f>
        <v>0</v>
      </c>
      <c r="V273">
        <f>Source!S79</f>
        <v>0</v>
      </c>
      <c r="W273">
        <f>Source!Q79</f>
        <v>0</v>
      </c>
      <c r="X273">
        <f>Source!R79</f>
        <v>0</v>
      </c>
      <c r="Y273">
        <f>Source!U79</f>
        <v>0</v>
      </c>
      <c r="Z273">
        <f>Source!V79</f>
        <v>0</v>
      </c>
      <c r="AA273">
        <f>Source!X79</f>
        <v>0</v>
      </c>
      <c r="AB273">
        <f>Source!Y79</f>
        <v>0</v>
      </c>
    </row>
    <row r="274" spans="1:28" ht="14.25" x14ac:dyDescent="0.2">
      <c r="C274" s="28" t="s">
        <v>900</v>
      </c>
      <c r="D274" s="28">
        <f>Source!BC79</f>
        <v>6.11</v>
      </c>
      <c r="F274" s="14"/>
      <c r="G274" s="14"/>
      <c r="H274" s="14"/>
    </row>
    <row r="275" spans="1:28" ht="28.5" x14ac:dyDescent="0.2">
      <c r="A275" s="52">
        <v>29</v>
      </c>
      <c r="B275" s="52" t="str">
        <f>Source!E81</f>
        <v>15,2</v>
      </c>
      <c r="C275" s="52" t="str">
        <f>Source!G81</f>
        <v>Грунтовка для внутренних работ ВАК-01-У</v>
      </c>
      <c r="D275" s="52" t="str">
        <f>Source!F81</f>
        <v>14.4.01.04-0001</v>
      </c>
      <c r="E275" s="37" t="str">
        <f>Source!H81</f>
        <v>т</v>
      </c>
      <c r="F275" s="14">
        <f>Source!I81</f>
        <v>1.2454E-2</v>
      </c>
      <c r="G275" s="27">
        <f>Source!AB81</f>
        <v>11300</v>
      </c>
      <c r="H275" s="27">
        <f>Source!O81</f>
        <v>859.86</v>
      </c>
      <c r="T275">
        <f>Source!O81+Source!X81+Source!Y81</f>
        <v>859.86</v>
      </c>
      <c r="U275">
        <f>Source!P81</f>
        <v>859.86</v>
      </c>
      <c r="V275">
        <f>Source!S81</f>
        <v>0</v>
      </c>
      <c r="W275">
        <f>Source!Q81</f>
        <v>0</v>
      </c>
      <c r="X275">
        <f>Source!R81</f>
        <v>0</v>
      </c>
      <c r="Y275">
        <f>Source!U81</f>
        <v>0</v>
      </c>
      <c r="Z275">
        <f>Source!V81</f>
        <v>0</v>
      </c>
      <c r="AA275">
        <f>Source!X81</f>
        <v>0</v>
      </c>
      <c r="AB275">
        <f>Source!Y81</f>
        <v>0</v>
      </c>
    </row>
    <row r="276" spans="1:28" ht="14.25" x14ac:dyDescent="0.2">
      <c r="C276" s="28" t="s">
        <v>900</v>
      </c>
      <c r="D276" s="28">
        <f>Source!BC81</f>
        <v>6.11</v>
      </c>
      <c r="F276" s="14"/>
      <c r="G276" s="14"/>
      <c r="H276" s="14"/>
    </row>
    <row r="277" spans="1:28" ht="28.5" x14ac:dyDescent="0.2">
      <c r="A277" s="52">
        <v>30</v>
      </c>
      <c r="B277" s="52" t="str">
        <f>Source!E83</f>
        <v>16</v>
      </c>
      <c r="C277" s="52" t="str">
        <f>Source!G83</f>
        <v>Разборка облицовки стен из керамических глазурованных плиток</v>
      </c>
      <c r="D277" s="52" t="str">
        <f>Source!F83</f>
        <v>63-7-5</v>
      </c>
      <c r="E277" s="37" t="str">
        <f>Source!H83</f>
        <v>100 м2</v>
      </c>
      <c r="F277" s="14">
        <f>Source!I83</f>
        <v>0.47499999999999998</v>
      </c>
      <c r="G277" s="27">
        <f>Source!AB83</f>
        <v>654</v>
      </c>
      <c r="H277" s="27">
        <f>Source!O83</f>
        <v>1898.07</v>
      </c>
      <c r="T277">
        <f>Source!O83+Source!X83+Source!Y83</f>
        <v>4070.78</v>
      </c>
      <c r="U277">
        <f>Source!P83</f>
        <v>0</v>
      </c>
      <c r="V277">
        <f>Source!S83</f>
        <v>1697.06</v>
      </c>
      <c r="W277">
        <f>Source!Q83</f>
        <v>201.01</v>
      </c>
      <c r="X277">
        <f>Source!R83</f>
        <v>13.73</v>
      </c>
      <c r="Y277">
        <f>Source!U83</f>
        <v>35.292499999999997</v>
      </c>
      <c r="Z277">
        <f>Source!V83</f>
        <v>0.16624999999999998</v>
      </c>
      <c r="AA277">
        <f>Source!X83</f>
        <v>1317.31</v>
      </c>
      <c r="AB277">
        <f>Source!Y83</f>
        <v>855.4</v>
      </c>
    </row>
    <row r="278" spans="1:28" ht="14.25" x14ac:dyDescent="0.2">
      <c r="C278" s="28" t="str">
        <f>"Объем: "&amp;Source!I83&amp;"=47,5/"&amp;"100"</f>
        <v>Объем: 0,475=47,5/100</v>
      </c>
      <c r="F278" s="14"/>
      <c r="G278" s="14"/>
      <c r="H278" s="14"/>
    </row>
    <row r="279" spans="1:28" x14ac:dyDescent="0.2">
      <c r="C279" s="28" t="s">
        <v>898</v>
      </c>
      <c r="D279" s="28">
        <f>Source!BA83</f>
        <v>6.11</v>
      </c>
    </row>
    <row r="280" spans="1:28" x14ac:dyDescent="0.2">
      <c r="C280" s="28" t="s">
        <v>899</v>
      </c>
      <c r="D280" s="28">
        <f>Source!BB83</f>
        <v>6.11</v>
      </c>
    </row>
    <row r="281" spans="1:28" x14ac:dyDescent="0.2">
      <c r="C281" s="28" t="s">
        <v>900</v>
      </c>
      <c r="D281" s="28">
        <f>Source!BC83</f>
        <v>6.11</v>
      </c>
    </row>
    <row r="282" spans="1:28" x14ac:dyDescent="0.2">
      <c r="C282" s="28" t="s">
        <v>901</v>
      </c>
      <c r="D282" s="28">
        <f>Source!BS83</f>
        <v>6.11</v>
      </c>
    </row>
    <row r="283" spans="1:28" x14ac:dyDescent="0.2">
      <c r="C283" s="11" t="s">
        <v>902</v>
      </c>
      <c r="D283" s="40"/>
      <c r="E283" s="40"/>
      <c r="F283" s="40">
        <f>Source!BZ83</f>
        <v>77</v>
      </c>
      <c r="G283" s="63">
        <f>(Source!AF83+Source!AE83)*Source!FX83/100</f>
        <v>453.89190000000002</v>
      </c>
      <c r="H283" s="63">
        <f>Source!X83</f>
        <v>1317.31</v>
      </c>
    </row>
    <row r="284" spans="1:28" x14ac:dyDescent="0.2">
      <c r="C284" s="11" t="s">
        <v>904</v>
      </c>
      <c r="D284" s="40"/>
      <c r="E284" s="40"/>
      <c r="F284" s="40">
        <f>Source!CA83</f>
        <v>50</v>
      </c>
      <c r="G284" s="63">
        <f>(Source!AF83+Source!AE83)*Source!FY83/100</f>
        <v>294.73500000000001</v>
      </c>
      <c r="H284" s="63">
        <f>Source!Y83</f>
        <v>855.4</v>
      </c>
    </row>
    <row r="285" spans="1:28" x14ac:dyDescent="0.2">
      <c r="C285" s="11" t="s">
        <v>906</v>
      </c>
      <c r="D285" s="40"/>
      <c r="E285" s="40"/>
      <c r="F285" s="40"/>
      <c r="G285" s="63">
        <f>((Source!AF83+Source!AE83)*Source!FX83/100)+((Source!AF83+Source!AE83)*Source!FY83/100)+Source!AB83</f>
        <v>1402.6269</v>
      </c>
      <c r="H285" s="63">
        <f>Source!O83+Source!X83+Source!Y83</f>
        <v>4070.78</v>
      </c>
    </row>
    <row r="286" spans="1:28" ht="85.5" x14ac:dyDescent="0.2">
      <c r="A286" s="52">
        <v>31</v>
      </c>
      <c r="B286" s="52" t="str">
        <f>Source!E85</f>
        <v>17</v>
      </c>
      <c r="C286" s="52" t="str">
        <f>Source!G85</f>
        <v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 по кирпичу и бетону</v>
      </c>
      <c r="D286" s="52" t="str">
        <f>Source!F85</f>
        <v>15-01-019-05</v>
      </c>
      <c r="E286" s="37" t="str">
        <f>Source!H85</f>
        <v>100 м2</v>
      </c>
      <c r="F286" s="14">
        <f>Source!I85</f>
        <v>0.47499999999999998</v>
      </c>
      <c r="G286" s="27">
        <f>Source!AB85</f>
        <v>1728.51</v>
      </c>
      <c r="H286" s="27">
        <f>Source!O85</f>
        <v>5016.57</v>
      </c>
      <c r="T286">
        <f>Source!O85+Source!X85+Source!Y85</f>
        <v>12053.720000000001</v>
      </c>
      <c r="U286">
        <f>Source!P85</f>
        <v>9.23</v>
      </c>
      <c r="V286">
        <f>Source!S85</f>
        <v>4892.1499999999996</v>
      </c>
      <c r="W286">
        <f>Source!Q85</f>
        <v>115.19</v>
      </c>
      <c r="X286">
        <f>Source!R85</f>
        <v>63.59</v>
      </c>
      <c r="Y286">
        <f>Source!U85</f>
        <v>87.219737499999979</v>
      </c>
      <c r="Z286">
        <f>Source!V85</f>
        <v>0.97968749999999993</v>
      </c>
      <c r="AA286">
        <f>Source!X85</f>
        <v>4707.95</v>
      </c>
      <c r="AB286">
        <f>Source!Y85</f>
        <v>2329.1999999999998</v>
      </c>
    </row>
    <row r="287" spans="1:28" ht="14.25" x14ac:dyDescent="0.2">
      <c r="C287" s="28" t="str">
        <f>"Объем: "&amp;Source!I85&amp;"=47,5/"&amp;"100"</f>
        <v>Объем: 0,475=47,5/100</v>
      </c>
      <c r="F287" s="14"/>
      <c r="G287" s="14"/>
      <c r="H287" s="14"/>
    </row>
    <row r="288" spans="1:28" x14ac:dyDescent="0.2">
      <c r="C288" s="28" t="s">
        <v>898</v>
      </c>
      <c r="D288" s="28">
        <f>Source!BA85</f>
        <v>6.11</v>
      </c>
    </row>
    <row r="289" spans="1:28" x14ac:dyDescent="0.2">
      <c r="C289" s="28" t="s">
        <v>899</v>
      </c>
      <c r="D289" s="28">
        <f>Source!BB85</f>
        <v>6.11</v>
      </c>
    </row>
    <row r="290" spans="1:28" x14ac:dyDescent="0.2">
      <c r="C290" s="28" t="s">
        <v>900</v>
      </c>
      <c r="D290" s="28">
        <f>Source!BC85</f>
        <v>6.11</v>
      </c>
    </row>
    <row r="291" spans="1:28" x14ac:dyDescent="0.2">
      <c r="C291" s="28" t="s">
        <v>901</v>
      </c>
      <c r="D291" s="28">
        <f>Source!BS85</f>
        <v>6.11</v>
      </c>
    </row>
    <row r="292" spans="1:28" x14ac:dyDescent="0.2">
      <c r="C292" s="28" t="s">
        <v>907</v>
      </c>
      <c r="D292" s="118" t="s">
        <v>27</v>
      </c>
      <c r="E292" s="118"/>
      <c r="F292" s="118"/>
      <c r="G292" s="118"/>
      <c r="H292" s="118"/>
    </row>
    <row r="293" spans="1:28" x14ac:dyDescent="0.2">
      <c r="C293" s="28" t="s">
        <v>908</v>
      </c>
      <c r="D293" s="118" t="s">
        <v>27</v>
      </c>
      <c r="E293" s="118"/>
      <c r="F293" s="118"/>
      <c r="G293" s="118"/>
      <c r="H293" s="118"/>
    </row>
    <row r="294" spans="1:28" x14ac:dyDescent="0.2">
      <c r="C294" s="28" t="s">
        <v>909</v>
      </c>
      <c r="D294" s="118" t="s">
        <v>28</v>
      </c>
      <c r="E294" s="118"/>
      <c r="F294" s="118"/>
      <c r="G294" s="118"/>
      <c r="H294" s="118"/>
    </row>
    <row r="295" spans="1:28" x14ac:dyDescent="0.2">
      <c r="C295" s="28" t="s">
        <v>910</v>
      </c>
      <c r="D295" s="118" t="s">
        <v>28</v>
      </c>
      <c r="E295" s="118"/>
      <c r="F295" s="118"/>
      <c r="G295" s="118"/>
      <c r="H295" s="118"/>
    </row>
    <row r="296" spans="1:28" x14ac:dyDescent="0.2">
      <c r="C296" s="28" t="s">
        <v>911</v>
      </c>
      <c r="D296" s="118" t="s">
        <v>27</v>
      </c>
      <c r="E296" s="118"/>
      <c r="F296" s="118"/>
      <c r="G296" s="118"/>
      <c r="H296" s="118"/>
    </row>
    <row r="297" spans="1:28" x14ac:dyDescent="0.2">
      <c r="C297" s="11" t="s">
        <v>902</v>
      </c>
      <c r="D297" s="40"/>
      <c r="E297" s="40"/>
      <c r="F297" s="40">
        <f>Source!BZ85</f>
        <v>105</v>
      </c>
      <c r="G297" s="63">
        <f>(Source!AF85+Source!AE85)*Source!FX85/100</f>
        <v>1613.6347500000002</v>
      </c>
      <c r="H297" s="63">
        <f>Source!X85</f>
        <v>4707.95</v>
      </c>
    </row>
    <row r="298" spans="1:28" x14ac:dyDescent="0.2">
      <c r="C298" s="11" t="s">
        <v>903</v>
      </c>
      <c r="D298" s="40"/>
      <c r="E298" s="40"/>
      <c r="F298" s="40"/>
      <c r="G298" s="40" t="str">
        <f>CONCATENATE(Source!DL85,Source!FT85, "=", Source!FX85, "%")</f>
        <v>*0,9=94,5%</v>
      </c>
      <c r="H298" s="40" t="str">
        <f>CONCATENATE(Source!AT85)</f>
        <v>95</v>
      </c>
    </row>
    <row r="299" spans="1:28" x14ac:dyDescent="0.2">
      <c r="C299" s="11" t="s">
        <v>904</v>
      </c>
      <c r="D299" s="40"/>
      <c r="E299" s="40"/>
      <c r="F299" s="40">
        <f>Source!CA85</f>
        <v>55</v>
      </c>
      <c r="G299" s="63">
        <f>(Source!AF85+Source!AE85)*Source!FY85/100</f>
        <v>798.27962500000012</v>
      </c>
      <c r="H299" s="63">
        <f>Source!Y85</f>
        <v>2329.1999999999998</v>
      </c>
    </row>
    <row r="300" spans="1:28" x14ac:dyDescent="0.2">
      <c r="C300" s="11" t="s">
        <v>905</v>
      </c>
      <c r="D300" s="40"/>
      <c r="E300" s="40"/>
      <c r="F300" s="40"/>
      <c r="G300" s="40" t="str">
        <f>CONCATENATE(Source!DM85,Source!FU85, "=", Source!FY85, "%")</f>
        <v>*0,85=46,75%</v>
      </c>
      <c r="H300" s="40" t="str">
        <f>CONCATENATE(Source!AU85)</f>
        <v>47</v>
      </c>
    </row>
    <row r="301" spans="1:28" x14ac:dyDescent="0.2">
      <c r="C301" s="11" t="s">
        <v>906</v>
      </c>
      <c r="D301" s="40"/>
      <c r="E301" s="40"/>
      <c r="F301" s="40"/>
      <c r="G301" s="63">
        <f>((Source!AF85+Source!AE85)*Source!FX85/100)+((Source!AF85+Source!AE85)*Source!FY85/100)+Source!AB85</f>
        <v>4140.4243750000005</v>
      </c>
      <c r="H301" s="63">
        <f>Source!O85+Source!X85+Source!Y85</f>
        <v>12053.720000000001</v>
      </c>
    </row>
    <row r="302" spans="1:28" ht="28.5" x14ac:dyDescent="0.2">
      <c r="A302" s="52">
        <v>32</v>
      </c>
      <c r="B302" s="52" t="str">
        <f>Source!E87</f>
        <v>17,1</v>
      </c>
      <c r="C302" s="52" t="str">
        <f>Source!G87</f>
        <v>Смесь сухая (фуга) АТЛАС разных цветов для заделки швов водостойкая</v>
      </c>
      <c r="D302" s="52" t="str">
        <f>Source!F87</f>
        <v>04.3.02.09-0741</v>
      </c>
      <c r="E302" s="37" t="str">
        <f>Source!H87</f>
        <v>т</v>
      </c>
      <c r="F302" s="14">
        <f>Source!I87</f>
        <v>2.375E-2</v>
      </c>
      <c r="G302" s="27">
        <f>Source!AB87</f>
        <v>9000</v>
      </c>
      <c r="H302" s="27">
        <f>Source!O87</f>
        <v>1306.01</v>
      </c>
      <c r="T302">
        <f>Source!O87+Source!X87+Source!Y87</f>
        <v>1306.01</v>
      </c>
      <c r="U302">
        <f>Source!P87</f>
        <v>1306.01</v>
      </c>
      <c r="V302">
        <f>Source!S87</f>
        <v>0</v>
      </c>
      <c r="W302">
        <f>Source!Q87</f>
        <v>0</v>
      </c>
      <c r="X302">
        <f>Source!R87</f>
        <v>0</v>
      </c>
      <c r="Y302">
        <f>Source!U87</f>
        <v>0</v>
      </c>
      <c r="Z302">
        <f>Source!V87</f>
        <v>0</v>
      </c>
      <c r="AA302">
        <f>Source!X87</f>
        <v>0</v>
      </c>
      <c r="AB302">
        <f>Source!Y87</f>
        <v>0</v>
      </c>
    </row>
    <row r="303" spans="1:28" ht="14.25" x14ac:dyDescent="0.2">
      <c r="C303" s="28" t="s">
        <v>900</v>
      </c>
      <c r="D303" s="28">
        <f>Source!BC87</f>
        <v>6.11</v>
      </c>
      <c r="F303" s="14"/>
      <c r="G303" s="14"/>
      <c r="H303" s="14"/>
    </row>
    <row r="304" spans="1:28" ht="71.25" x14ac:dyDescent="0.2">
      <c r="A304" s="52">
        <v>33</v>
      </c>
      <c r="B304" s="52" t="str">
        <f>Source!E89</f>
        <v>17,2</v>
      </c>
      <c r="C304" s="52" t="str">
        <f>Source!G89</f>
        <v>Плитки керамические глазурованные для внутренней облицовки стен многоцветные, "Итало-дизайн" (коллекция "Палермо"-эконом класс), размер 300х200х7 мм</v>
      </c>
      <c r="D304" s="52" t="str">
        <f>Source!F89</f>
        <v>06.2.01.02-0030</v>
      </c>
      <c r="E304" s="37" t="str">
        <f>Source!H89</f>
        <v>м2</v>
      </c>
      <c r="F304" s="14">
        <f>Source!I89</f>
        <v>47.5</v>
      </c>
      <c r="G304" s="27">
        <f>Source!AB89</f>
        <v>85.71</v>
      </c>
      <c r="H304" s="27">
        <f>Source!O89</f>
        <v>24875.18</v>
      </c>
      <c r="T304">
        <f>Source!O89+Source!X89+Source!Y89</f>
        <v>24875.18</v>
      </c>
      <c r="U304">
        <f>Source!P89</f>
        <v>24875.18</v>
      </c>
      <c r="V304">
        <f>Source!S89</f>
        <v>0</v>
      </c>
      <c r="W304">
        <f>Source!Q89</f>
        <v>0</v>
      </c>
      <c r="X304">
        <f>Source!R89</f>
        <v>0</v>
      </c>
      <c r="Y304">
        <f>Source!U89</f>
        <v>0</v>
      </c>
      <c r="Z304">
        <f>Source!V89</f>
        <v>0</v>
      </c>
      <c r="AA304">
        <f>Source!X89</f>
        <v>0</v>
      </c>
      <c r="AB304">
        <f>Source!Y89</f>
        <v>0</v>
      </c>
    </row>
    <row r="305" spans="1:28" ht="14.25" x14ac:dyDescent="0.2">
      <c r="C305" s="28" t="s">
        <v>900</v>
      </c>
      <c r="D305" s="28">
        <f>Source!BC89</f>
        <v>6.11</v>
      </c>
      <c r="F305" s="14"/>
      <c r="G305" s="14"/>
      <c r="H305" s="14"/>
    </row>
    <row r="306" spans="1:28" ht="28.5" x14ac:dyDescent="0.2">
      <c r="A306" s="52">
        <v>34</v>
      </c>
      <c r="B306" s="52" t="str">
        <f>Source!E91</f>
        <v>17,3</v>
      </c>
      <c r="C306" s="52" t="str">
        <f>Source!G91</f>
        <v>Клей для плитки "Атлас Плюс" (сухая смесь)</v>
      </c>
      <c r="D306" s="52" t="str">
        <f>Source!F91</f>
        <v>14.1.06.02-0002</v>
      </c>
      <c r="E306" s="37" t="str">
        <f>Source!H91</f>
        <v>т</v>
      </c>
      <c r="F306" s="14">
        <f>Source!I91</f>
        <v>0.17812500000000001</v>
      </c>
      <c r="G306" s="27">
        <f>Source!AB91</f>
        <v>2919.43</v>
      </c>
      <c r="H306" s="27">
        <f>Source!O91</f>
        <v>3177.34</v>
      </c>
      <c r="T306">
        <f>Source!O91+Source!X91+Source!Y91</f>
        <v>3177.34</v>
      </c>
      <c r="U306">
        <f>Source!P91</f>
        <v>3177.34</v>
      </c>
      <c r="V306">
        <f>Source!S91</f>
        <v>0</v>
      </c>
      <c r="W306">
        <f>Source!Q91</f>
        <v>0</v>
      </c>
      <c r="X306">
        <f>Source!R91</f>
        <v>0</v>
      </c>
      <c r="Y306">
        <f>Source!U91</f>
        <v>0</v>
      </c>
      <c r="Z306">
        <f>Source!V91</f>
        <v>0</v>
      </c>
      <c r="AA306">
        <f>Source!X91</f>
        <v>0</v>
      </c>
      <c r="AB306">
        <f>Source!Y91</f>
        <v>0</v>
      </c>
    </row>
    <row r="307" spans="1:28" ht="14.25" x14ac:dyDescent="0.2">
      <c r="C307" s="28" t="s">
        <v>900</v>
      </c>
      <c r="D307" s="28">
        <f>Source!BC91</f>
        <v>6.11</v>
      </c>
      <c r="F307" s="14"/>
      <c r="G307" s="14"/>
      <c r="H307" s="14"/>
    </row>
    <row r="308" spans="1:28" ht="57" x14ac:dyDescent="0.2">
      <c r="A308" s="52">
        <v>35</v>
      </c>
      <c r="B308" s="52" t="str">
        <f>Source!E93</f>
        <v>18</v>
      </c>
      <c r="C308" s="52" t="str">
        <f>Source!G93</f>
        <v>Ремонт штукатурки внутренних стен по камню известковым раствором площадью отдельных мест до 10 м2 толщиной слоя до 20 мм</v>
      </c>
      <c r="D308" s="52" t="str">
        <f>Source!F93</f>
        <v>61-2-3</v>
      </c>
      <c r="E308" s="37" t="str">
        <f>Source!H93</f>
        <v>100 м2</v>
      </c>
      <c r="F308" s="14">
        <f>Source!I93</f>
        <v>0.14599999999999999</v>
      </c>
      <c r="G308" s="27">
        <f>Source!AB93</f>
        <v>2438.85</v>
      </c>
      <c r="H308" s="27">
        <f>Source!O93</f>
        <v>2175.6</v>
      </c>
      <c r="T308">
        <f>Source!O93+Source!X93+Source!Y93</f>
        <v>3675.3</v>
      </c>
      <c r="U308">
        <f>Source!P93</f>
        <v>1002.43</v>
      </c>
      <c r="V308">
        <f>Source!S93</f>
        <v>1154.49</v>
      </c>
      <c r="W308">
        <f>Source!Q93</f>
        <v>18.68</v>
      </c>
      <c r="X308">
        <f>Source!R93</f>
        <v>8.07</v>
      </c>
      <c r="Y308">
        <f>Source!U93</f>
        <v>21.326219999999999</v>
      </c>
      <c r="Z308">
        <f>Source!V93</f>
        <v>9.7820000000000004E-2</v>
      </c>
      <c r="AA308">
        <f>Source!X93</f>
        <v>918.42</v>
      </c>
      <c r="AB308">
        <f>Source!Y93</f>
        <v>581.28</v>
      </c>
    </row>
    <row r="309" spans="1:28" ht="14.25" x14ac:dyDescent="0.2">
      <c r="C309" s="28" t="str">
        <f>"Объем: "&amp;Source!I93&amp;"=14,6/"&amp;"100"</f>
        <v>Объем: 0,146=14,6/100</v>
      </c>
      <c r="F309" s="14"/>
      <c r="G309" s="14"/>
      <c r="H309" s="14"/>
    </row>
    <row r="310" spans="1:28" x14ac:dyDescent="0.2">
      <c r="C310" s="28" t="s">
        <v>898</v>
      </c>
      <c r="D310" s="28">
        <f>Source!BA93</f>
        <v>6.11</v>
      </c>
    </row>
    <row r="311" spans="1:28" x14ac:dyDescent="0.2">
      <c r="C311" s="28" t="s">
        <v>899</v>
      </c>
      <c r="D311" s="28">
        <f>Source!BB93</f>
        <v>6.11</v>
      </c>
    </row>
    <row r="312" spans="1:28" x14ac:dyDescent="0.2">
      <c r="C312" s="28" t="s">
        <v>900</v>
      </c>
      <c r="D312" s="28">
        <f>Source!BC93</f>
        <v>6.11</v>
      </c>
    </row>
    <row r="313" spans="1:28" x14ac:dyDescent="0.2">
      <c r="C313" s="28" t="s">
        <v>901</v>
      </c>
      <c r="D313" s="28">
        <f>Source!BS93</f>
        <v>6.11</v>
      </c>
    </row>
    <row r="314" spans="1:28" x14ac:dyDescent="0.2">
      <c r="C314" s="11" t="s">
        <v>902</v>
      </c>
      <c r="D314" s="40"/>
      <c r="E314" s="40"/>
      <c r="F314" s="40">
        <f>Source!BZ93</f>
        <v>79</v>
      </c>
      <c r="G314" s="63">
        <f>(Source!AF93+Source!AE93)*Source!FX93/100</f>
        <v>1029.5517</v>
      </c>
      <c r="H314" s="63">
        <f>Source!X93</f>
        <v>918.42</v>
      </c>
    </row>
    <row r="315" spans="1:28" x14ac:dyDescent="0.2">
      <c r="C315" s="11" t="s">
        <v>904</v>
      </c>
      <c r="D315" s="40"/>
      <c r="E315" s="40"/>
      <c r="F315" s="40">
        <f>Source!CA93</f>
        <v>50</v>
      </c>
      <c r="G315" s="63">
        <f>(Source!AF93+Source!AE93)*Source!FY93/100</f>
        <v>651.61500000000001</v>
      </c>
      <c r="H315" s="63">
        <f>Source!Y93</f>
        <v>581.28</v>
      </c>
    </row>
    <row r="316" spans="1:28" x14ac:dyDescent="0.2">
      <c r="C316" s="11" t="s">
        <v>906</v>
      </c>
      <c r="D316" s="40"/>
      <c r="E316" s="40"/>
      <c r="F316" s="40"/>
      <c r="G316" s="63">
        <f>((Source!AF93+Source!AE93)*Source!FX93/100)+((Source!AF93+Source!AE93)*Source!FY93/100)+Source!AB93</f>
        <v>4120.0167000000001</v>
      </c>
      <c r="H316" s="63">
        <f>Source!O93+Source!X93+Source!Y93</f>
        <v>3675.3</v>
      </c>
    </row>
    <row r="317" spans="1:28" ht="71.25" x14ac:dyDescent="0.2">
      <c r="A317" s="52">
        <v>36</v>
      </c>
      <c r="B317" s="52" t="str">
        <f>Source!E95</f>
        <v>19</v>
      </c>
      <c r="C317" s="52" t="str">
        <f>Source!G95</f>
        <v>Окрашивание водоэмульсионными составами поверхностей стен, ранее окрашенных водоэмульсионной краской с расчисткой старой краски более 35%</v>
      </c>
      <c r="D317" s="52" t="str">
        <f>Source!F95</f>
        <v>62-16-4</v>
      </c>
      <c r="E317" s="37" t="str">
        <f>Source!H95</f>
        <v>100 м2</v>
      </c>
      <c r="F317" s="14">
        <f>Source!I95</f>
        <v>0.48299999999999998</v>
      </c>
      <c r="G317" s="27">
        <f>Source!AB95</f>
        <v>759.03</v>
      </c>
      <c r="H317" s="27">
        <f>Source!O95</f>
        <v>2239.9899999999998</v>
      </c>
      <c r="T317">
        <f>Source!O95+Source!X95+Source!Y95</f>
        <v>3228.9999999999995</v>
      </c>
      <c r="U317">
        <f>Source!P95</f>
        <v>1464.41</v>
      </c>
      <c r="V317">
        <f>Source!S95</f>
        <v>754.72</v>
      </c>
      <c r="W317">
        <f>Source!Q95</f>
        <v>20.86</v>
      </c>
      <c r="X317">
        <f>Source!R95</f>
        <v>6.05</v>
      </c>
      <c r="Y317">
        <f>Source!U95</f>
        <v>14.296800000000001</v>
      </c>
      <c r="Z317">
        <f>Source!V95</f>
        <v>7.7280000000000001E-2</v>
      </c>
      <c r="AA317">
        <f>Source!X95</f>
        <v>608.62</v>
      </c>
      <c r="AB317">
        <f>Source!Y95</f>
        <v>380.39</v>
      </c>
    </row>
    <row r="318" spans="1:28" ht="14.25" x14ac:dyDescent="0.2">
      <c r="C318" s="28" t="str">
        <f>"Объем: "&amp;Source!I95&amp;"=48,3/"&amp;"100"</f>
        <v>Объем: 0,483=48,3/100</v>
      </c>
      <c r="F318" s="14"/>
      <c r="G318" s="14"/>
      <c r="H318" s="14"/>
    </row>
    <row r="319" spans="1:28" x14ac:dyDescent="0.2">
      <c r="C319" s="28" t="s">
        <v>898</v>
      </c>
      <c r="D319" s="28">
        <f>Source!BA95</f>
        <v>6.11</v>
      </c>
    </row>
    <row r="320" spans="1:28" x14ac:dyDescent="0.2">
      <c r="C320" s="28" t="s">
        <v>899</v>
      </c>
      <c r="D320" s="28">
        <f>Source!BB95</f>
        <v>6.11</v>
      </c>
    </row>
    <row r="321" spans="1:28" x14ac:dyDescent="0.2">
      <c r="C321" s="28" t="s">
        <v>900</v>
      </c>
      <c r="D321" s="28">
        <f>Source!BC95</f>
        <v>6.11</v>
      </c>
    </row>
    <row r="322" spans="1:28" x14ac:dyDescent="0.2">
      <c r="C322" s="28" t="s">
        <v>901</v>
      </c>
      <c r="D322" s="28">
        <f>Source!BS95</f>
        <v>6.11</v>
      </c>
    </row>
    <row r="323" spans="1:28" x14ac:dyDescent="0.2">
      <c r="C323" s="11" t="s">
        <v>902</v>
      </c>
      <c r="D323" s="40"/>
      <c r="E323" s="40"/>
      <c r="F323" s="40">
        <f>Source!BZ95</f>
        <v>80</v>
      </c>
      <c r="G323" s="63">
        <f>(Source!AF95+Source!AE95)*Source!FX95/100</f>
        <v>206.232</v>
      </c>
      <c r="H323" s="63">
        <f>Source!X95</f>
        <v>608.62</v>
      </c>
    </row>
    <row r="324" spans="1:28" x14ac:dyDescent="0.2">
      <c r="C324" s="11" t="s">
        <v>904</v>
      </c>
      <c r="D324" s="40"/>
      <c r="E324" s="40"/>
      <c r="F324" s="40">
        <f>Source!CA95</f>
        <v>50</v>
      </c>
      <c r="G324" s="63">
        <f>(Source!AF95+Source!AE95)*Source!FY95/100</f>
        <v>128.89500000000001</v>
      </c>
      <c r="H324" s="63">
        <f>Source!Y95</f>
        <v>380.39</v>
      </c>
    </row>
    <row r="325" spans="1:28" x14ac:dyDescent="0.2">
      <c r="C325" s="11" t="s">
        <v>906</v>
      </c>
      <c r="D325" s="40"/>
      <c r="E325" s="40"/>
      <c r="F325" s="40"/>
      <c r="G325" s="63">
        <f>((Source!AF95+Source!AE95)*Source!FX95/100)+((Source!AF95+Source!AE95)*Source!FY95/100)+Source!AB95</f>
        <v>1094.1569999999999</v>
      </c>
      <c r="H325" s="63">
        <f>Source!O95+Source!X95+Source!Y95</f>
        <v>3228.9999999999995</v>
      </c>
    </row>
    <row r="326" spans="1:28" ht="28.5" x14ac:dyDescent="0.2">
      <c r="A326" s="52">
        <v>37</v>
      </c>
      <c r="B326" s="52" t="str">
        <f>Source!E97</f>
        <v>19,1</v>
      </c>
      <c r="C326" s="52" t="str">
        <f>Source!G97</f>
        <v>Краска акриловая  водно-дисперсионная ВД ОРЕОЛ</v>
      </c>
      <c r="D326" s="52" t="str">
        <f>Source!F97</f>
        <v>14.3.02.01-0015</v>
      </c>
      <c r="E326" s="37" t="str">
        <f>Source!H97</f>
        <v>т</v>
      </c>
      <c r="F326" s="14">
        <f>Source!I97</f>
        <v>3.4292999999999997E-2</v>
      </c>
      <c r="G326" s="27">
        <f>Source!AB97</f>
        <v>13287.69</v>
      </c>
      <c r="H326" s="27">
        <f>Source!O97</f>
        <v>2784.17</v>
      </c>
      <c r="T326">
        <f>Source!O97+Source!X97+Source!Y97</f>
        <v>2784.17</v>
      </c>
      <c r="U326">
        <f>Source!P97</f>
        <v>2784.17</v>
      </c>
      <c r="V326">
        <f>Source!S97</f>
        <v>0</v>
      </c>
      <c r="W326">
        <f>Source!Q97</f>
        <v>0</v>
      </c>
      <c r="X326">
        <f>Source!R97</f>
        <v>0</v>
      </c>
      <c r="Y326">
        <f>Source!U97</f>
        <v>0</v>
      </c>
      <c r="Z326">
        <f>Source!V97</f>
        <v>0</v>
      </c>
      <c r="AA326">
        <f>Source!X97</f>
        <v>0</v>
      </c>
      <c r="AB326">
        <f>Source!Y97</f>
        <v>0</v>
      </c>
    </row>
    <row r="327" spans="1:28" ht="14.25" x14ac:dyDescent="0.2">
      <c r="C327" s="28" t="s">
        <v>900</v>
      </c>
      <c r="D327" s="28">
        <f>Source!BC97</f>
        <v>6.11</v>
      </c>
      <c r="F327" s="14"/>
      <c r="G327" s="14"/>
      <c r="H327" s="14"/>
    </row>
    <row r="328" spans="1:28" ht="42.75" x14ac:dyDescent="0.2">
      <c r="A328" s="52">
        <v>38</v>
      </c>
      <c r="B328" s="52" t="str">
        <f>Source!E99</f>
        <v>20</v>
      </c>
      <c r="C328" s="52" t="str">
        <f>Source!G99</f>
        <v>Окраска масляными составами ранее окрашенных поверхностей радиаторов и ребристых труб отопления за 2 раза</v>
      </c>
      <c r="D328" s="52" t="str">
        <f>Source!F99</f>
        <v>62-33-2</v>
      </c>
      <c r="E328" s="37" t="str">
        <f>Source!H99</f>
        <v>100 м2</v>
      </c>
      <c r="F328" s="14">
        <f>Source!I99</f>
        <v>3.1E-2</v>
      </c>
      <c r="G328" s="27">
        <f>Source!AB99</f>
        <v>729.71</v>
      </c>
      <c r="H328" s="27">
        <f>Source!O99</f>
        <v>138.22</v>
      </c>
      <c r="T328">
        <f>Source!O99+Source!X99+Source!Y99</f>
        <v>280.14999999999998</v>
      </c>
      <c r="U328">
        <f>Source!P99</f>
        <v>28.93</v>
      </c>
      <c r="V328">
        <f>Source!S99</f>
        <v>109.16</v>
      </c>
      <c r="W328">
        <f>Source!Q99</f>
        <v>0.13</v>
      </c>
      <c r="X328">
        <f>Source!R99</f>
        <v>0.02</v>
      </c>
      <c r="Y328">
        <f>Source!U99</f>
        <v>2.0441400000000001</v>
      </c>
      <c r="Z328">
        <f>Source!V99</f>
        <v>3.1E-4</v>
      </c>
      <c r="AA328">
        <f>Source!X99</f>
        <v>87.34</v>
      </c>
      <c r="AB328">
        <f>Source!Y99</f>
        <v>54.59</v>
      </c>
    </row>
    <row r="329" spans="1:28" ht="14.25" x14ac:dyDescent="0.2">
      <c r="C329" s="28" t="str">
        <f>"Объем: "&amp;Source!I99&amp;"=3,1/"&amp;"100"</f>
        <v>Объем: 0,031=3,1/100</v>
      </c>
      <c r="F329" s="14"/>
      <c r="G329" s="14"/>
      <c r="H329" s="14"/>
    </row>
    <row r="330" spans="1:28" x14ac:dyDescent="0.2">
      <c r="C330" s="28" t="s">
        <v>898</v>
      </c>
      <c r="D330" s="28">
        <f>Source!BA99</f>
        <v>6.11</v>
      </c>
    </row>
    <row r="331" spans="1:28" x14ac:dyDescent="0.2">
      <c r="C331" s="28" t="s">
        <v>899</v>
      </c>
      <c r="D331" s="28">
        <f>Source!BB99</f>
        <v>6.11</v>
      </c>
    </row>
    <row r="332" spans="1:28" x14ac:dyDescent="0.2">
      <c r="C332" s="28" t="s">
        <v>900</v>
      </c>
      <c r="D332" s="28">
        <f>Source!BC99</f>
        <v>6.11</v>
      </c>
    </row>
    <row r="333" spans="1:28" x14ac:dyDescent="0.2">
      <c r="C333" s="28" t="s">
        <v>901</v>
      </c>
      <c r="D333" s="28">
        <f>Source!BS99</f>
        <v>6.11</v>
      </c>
    </row>
    <row r="334" spans="1:28" x14ac:dyDescent="0.2">
      <c r="C334" s="11" t="s">
        <v>902</v>
      </c>
      <c r="D334" s="40"/>
      <c r="E334" s="40"/>
      <c r="F334" s="40">
        <f>Source!BZ99</f>
        <v>80</v>
      </c>
      <c r="G334" s="63">
        <f>(Source!AF99+Source!AE99)*Source!FX99/100</f>
        <v>461.15200000000004</v>
      </c>
      <c r="H334" s="63">
        <f>Source!X99</f>
        <v>87.34</v>
      </c>
    </row>
    <row r="335" spans="1:28" x14ac:dyDescent="0.2">
      <c r="C335" s="11" t="s">
        <v>904</v>
      </c>
      <c r="D335" s="40"/>
      <c r="E335" s="40"/>
      <c r="F335" s="40">
        <f>Source!CA99</f>
        <v>50</v>
      </c>
      <c r="G335" s="63">
        <f>(Source!AF99+Source!AE99)*Source!FY99/100</f>
        <v>288.22000000000003</v>
      </c>
      <c r="H335" s="63">
        <f>Source!Y99</f>
        <v>54.59</v>
      </c>
    </row>
    <row r="336" spans="1:28" x14ac:dyDescent="0.2">
      <c r="C336" s="11" t="s">
        <v>906</v>
      </c>
      <c r="D336" s="40"/>
      <c r="E336" s="40"/>
      <c r="F336" s="40"/>
      <c r="G336" s="63">
        <f>((Source!AF99+Source!AE99)*Source!FX99/100)+((Source!AF99+Source!AE99)*Source!FY99/100)+Source!AB99</f>
        <v>1479.0820000000001</v>
      </c>
      <c r="H336" s="63">
        <f>Source!O99+Source!X99+Source!Y99</f>
        <v>280.14999999999998</v>
      </c>
    </row>
    <row r="337" spans="1:28" ht="28.5" x14ac:dyDescent="0.2">
      <c r="A337" s="52">
        <v>39</v>
      </c>
      <c r="B337" s="52" t="str">
        <f>Source!E101</f>
        <v>20,1</v>
      </c>
      <c r="C337" s="52" t="str">
        <f>Source!G101</f>
        <v>Краски масляные и алкидные белила густотертые литопонные МА-025</v>
      </c>
      <c r="D337" s="52" t="str">
        <f>Source!F101</f>
        <v>14.4.02.04-0152</v>
      </c>
      <c r="E337" s="37" t="str">
        <f>Source!H101</f>
        <v>т</v>
      </c>
      <c r="F337" s="14">
        <f>Source!I101</f>
        <v>4.9899999999999999E-4</v>
      </c>
      <c r="G337" s="27">
        <f>Source!AB101</f>
        <v>21058.67</v>
      </c>
      <c r="H337" s="27">
        <f>Source!O101</f>
        <v>64.209999999999994</v>
      </c>
      <c r="T337">
        <f>Source!O101+Source!X101+Source!Y101</f>
        <v>64.209999999999994</v>
      </c>
      <c r="U337">
        <f>Source!P101</f>
        <v>64.209999999999994</v>
      </c>
      <c r="V337">
        <f>Source!S101</f>
        <v>0</v>
      </c>
      <c r="W337">
        <f>Source!Q101</f>
        <v>0</v>
      </c>
      <c r="X337">
        <f>Source!R101</f>
        <v>0</v>
      </c>
      <c r="Y337">
        <f>Source!U101</f>
        <v>0</v>
      </c>
      <c r="Z337">
        <f>Source!V101</f>
        <v>0</v>
      </c>
      <c r="AA337">
        <f>Source!X101</f>
        <v>0</v>
      </c>
      <c r="AB337">
        <f>Source!Y101</f>
        <v>0</v>
      </c>
    </row>
    <row r="338" spans="1:28" ht="14.25" x14ac:dyDescent="0.2">
      <c r="C338" s="28" t="s">
        <v>900</v>
      </c>
      <c r="D338" s="28">
        <f>Source!BC101</f>
        <v>6.11</v>
      </c>
      <c r="F338" s="14"/>
      <c r="G338" s="14"/>
      <c r="H338" s="14"/>
    </row>
    <row r="339" spans="1:28" ht="57" x14ac:dyDescent="0.2">
      <c r="A339" s="52">
        <v>40</v>
      </c>
      <c r="B339" s="52" t="str">
        <f>Source!E103</f>
        <v>21</v>
      </c>
      <c r="C339" s="52" t="str">
        <f>Source!G103</f>
        <v>Демонтаж:Устройство сантехнических перегородок (стандартные туалетные кабины) на каркасе из алюминиевого профиля</v>
      </c>
      <c r="D339" s="52" t="str">
        <f>Source!F103</f>
        <v>10-04-014-01</v>
      </c>
      <c r="E339" s="37" t="str">
        <f>Source!H103</f>
        <v>100 м2</v>
      </c>
      <c r="F339" s="14">
        <f>Source!I103</f>
        <v>0.10199999999999999</v>
      </c>
      <c r="G339" s="27">
        <f>Source!AB103</f>
        <v>235.84</v>
      </c>
      <c r="H339" s="27">
        <f>Source!O103</f>
        <v>146.97999999999999</v>
      </c>
      <c r="T339">
        <f>Source!O103+Source!X103+Source!Y103</f>
        <v>382.15</v>
      </c>
      <c r="U339">
        <f>Source!P103</f>
        <v>0</v>
      </c>
      <c r="V339">
        <f>Source!S103</f>
        <v>146.97999999999999</v>
      </c>
      <c r="W339">
        <f>Source!Q103</f>
        <v>0</v>
      </c>
      <c r="X339">
        <f>Source!R103</f>
        <v>0</v>
      </c>
      <c r="Y339">
        <f>Source!U103</f>
        <v>2.8200959999999999</v>
      </c>
      <c r="Z339">
        <f>Source!V103</f>
        <v>0</v>
      </c>
      <c r="AA339">
        <f>Source!X103</f>
        <v>155.80000000000001</v>
      </c>
      <c r="AB339">
        <f>Source!Y103</f>
        <v>79.37</v>
      </c>
    </row>
    <row r="340" spans="1:28" ht="14.25" x14ac:dyDescent="0.2">
      <c r="C340" s="28" t="str">
        <f>"Объем: "&amp;Source!I103&amp;"=10,2/"&amp;"100"</f>
        <v>Объем: 0,102=10,2/100</v>
      </c>
      <c r="F340" s="14"/>
      <c r="G340" s="14"/>
      <c r="H340" s="14"/>
    </row>
    <row r="341" spans="1:28" x14ac:dyDescent="0.2">
      <c r="C341" s="28" t="s">
        <v>898</v>
      </c>
      <c r="D341" s="28">
        <f>Source!BA103</f>
        <v>6.11</v>
      </c>
    </row>
    <row r="342" spans="1:28" x14ac:dyDescent="0.2">
      <c r="C342" s="28" t="s">
        <v>899</v>
      </c>
      <c r="D342" s="28">
        <f>Source!BB103</f>
        <v>6.11</v>
      </c>
    </row>
    <row r="343" spans="1:28" x14ac:dyDescent="0.2">
      <c r="C343" s="28" t="s">
        <v>900</v>
      </c>
      <c r="D343" s="28">
        <f>Source!BC103</f>
        <v>6.11</v>
      </c>
    </row>
    <row r="344" spans="1:28" x14ac:dyDescent="0.2">
      <c r="C344" s="28" t="s">
        <v>901</v>
      </c>
      <c r="D344" s="28">
        <f>Source!BS103</f>
        <v>6.11</v>
      </c>
    </row>
    <row r="345" spans="1:28" x14ac:dyDescent="0.2">
      <c r="C345" s="28" t="s">
        <v>912</v>
      </c>
      <c r="D345" s="118" t="s">
        <v>81</v>
      </c>
      <c r="E345" s="118"/>
      <c r="F345" s="118"/>
      <c r="G345" s="118"/>
      <c r="H345" s="118"/>
    </row>
    <row r="346" spans="1:28" x14ac:dyDescent="0.2">
      <c r="C346" s="28" t="s">
        <v>907</v>
      </c>
      <c r="D346" s="118" t="s">
        <v>211</v>
      </c>
      <c r="E346" s="118"/>
      <c r="F346" s="118"/>
      <c r="G346" s="118"/>
      <c r="H346" s="118"/>
    </row>
    <row r="347" spans="1:28" x14ac:dyDescent="0.2">
      <c r="C347" s="28" t="s">
        <v>908</v>
      </c>
      <c r="D347" s="118" t="s">
        <v>211</v>
      </c>
      <c r="E347" s="118"/>
      <c r="F347" s="118"/>
      <c r="G347" s="118"/>
      <c r="H347" s="118"/>
    </row>
    <row r="348" spans="1:28" x14ac:dyDescent="0.2">
      <c r="C348" s="28" t="s">
        <v>909</v>
      </c>
      <c r="D348" s="118" t="s">
        <v>211</v>
      </c>
      <c r="E348" s="118"/>
      <c r="F348" s="118"/>
      <c r="G348" s="118"/>
      <c r="H348" s="118"/>
    </row>
    <row r="349" spans="1:28" x14ac:dyDescent="0.2">
      <c r="C349" s="28" t="s">
        <v>910</v>
      </c>
      <c r="D349" s="118" t="s">
        <v>211</v>
      </c>
      <c r="E349" s="118"/>
      <c r="F349" s="118"/>
      <c r="G349" s="118"/>
      <c r="H349" s="118"/>
    </row>
    <row r="350" spans="1:28" x14ac:dyDescent="0.2">
      <c r="C350" s="28" t="s">
        <v>911</v>
      </c>
      <c r="D350" s="118" t="s">
        <v>211</v>
      </c>
      <c r="E350" s="118"/>
      <c r="F350" s="118"/>
      <c r="G350" s="118"/>
      <c r="H350" s="118"/>
    </row>
    <row r="351" spans="1:28" x14ac:dyDescent="0.2">
      <c r="C351" s="11" t="s">
        <v>902</v>
      </c>
      <c r="D351" s="40"/>
      <c r="E351" s="40"/>
      <c r="F351" s="40">
        <f>Source!BZ103</f>
        <v>118</v>
      </c>
      <c r="G351" s="63">
        <f>(Source!AF103+Source!AE103)*Source!FX103/100</f>
        <v>250.46208000000001</v>
      </c>
      <c r="H351" s="63">
        <f>Source!X103</f>
        <v>155.80000000000001</v>
      </c>
    </row>
    <row r="352" spans="1:28" x14ac:dyDescent="0.2">
      <c r="C352" s="11" t="s">
        <v>903</v>
      </c>
      <c r="D352" s="40"/>
      <c r="E352" s="40"/>
      <c r="F352" s="40"/>
      <c r="G352" s="40" t="str">
        <f>CONCATENATE(Source!DL103,Source!FT103, "=", Source!FX103, "%")</f>
        <v>*0,9=106,2%</v>
      </c>
      <c r="H352" s="40" t="str">
        <f>CONCATENATE(Source!AT103)</f>
        <v>106</v>
      </c>
    </row>
    <row r="353" spans="1:28" x14ac:dyDescent="0.2">
      <c r="C353" s="11" t="s">
        <v>904</v>
      </c>
      <c r="D353" s="40"/>
      <c r="E353" s="40"/>
      <c r="F353" s="40">
        <f>Source!CA103</f>
        <v>63</v>
      </c>
      <c r="G353" s="63">
        <f>(Source!AF103+Source!AE103)*Source!FY103/100</f>
        <v>126.29232</v>
      </c>
      <c r="H353" s="63">
        <f>Source!Y103</f>
        <v>79.37</v>
      </c>
    </row>
    <row r="354" spans="1:28" x14ac:dyDescent="0.2">
      <c r="C354" s="11" t="s">
        <v>905</v>
      </c>
      <c r="D354" s="40"/>
      <c r="E354" s="40"/>
      <c r="F354" s="40"/>
      <c r="G354" s="40" t="str">
        <f>CONCATENATE(Source!DM103,Source!FU103, "=", Source!FY103, "%")</f>
        <v>*0,85=53,55%</v>
      </c>
      <c r="H354" s="40" t="str">
        <f>CONCATENATE(Source!AU103)</f>
        <v>54</v>
      </c>
    </row>
    <row r="355" spans="1:28" x14ac:dyDescent="0.2">
      <c r="C355" s="11" t="s">
        <v>906</v>
      </c>
      <c r="D355" s="40"/>
      <c r="E355" s="40"/>
      <c r="F355" s="40"/>
      <c r="G355" s="63">
        <f>((Source!AF103+Source!AE103)*Source!FX103/100)+((Source!AF103+Source!AE103)*Source!FY103/100)+Source!AB103</f>
        <v>612.59440000000006</v>
      </c>
      <c r="H355" s="63">
        <f>Source!O103+Source!X103+Source!Y103</f>
        <v>382.15</v>
      </c>
    </row>
    <row r="356" spans="1:28" ht="57" x14ac:dyDescent="0.2">
      <c r="A356" s="52">
        <v>41</v>
      </c>
      <c r="B356" s="52" t="str">
        <f>Source!E105</f>
        <v>22</v>
      </c>
      <c r="C356" s="52" t="str">
        <f>Source!G105</f>
        <v>Устройство сантехнических перегородок (стандартные туалетные кабины) на каркасе из алюминиевого профиля</v>
      </c>
      <c r="D356" s="52" t="str">
        <f>Source!F105</f>
        <v>10-04-014-01</v>
      </c>
      <c r="E356" s="37" t="str">
        <f>Source!H105</f>
        <v>100 м2</v>
      </c>
      <c r="F356" s="14">
        <f>Source!I105</f>
        <v>0.21</v>
      </c>
      <c r="G356" s="27">
        <f>Source!AB105</f>
        <v>70470.02</v>
      </c>
      <c r="H356" s="27">
        <f>Source!O105</f>
        <v>90420.09</v>
      </c>
      <c r="T356">
        <f>Source!O105+Source!X105+Source!Y105</f>
        <v>91116.09</v>
      </c>
      <c r="U356">
        <f>Source!P105</f>
        <v>89985.09</v>
      </c>
      <c r="V356">
        <f>Source!S105</f>
        <v>435</v>
      </c>
      <c r="W356">
        <f>Source!Q105</f>
        <v>0</v>
      </c>
      <c r="X356">
        <f>Source!R105</f>
        <v>0</v>
      </c>
      <c r="Y356">
        <f>Source!U105</f>
        <v>8.3462399999999999</v>
      </c>
      <c r="Z356">
        <f>Source!V105</f>
        <v>0</v>
      </c>
      <c r="AA356">
        <f>Source!X105</f>
        <v>461.1</v>
      </c>
      <c r="AB356">
        <f>Source!Y105</f>
        <v>234.9</v>
      </c>
    </row>
    <row r="357" spans="1:28" ht="14.25" x14ac:dyDescent="0.2">
      <c r="C357" s="28" t="str">
        <f>"Объем: "&amp;Source!I105&amp;"=21/"&amp;"100"</f>
        <v>Объем: 0,21=21/100</v>
      </c>
      <c r="F357" s="14"/>
      <c r="G357" s="14"/>
      <c r="H357" s="14"/>
    </row>
    <row r="358" spans="1:28" x14ac:dyDescent="0.2">
      <c r="C358" s="28" t="s">
        <v>898</v>
      </c>
      <c r="D358" s="28">
        <f>Source!BA105</f>
        <v>6.11</v>
      </c>
    </row>
    <row r="359" spans="1:28" x14ac:dyDescent="0.2">
      <c r="C359" s="28" t="s">
        <v>899</v>
      </c>
      <c r="D359" s="28">
        <f>Source!BB105</f>
        <v>6.11</v>
      </c>
    </row>
    <row r="360" spans="1:28" x14ac:dyDescent="0.2">
      <c r="C360" s="28" t="s">
        <v>900</v>
      </c>
      <c r="D360" s="28">
        <f>Source!BC105</f>
        <v>6.11</v>
      </c>
    </row>
    <row r="361" spans="1:28" x14ac:dyDescent="0.2">
      <c r="C361" s="28" t="s">
        <v>901</v>
      </c>
      <c r="D361" s="28">
        <f>Source!BS105</f>
        <v>6.11</v>
      </c>
    </row>
    <row r="362" spans="1:28" x14ac:dyDescent="0.2">
      <c r="C362" s="28" t="s">
        <v>907</v>
      </c>
      <c r="D362" s="118" t="s">
        <v>27</v>
      </c>
      <c r="E362" s="118"/>
      <c r="F362" s="118"/>
      <c r="G362" s="118"/>
      <c r="H362" s="118"/>
    </row>
    <row r="363" spans="1:28" x14ac:dyDescent="0.2">
      <c r="C363" s="28" t="s">
        <v>908</v>
      </c>
      <c r="D363" s="118" t="s">
        <v>27</v>
      </c>
      <c r="E363" s="118"/>
      <c r="F363" s="118"/>
      <c r="G363" s="118"/>
      <c r="H363" s="118"/>
    </row>
    <row r="364" spans="1:28" x14ac:dyDescent="0.2">
      <c r="C364" s="28" t="s">
        <v>909</v>
      </c>
      <c r="D364" s="118" t="s">
        <v>28</v>
      </c>
      <c r="E364" s="118"/>
      <c r="F364" s="118"/>
      <c r="G364" s="118"/>
      <c r="H364" s="118"/>
    </row>
    <row r="365" spans="1:28" x14ac:dyDescent="0.2">
      <c r="C365" s="28" t="s">
        <v>910</v>
      </c>
      <c r="D365" s="118" t="s">
        <v>28</v>
      </c>
      <c r="E365" s="118"/>
      <c r="F365" s="118"/>
      <c r="G365" s="118"/>
      <c r="H365" s="118"/>
    </row>
    <row r="366" spans="1:28" x14ac:dyDescent="0.2">
      <c r="C366" s="28" t="s">
        <v>911</v>
      </c>
      <c r="D366" s="118" t="s">
        <v>27</v>
      </c>
      <c r="E366" s="118"/>
      <c r="F366" s="118"/>
      <c r="G366" s="118"/>
      <c r="H366" s="118"/>
    </row>
    <row r="367" spans="1:28" x14ac:dyDescent="0.2">
      <c r="C367" s="11" t="s">
        <v>902</v>
      </c>
      <c r="D367" s="40"/>
      <c r="E367" s="40"/>
      <c r="F367" s="40">
        <f>Source!BZ105</f>
        <v>118</v>
      </c>
      <c r="G367" s="63">
        <f>(Source!AF105+Source!AE105)*Source!FX105/100</f>
        <v>360.03924000000001</v>
      </c>
      <c r="H367" s="63">
        <f>Source!X105</f>
        <v>461.1</v>
      </c>
    </row>
    <row r="368" spans="1:28" x14ac:dyDescent="0.2">
      <c r="C368" s="11" t="s">
        <v>903</v>
      </c>
      <c r="D368" s="40"/>
      <c r="E368" s="40"/>
      <c r="F368" s="40"/>
      <c r="G368" s="40" t="str">
        <f>CONCATENATE(Source!DL105,Source!FT105, "=", Source!FX105, "%")</f>
        <v>*0,9=106,2%</v>
      </c>
      <c r="H368" s="40" t="str">
        <f>CONCATENATE(Source!AT105)</f>
        <v>106</v>
      </c>
    </row>
    <row r="369" spans="1:28" x14ac:dyDescent="0.2">
      <c r="C369" s="11" t="s">
        <v>904</v>
      </c>
      <c r="D369" s="40"/>
      <c r="E369" s="40"/>
      <c r="F369" s="40">
        <f>Source!CA105</f>
        <v>63</v>
      </c>
      <c r="G369" s="63">
        <f>(Source!AF105+Source!AE105)*Source!FY105/100</f>
        <v>181.54520999999997</v>
      </c>
      <c r="H369" s="63">
        <f>Source!Y105</f>
        <v>234.9</v>
      </c>
    </row>
    <row r="370" spans="1:28" x14ac:dyDescent="0.2">
      <c r="C370" s="11" t="s">
        <v>905</v>
      </c>
      <c r="D370" s="40"/>
      <c r="E370" s="40"/>
      <c r="F370" s="40"/>
      <c r="G370" s="40" t="str">
        <f>CONCATENATE(Source!DM105,Source!FU105, "=", Source!FY105, "%")</f>
        <v>*0,85=53,55%</v>
      </c>
      <c r="H370" s="40" t="str">
        <f>CONCATENATE(Source!AU105)</f>
        <v>54</v>
      </c>
    </row>
    <row r="371" spans="1:28" x14ac:dyDescent="0.2">
      <c r="C371" s="11" t="s">
        <v>906</v>
      </c>
      <c r="D371" s="40"/>
      <c r="E371" s="40"/>
      <c r="F371" s="40"/>
      <c r="G371" s="63">
        <f>((Source!AF105+Source!AE105)*Source!FX105/100)+((Source!AF105+Source!AE105)*Source!FY105/100)+Source!AB105</f>
        <v>71011.604449999999</v>
      </c>
      <c r="H371" s="63">
        <f>Source!O105+Source!X105+Source!Y105</f>
        <v>91116.09</v>
      </c>
    </row>
    <row r="372" spans="1:28" ht="42.75" x14ac:dyDescent="0.2">
      <c r="A372" s="52">
        <v>42</v>
      </c>
      <c r="B372" s="52" t="str">
        <f>Source!E107</f>
        <v>22,1</v>
      </c>
      <c r="C372" s="52" t="str">
        <f>Source!G107</f>
        <v>Полотна для блоков дверных внутренних, полотно глухое высотой 2000 мм ПВГ 20-6, площадь 1,2 м2</v>
      </c>
      <c r="D372" s="52" t="str">
        <f>Source!F107</f>
        <v>11.2.02.09-0002</v>
      </c>
      <c r="E372" s="37" t="str">
        <f>Source!H107</f>
        <v>м2</v>
      </c>
      <c r="F372" s="14">
        <f>Source!I107</f>
        <v>7.3398060000000003</v>
      </c>
      <c r="G372" s="27">
        <f>Source!AB107</f>
        <v>268.88</v>
      </c>
      <c r="H372" s="27">
        <f>Source!O107</f>
        <v>12058.25</v>
      </c>
      <c r="T372">
        <f>Source!O107+Source!X107+Source!Y107</f>
        <v>12058.25</v>
      </c>
      <c r="U372">
        <f>Source!P107</f>
        <v>12058.25</v>
      </c>
      <c r="V372">
        <f>Source!S107</f>
        <v>0</v>
      </c>
      <c r="W372">
        <f>Source!Q107</f>
        <v>0</v>
      </c>
      <c r="X372">
        <f>Source!R107</f>
        <v>0</v>
      </c>
      <c r="Y372">
        <f>Source!U107</f>
        <v>0</v>
      </c>
      <c r="Z372">
        <f>Source!V107</f>
        <v>0</v>
      </c>
      <c r="AA372">
        <f>Source!X107</f>
        <v>0</v>
      </c>
      <c r="AB372">
        <f>Source!Y107</f>
        <v>0</v>
      </c>
    </row>
    <row r="373" spans="1:28" ht="14.25" x14ac:dyDescent="0.2">
      <c r="C373" s="28" t="s">
        <v>900</v>
      </c>
      <c r="D373" s="28">
        <f>Source!BC107</f>
        <v>6.11</v>
      </c>
      <c r="F373" s="14"/>
      <c r="G373" s="14"/>
      <c r="H373" s="14"/>
    </row>
    <row r="374" spans="1:28" ht="28.5" x14ac:dyDescent="0.2">
      <c r="A374" s="52">
        <v>43</v>
      </c>
      <c r="B374" s="52" t="str">
        <f>Source!E109</f>
        <v>22,2</v>
      </c>
      <c r="C374" s="52" t="str">
        <f>Source!G109</f>
        <v>Приборы дверные в перегородках санузлов</v>
      </c>
      <c r="D374" s="52" t="str">
        <f>Source!F109</f>
        <v>01.7.04.11-0021</v>
      </c>
      <c r="E374" s="37" t="str">
        <f>Source!H109</f>
        <v>компл.</v>
      </c>
      <c r="F374" s="14">
        <f>Source!I109</f>
        <v>5</v>
      </c>
      <c r="G374" s="27">
        <f>Source!AB109</f>
        <v>72.77</v>
      </c>
      <c r="H374" s="27">
        <f>Source!O109</f>
        <v>2223.12</v>
      </c>
      <c r="T374">
        <f>Source!O109+Source!X109+Source!Y109</f>
        <v>2223.12</v>
      </c>
      <c r="U374">
        <f>Source!P109</f>
        <v>2223.12</v>
      </c>
      <c r="V374">
        <f>Source!S109</f>
        <v>0</v>
      </c>
      <c r="W374">
        <f>Source!Q109</f>
        <v>0</v>
      </c>
      <c r="X374">
        <f>Source!R109</f>
        <v>0</v>
      </c>
      <c r="Y374">
        <f>Source!U109</f>
        <v>0</v>
      </c>
      <c r="Z374">
        <f>Source!V109</f>
        <v>0</v>
      </c>
      <c r="AA374">
        <f>Source!X109</f>
        <v>0</v>
      </c>
      <c r="AB374">
        <f>Source!Y109</f>
        <v>0</v>
      </c>
    </row>
    <row r="375" spans="1:28" ht="14.25" x14ac:dyDescent="0.2">
      <c r="C375" s="28" t="s">
        <v>900</v>
      </c>
      <c r="D375" s="28">
        <f>Source!BC109</f>
        <v>6.11</v>
      </c>
      <c r="F375" s="14"/>
      <c r="G375" s="14"/>
      <c r="H375" s="14"/>
    </row>
    <row r="376" spans="1:28" ht="57" x14ac:dyDescent="0.2">
      <c r="A376" s="52">
        <v>44</v>
      </c>
      <c r="B376" s="52" t="str">
        <f>Source!E111</f>
        <v>23</v>
      </c>
      <c r="C376" s="52" t="str">
        <f>Source!G111</f>
        <v>Сверление установками алмазного бурения в железобетонных конструкциях вертикальных отверстий глубиной 200 мм диаметром 125 мм</v>
      </c>
      <c r="D376" s="52" t="str">
        <f>Source!F111</f>
        <v>46-03-001-14</v>
      </c>
      <c r="E376" s="37" t="str">
        <f>Source!H111</f>
        <v>100 ШТ</v>
      </c>
      <c r="F376" s="14">
        <f>Source!I111</f>
        <v>0.01</v>
      </c>
      <c r="G376" s="27">
        <f>Source!AB111</f>
        <v>7390.4</v>
      </c>
      <c r="H376" s="27">
        <f>Source!O111</f>
        <v>451.56</v>
      </c>
      <c r="T376">
        <f>Source!O111+Source!X111+Source!Y111</f>
        <v>506.09999999999997</v>
      </c>
      <c r="U376">
        <f>Source!P111</f>
        <v>376.67</v>
      </c>
      <c r="V376">
        <f>Source!S111</f>
        <v>15.52</v>
      </c>
      <c r="W376">
        <f>Source!Q111</f>
        <v>59.37</v>
      </c>
      <c r="X376">
        <f>Source!R111</f>
        <v>18.78</v>
      </c>
      <c r="Y376">
        <f>Source!U111</f>
        <v>0.26400000000000001</v>
      </c>
      <c r="Z376">
        <f>Source!V111</f>
        <v>0.26500000000000001</v>
      </c>
      <c r="AA376">
        <f>Source!X111</f>
        <v>33.96</v>
      </c>
      <c r="AB376">
        <f>Source!Y111</f>
        <v>20.58</v>
      </c>
    </row>
    <row r="377" spans="1:28" ht="14.25" x14ac:dyDescent="0.2">
      <c r="C377" s="28" t="str">
        <f>"Объем: "&amp;Source!I111&amp;"=1/"&amp;"100"</f>
        <v>Объем: 0,01=1/100</v>
      </c>
      <c r="F377" s="14"/>
      <c r="G377" s="14"/>
      <c r="H377" s="14"/>
    </row>
    <row r="378" spans="1:28" x14ac:dyDescent="0.2">
      <c r="C378" s="28" t="s">
        <v>898</v>
      </c>
      <c r="D378" s="28">
        <f>Source!BA111</f>
        <v>6.11</v>
      </c>
    </row>
    <row r="379" spans="1:28" x14ac:dyDescent="0.2">
      <c r="C379" s="28" t="s">
        <v>899</v>
      </c>
      <c r="D379" s="28">
        <f>Source!BB111</f>
        <v>6.11</v>
      </c>
    </row>
    <row r="380" spans="1:28" x14ac:dyDescent="0.2">
      <c r="C380" s="28" t="s">
        <v>900</v>
      </c>
      <c r="D380" s="28">
        <f>Source!BC111</f>
        <v>6.11</v>
      </c>
    </row>
    <row r="381" spans="1:28" x14ac:dyDescent="0.2">
      <c r="C381" s="28" t="s">
        <v>901</v>
      </c>
      <c r="D381" s="28">
        <f>Source!BS111</f>
        <v>6.11</v>
      </c>
    </row>
    <row r="382" spans="1:28" x14ac:dyDescent="0.2">
      <c r="C382" s="11" t="s">
        <v>902</v>
      </c>
      <c r="D382" s="40"/>
      <c r="E382" s="40"/>
      <c r="F382" s="40">
        <f>Source!BZ111</f>
        <v>110</v>
      </c>
      <c r="G382" s="63">
        <f>(Source!AF111+Source!AE111)*Source!FX111/100</f>
        <v>555.75630000000001</v>
      </c>
      <c r="H382" s="63">
        <f>Source!X111</f>
        <v>33.96</v>
      </c>
    </row>
    <row r="383" spans="1:28" x14ac:dyDescent="0.2">
      <c r="C383" s="11" t="s">
        <v>903</v>
      </c>
      <c r="D383" s="40"/>
      <c r="E383" s="40"/>
      <c r="F383" s="40"/>
      <c r="G383" s="40" t="str">
        <f>CONCATENATE(Source!DL111,Source!FT111, "=", Source!FX111, "%")</f>
        <v>*0,9=99%</v>
      </c>
      <c r="H383" s="40" t="str">
        <f>CONCATENATE(Source!AT111)</f>
        <v>99</v>
      </c>
    </row>
    <row r="384" spans="1:28" x14ac:dyDescent="0.2">
      <c r="C384" s="11" t="s">
        <v>904</v>
      </c>
      <c r="D384" s="40"/>
      <c r="E384" s="40"/>
      <c r="F384" s="40">
        <f>Source!CA111</f>
        <v>70</v>
      </c>
      <c r="G384" s="63">
        <f>(Source!AF111+Source!AE111)*Source!FY111/100</f>
        <v>334.01515000000001</v>
      </c>
      <c r="H384" s="63">
        <f>Source!Y111</f>
        <v>20.58</v>
      </c>
    </row>
    <row r="385" spans="1:28" x14ac:dyDescent="0.2">
      <c r="C385" s="11" t="s">
        <v>905</v>
      </c>
      <c r="D385" s="40"/>
      <c r="E385" s="40"/>
      <c r="F385" s="40"/>
      <c r="G385" s="40" t="str">
        <f>CONCATENATE(Source!DM111,Source!FU111, "=", Source!FY111, "%")</f>
        <v>*0,85=59,5%</v>
      </c>
      <c r="H385" s="40" t="str">
        <f>CONCATENATE(Source!AU111)</f>
        <v>60</v>
      </c>
    </row>
    <row r="386" spans="1:28" x14ac:dyDescent="0.2">
      <c r="C386" s="11" t="s">
        <v>906</v>
      </c>
      <c r="D386" s="40"/>
      <c r="E386" s="40"/>
      <c r="F386" s="40"/>
      <c r="G386" s="63">
        <f>((Source!AF111+Source!AE111)*Source!FX111/100)+((Source!AF111+Source!AE111)*Source!FY111/100)+Source!AB111</f>
        <v>8280.1714499999998</v>
      </c>
      <c r="H386" s="63">
        <f>Source!O111+Source!X111+Source!Y111</f>
        <v>506.09999999999997</v>
      </c>
    </row>
    <row r="387" spans="1:28" ht="42.75" x14ac:dyDescent="0.2">
      <c r="A387" s="52">
        <v>45</v>
      </c>
      <c r="B387" s="52" t="str">
        <f>Source!E113</f>
        <v>24</v>
      </c>
      <c r="C387" s="52" t="str">
        <f>Source!G113</f>
        <v>На каждые 10 мм изменения глубины сверления добавляется или исключается к расценке 46-03-001-14</v>
      </c>
      <c r="D387" s="52" t="str">
        <f>Source!F113</f>
        <v>46-03-001-30</v>
      </c>
      <c r="E387" s="37" t="str">
        <f>Source!H113</f>
        <v>100 ШТ</v>
      </c>
      <c r="F387" s="14">
        <f>Source!I113</f>
        <v>0.01</v>
      </c>
      <c r="G387" s="27">
        <f>Source!AB113</f>
        <v>5569.2</v>
      </c>
      <c r="H387" s="27">
        <f>Source!O113</f>
        <v>340.27</v>
      </c>
      <c r="T387">
        <f>Source!O113+Source!X113+Source!Y113</f>
        <v>390.65</v>
      </c>
      <c r="U387">
        <f>Source!P113</f>
        <v>282.5</v>
      </c>
      <c r="V387">
        <f>Source!S113</f>
        <v>18.510000000000002</v>
      </c>
      <c r="W387">
        <f>Source!Q113</f>
        <v>39.26</v>
      </c>
      <c r="X387">
        <f>Source!R113</f>
        <v>13.18</v>
      </c>
      <c r="Y387">
        <f>Source!U113</f>
        <v>0.315</v>
      </c>
      <c r="Z387">
        <f>Source!V113</f>
        <v>0.18600000000000003</v>
      </c>
      <c r="AA387">
        <f>Source!X113</f>
        <v>31.37</v>
      </c>
      <c r="AB387">
        <f>Source!Y113</f>
        <v>19.010000000000002</v>
      </c>
    </row>
    <row r="388" spans="1:28" ht="14.25" x14ac:dyDescent="0.2">
      <c r="C388" s="28" t="str">
        <f>"Объем: "&amp;Source!I113&amp;"=1/"&amp;"100"</f>
        <v>Объем: 0,01=1/100</v>
      </c>
      <c r="F388" s="14"/>
      <c r="G388" s="14"/>
      <c r="H388" s="14"/>
    </row>
    <row r="389" spans="1:28" x14ac:dyDescent="0.2">
      <c r="C389" s="28" t="s">
        <v>898</v>
      </c>
      <c r="D389" s="28">
        <f>Source!BA113</f>
        <v>6.11</v>
      </c>
    </row>
    <row r="390" spans="1:28" x14ac:dyDescent="0.2">
      <c r="C390" s="28" t="s">
        <v>899</v>
      </c>
      <c r="D390" s="28">
        <f>Source!BB113</f>
        <v>6.11</v>
      </c>
    </row>
    <row r="391" spans="1:28" x14ac:dyDescent="0.2">
      <c r="C391" s="28" t="s">
        <v>900</v>
      </c>
      <c r="D391" s="28">
        <f>Source!BC113</f>
        <v>6.11</v>
      </c>
    </row>
    <row r="392" spans="1:28" x14ac:dyDescent="0.2">
      <c r="C392" s="28" t="s">
        <v>901</v>
      </c>
      <c r="D392" s="28">
        <f>Source!BS113</f>
        <v>6.11</v>
      </c>
    </row>
    <row r="393" spans="1:28" x14ac:dyDescent="0.2">
      <c r="C393" s="28" t="s">
        <v>912</v>
      </c>
      <c r="D393" s="118" t="s">
        <v>233</v>
      </c>
      <c r="E393" s="118"/>
      <c r="F393" s="118"/>
      <c r="G393" s="118"/>
      <c r="H393" s="118"/>
    </row>
    <row r="394" spans="1:28" x14ac:dyDescent="0.2">
      <c r="C394" s="28" t="s">
        <v>907</v>
      </c>
      <c r="D394" s="118" t="s">
        <v>233</v>
      </c>
      <c r="E394" s="118"/>
      <c r="F394" s="118"/>
      <c r="G394" s="118"/>
      <c r="H394" s="118"/>
    </row>
    <row r="395" spans="1:28" x14ac:dyDescent="0.2">
      <c r="C395" s="28" t="s">
        <v>908</v>
      </c>
      <c r="D395" s="118" t="s">
        <v>233</v>
      </c>
      <c r="E395" s="118"/>
      <c r="F395" s="118"/>
      <c r="G395" s="118"/>
      <c r="H395" s="118"/>
    </row>
    <row r="396" spans="1:28" x14ac:dyDescent="0.2">
      <c r="C396" s="28" t="s">
        <v>909</v>
      </c>
      <c r="D396" s="118" t="s">
        <v>233</v>
      </c>
      <c r="E396" s="118"/>
      <c r="F396" s="118"/>
      <c r="G396" s="118"/>
      <c r="H396" s="118"/>
    </row>
    <row r="397" spans="1:28" x14ac:dyDescent="0.2">
      <c r="C397" s="28" t="s">
        <v>910</v>
      </c>
      <c r="D397" s="118" t="s">
        <v>233</v>
      </c>
      <c r="E397" s="118"/>
      <c r="F397" s="118"/>
      <c r="G397" s="118"/>
      <c r="H397" s="118"/>
    </row>
    <row r="398" spans="1:28" x14ac:dyDescent="0.2">
      <c r="C398" s="28" t="s">
        <v>911</v>
      </c>
      <c r="D398" s="118" t="s">
        <v>233</v>
      </c>
      <c r="E398" s="118"/>
      <c r="F398" s="118"/>
      <c r="G398" s="118"/>
      <c r="H398" s="118"/>
    </row>
    <row r="399" spans="1:28" x14ac:dyDescent="0.2">
      <c r="C399" s="11" t="s">
        <v>902</v>
      </c>
      <c r="D399" s="40"/>
      <c r="E399" s="40"/>
      <c r="F399" s="40">
        <f>Source!BZ113</f>
        <v>110</v>
      </c>
      <c r="G399" s="63">
        <f>(Source!AF113+Source!AE113)*Source!FX113/100</f>
        <v>513.51300000000003</v>
      </c>
      <c r="H399" s="63">
        <f>Source!X113</f>
        <v>31.37</v>
      </c>
    </row>
    <row r="400" spans="1:28" x14ac:dyDescent="0.2">
      <c r="C400" s="11" t="s">
        <v>903</v>
      </c>
      <c r="D400" s="40"/>
      <c r="E400" s="40"/>
      <c r="F400" s="40"/>
      <c r="G400" s="40" t="str">
        <f>CONCATENATE(Source!DL113,Source!FT113, "=", Source!FX113, "%")</f>
        <v>*0,9=99%</v>
      </c>
      <c r="H400" s="40" t="str">
        <f>CONCATENATE(Source!AT113)</f>
        <v>99</v>
      </c>
    </row>
    <row r="401" spans="1:28" x14ac:dyDescent="0.2">
      <c r="C401" s="11" t="s">
        <v>904</v>
      </c>
      <c r="D401" s="40"/>
      <c r="E401" s="40"/>
      <c r="F401" s="40">
        <f>Source!CA113</f>
        <v>70</v>
      </c>
      <c r="G401" s="63">
        <f>(Source!AF113+Source!AE113)*Source!FY113/100</f>
        <v>308.62650000000002</v>
      </c>
      <c r="H401" s="63">
        <f>Source!Y113</f>
        <v>19.010000000000002</v>
      </c>
    </row>
    <row r="402" spans="1:28" x14ac:dyDescent="0.2">
      <c r="C402" s="11" t="s">
        <v>905</v>
      </c>
      <c r="D402" s="40"/>
      <c r="E402" s="40"/>
      <c r="F402" s="40"/>
      <c r="G402" s="40" t="str">
        <f>CONCATENATE(Source!DM113,Source!FU113, "=", Source!FY113, "%")</f>
        <v>*0,85=59,5%</v>
      </c>
      <c r="H402" s="40" t="str">
        <f>CONCATENATE(Source!AU113)</f>
        <v>60</v>
      </c>
    </row>
    <row r="403" spans="1:28" x14ac:dyDescent="0.2">
      <c r="C403" s="11" t="s">
        <v>906</v>
      </c>
      <c r="D403" s="40"/>
      <c r="E403" s="40"/>
      <c r="F403" s="40"/>
      <c r="G403" s="63">
        <f>((Source!AF113+Source!AE113)*Source!FX113/100)+((Source!AF113+Source!AE113)*Source!FY113/100)+Source!AB113</f>
        <v>6391.3395</v>
      </c>
      <c r="H403" s="63">
        <f>Source!O113+Source!X113+Source!Y113</f>
        <v>390.65</v>
      </c>
    </row>
    <row r="404" spans="1:28" ht="42.75" x14ac:dyDescent="0.2">
      <c r="A404" s="52">
        <v>46</v>
      </c>
      <c r="B404" s="52" t="str">
        <f>Source!E115</f>
        <v>25</v>
      </c>
      <c r="C404" s="52" t="str">
        <f>Source!G115</f>
        <v>Заделка отверстий, гнезд и борозд в стенах и перегородках бетонных площадью до 0,1 м2</v>
      </c>
      <c r="D404" s="52" t="str">
        <f>Source!F115</f>
        <v>46-03-017-05</v>
      </c>
      <c r="E404" s="37" t="str">
        <f>Source!H115</f>
        <v>м3</v>
      </c>
      <c r="F404" s="14">
        <f>Source!I115</f>
        <v>3.0000000000000001E-3</v>
      </c>
      <c r="G404" s="27">
        <f>Source!AB115</f>
        <v>1229.96</v>
      </c>
      <c r="H404" s="27">
        <f>Source!O115</f>
        <v>22.54</v>
      </c>
      <c r="T404">
        <f>Source!O115+Source!X115+Source!Y115</f>
        <v>40.410000000000004</v>
      </c>
      <c r="U404">
        <f>Source!P115</f>
        <v>10.9</v>
      </c>
      <c r="V404">
        <f>Source!S115</f>
        <v>11.15</v>
      </c>
      <c r="W404">
        <f>Source!Q115</f>
        <v>0.49</v>
      </c>
      <c r="X404">
        <f>Source!R115</f>
        <v>0.09</v>
      </c>
      <c r="Y404">
        <f>Source!U115</f>
        <v>0.22566</v>
      </c>
      <c r="Z404">
        <f>Source!V115</f>
        <v>1.2000000000000001E-3</v>
      </c>
      <c r="AA404">
        <f>Source!X115</f>
        <v>11.13</v>
      </c>
      <c r="AB404">
        <f>Source!Y115</f>
        <v>6.74</v>
      </c>
    </row>
    <row r="405" spans="1:28" ht="14.25" x14ac:dyDescent="0.2">
      <c r="C405" s="28" t="s">
        <v>898</v>
      </c>
      <c r="D405" s="28">
        <f>Source!BA115</f>
        <v>6.11</v>
      </c>
      <c r="F405" s="14"/>
      <c r="G405" s="14"/>
      <c r="H405" s="14"/>
    </row>
    <row r="406" spans="1:28" x14ac:dyDescent="0.2">
      <c r="C406" s="28" t="s">
        <v>899</v>
      </c>
      <c r="D406" s="28">
        <f>Source!BB115</f>
        <v>6.11</v>
      </c>
    </row>
    <row r="407" spans="1:28" x14ac:dyDescent="0.2">
      <c r="C407" s="28" t="s">
        <v>900</v>
      </c>
      <c r="D407" s="28">
        <f>Source!BC115</f>
        <v>6.11</v>
      </c>
    </row>
    <row r="408" spans="1:28" x14ac:dyDescent="0.2">
      <c r="C408" s="28" t="s">
        <v>901</v>
      </c>
      <c r="D408" s="28">
        <f>Source!BS115</f>
        <v>6.11</v>
      </c>
    </row>
    <row r="409" spans="1:28" x14ac:dyDescent="0.2">
      <c r="C409" s="11" t="s">
        <v>902</v>
      </c>
      <c r="D409" s="40"/>
      <c r="E409" s="40"/>
      <c r="F409" s="40">
        <f>Source!BZ115</f>
        <v>110</v>
      </c>
      <c r="G409" s="63">
        <f>(Source!AF115+Source!AE115)*Source!FX115/100</f>
        <v>607.03829999999994</v>
      </c>
      <c r="H409" s="63">
        <f>Source!X115</f>
        <v>11.13</v>
      </c>
    </row>
    <row r="410" spans="1:28" x14ac:dyDescent="0.2">
      <c r="C410" s="11" t="s">
        <v>903</v>
      </c>
      <c r="D410" s="40"/>
      <c r="E410" s="40"/>
      <c r="F410" s="40"/>
      <c r="G410" s="40" t="str">
        <f>CONCATENATE(Source!DL115,Source!FT115, "=", Source!FX115, "%")</f>
        <v>*0,9=99%</v>
      </c>
      <c r="H410" s="40" t="str">
        <f>CONCATENATE(Source!AT115)</f>
        <v>99</v>
      </c>
    </row>
    <row r="411" spans="1:28" x14ac:dyDescent="0.2">
      <c r="C411" s="11" t="s">
        <v>904</v>
      </c>
      <c r="D411" s="40"/>
      <c r="E411" s="40"/>
      <c r="F411" s="40">
        <f>Source!CA115</f>
        <v>70</v>
      </c>
      <c r="G411" s="63">
        <f>(Source!AF115+Source!AE115)*Source!FY115/100</f>
        <v>364.83614999999998</v>
      </c>
      <c r="H411" s="63">
        <f>Source!Y115</f>
        <v>6.74</v>
      </c>
    </row>
    <row r="412" spans="1:28" x14ac:dyDescent="0.2">
      <c r="C412" s="11" t="s">
        <v>905</v>
      </c>
      <c r="D412" s="40"/>
      <c r="E412" s="40"/>
      <c r="F412" s="40"/>
      <c r="G412" s="40" t="str">
        <f>CONCATENATE(Source!DM115,Source!FU115, "=", Source!FY115, "%")</f>
        <v>*0,85=59,5%</v>
      </c>
      <c r="H412" s="40" t="str">
        <f>CONCATENATE(Source!AU115)</f>
        <v>60</v>
      </c>
    </row>
    <row r="413" spans="1:28" x14ac:dyDescent="0.2">
      <c r="C413" s="11" t="s">
        <v>906</v>
      </c>
      <c r="D413" s="40"/>
      <c r="E413" s="40"/>
      <c r="F413" s="40"/>
      <c r="G413" s="63">
        <f>((Source!AF115+Source!AE115)*Source!FX115/100)+((Source!AF115+Source!AE115)*Source!FY115/100)+Source!AB115</f>
        <v>2201.8344499999998</v>
      </c>
      <c r="H413" s="63">
        <f>Source!O115+Source!X115+Source!Y115</f>
        <v>40.410000000000004</v>
      </c>
    </row>
    <row r="414" spans="1:28" ht="28.5" x14ac:dyDescent="0.2">
      <c r="A414" s="52">
        <v>47</v>
      </c>
      <c r="B414" s="52" t="str">
        <f>Source!E117</f>
        <v>25,1</v>
      </c>
      <c r="C414" s="52" t="str">
        <f>Source!G117</f>
        <v>Раствор готовый отделочный тяжелый, цементный 1:2</v>
      </c>
      <c r="D414" s="52" t="str">
        <f>Source!F117</f>
        <v>04.3.01.09-0022</v>
      </c>
      <c r="E414" s="37" t="str">
        <f>Source!H117</f>
        <v>м3</v>
      </c>
      <c r="F414" s="14">
        <f>Source!I117</f>
        <v>3.1200000000000004E-3</v>
      </c>
      <c r="G414" s="27">
        <f>Source!AB117</f>
        <v>519.79999999999995</v>
      </c>
      <c r="H414" s="27">
        <f>Source!O117</f>
        <v>9.91</v>
      </c>
      <c r="T414">
        <f>Source!O117+Source!X117+Source!Y117</f>
        <v>9.91</v>
      </c>
      <c r="U414">
        <f>Source!P117</f>
        <v>9.91</v>
      </c>
      <c r="V414">
        <f>Source!S117</f>
        <v>0</v>
      </c>
      <c r="W414">
        <f>Source!Q117</f>
        <v>0</v>
      </c>
      <c r="X414">
        <f>Source!R117</f>
        <v>0</v>
      </c>
      <c r="Y414">
        <f>Source!U117</f>
        <v>0</v>
      </c>
      <c r="Z414">
        <f>Source!V117</f>
        <v>0</v>
      </c>
      <c r="AA414">
        <f>Source!X117</f>
        <v>0</v>
      </c>
      <c r="AB414">
        <f>Source!Y117</f>
        <v>0</v>
      </c>
    </row>
    <row r="415" spans="1:28" ht="14.25" x14ac:dyDescent="0.2">
      <c r="C415" s="28" t="s">
        <v>900</v>
      </c>
      <c r="D415" s="28">
        <f>Source!BC117</f>
        <v>6.11</v>
      </c>
      <c r="F415" s="14"/>
      <c r="G415" s="14"/>
      <c r="H415" s="14"/>
    </row>
    <row r="416" spans="1:28" ht="57" x14ac:dyDescent="0.2">
      <c r="A416" s="52">
        <v>48</v>
      </c>
      <c r="B416" s="52" t="str">
        <f>Source!E119</f>
        <v>26</v>
      </c>
      <c r="C416" s="52" t="str">
        <f>Source!G119</f>
        <v>Сверление вертикальных отверстий в железобетонных конструкциях полов перфоратором глубиной 200 мм диаметром 20 мм</v>
      </c>
      <c r="D416" s="52" t="str">
        <f>Source!F119</f>
        <v>46-03-014-01</v>
      </c>
      <c r="E416" s="37" t="str">
        <f>Source!H119</f>
        <v>100 ШТ</v>
      </c>
      <c r="F416" s="14">
        <f>Source!I119</f>
        <v>0.66</v>
      </c>
      <c r="G416" s="27">
        <f>Source!AB119</f>
        <v>58.35</v>
      </c>
      <c r="H416" s="27">
        <f>Source!O119</f>
        <v>235.3</v>
      </c>
      <c r="T416">
        <f>Source!O119+Source!X119+Source!Y119</f>
        <v>609.43000000000006</v>
      </c>
      <c r="U416">
        <f>Source!P119</f>
        <v>0</v>
      </c>
      <c r="V416">
        <f>Source!S119</f>
        <v>235.3</v>
      </c>
      <c r="W416">
        <f>Source!Q119</f>
        <v>0</v>
      </c>
      <c r="X416">
        <f>Source!R119</f>
        <v>0</v>
      </c>
      <c r="Y416">
        <f>Source!U119</f>
        <v>4.5144000000000002</v>
      </c>
      <c r="Z416">
        <f>Source!V119</f>
        <v>0</v>
      </c>
      <c r="AA416">
        <f>Source!X119</f>
        <v>232.95</v>
      </c>
      <c r="AB416">
        <f>Source!Y119</f>
        <v>141.18</v>
      </c>
    </row>
    <row r="417" spans="1:28" ht="14.25" x14ac:dyDescent="0.2">
      <c r="C417" s="28" t="str">
        <f>"Объем: "&amp;Source!I119&amp;"=66/"&amp;"100"</f>
        <v>Объем: 0,66=66/100</v>
      </c>
      <c r="F417" s="14"/>
      <c r="G417" s="14"/>
      <c r="H417" s="14"/>
    </row>
    <row r="418" spans="1:28" x14ac:dyDescent="0.2">
      <c r="C418" s="28" t="s">
        <v>898</v>
      </c>
      <c r="D418" s="28">
        <f>Source!BA119</f>
        <v>6.11</v>
      </c>
    </row>
    <row r="419" spans="1:28" x14ac:dyDescent="0.2">
      <c r="C419" s="28" t="s">
        <v>899</v>
      </c>
      <c r="D419" s="28">
        <f>Source!BB119</f>
        <v>6.11</v>
      </c>
    </row>
    <row r="420" spans="1:28" x14ac:dyDescent="0.2">
      <c r="C420" s="28" t="s">
        <v>900</v>
      </c>
      <c r="D420" s="28">
        <f>Source!BC119</f>
        <v>6.11</v>
      </c>
    </row>
    <row r="421" spans="1:28" x14ac:dyDescent="0.2">
      <c r="C421" s="28" t="s">
        <v>901</v>
      </c>
      <c r="D421" s="28">
        <f>Source!BS119</f>
        <v>6.11</v>
      </c>
    </row>
    <row r="422" spans="1:28" x14ac:dyDescent="0.2">
      <c r="C422" s="11" t="s">
        <v>902</v>
      </c>
      <c r="D422" s="40"/>
      <c r="E422" s="40"/>
      <c r="F422" s="40">
        <f>Source!BZ119</f>
        <v>110</v>
      </c>
      <c r="G422" s="63">
        <f>(Source!AF119+Source!AE119)*Source!FX119/100</f>
        <v>57.766500000000008</v>
      </c>
      <c r="H422" s="63">
        <f>Source!X119</f>
        <v>232.95</v>
      </c>
    </row>
    <row r="423" spans="1:28" x14ac:dyDescent="0.2">
      <c r="C423" s="11" t="s">
        <v>903</v>
      </c>
      <c r="D423" s="40"/>
      <c r="E423" s="40"/>
      <c r="F423" s="40"/>
      <c r="G423" s="40" t="str">
        <f>CONCATENATE(Source!DL119,Source!FT119, "=", Source!FX119, "%")</f>
        <v>*0,9=99%</v>
      </c>
      <c r="H423" s="40" t="str">
        <f>CONCATENATE(Source!AT119)</f>
        <v>99</v>
      </c>
    </row>
    <row r="424" spans="1:28" x14ac:dyDescent="0.2">
      <c r="C424" s="11" t="s">
        <v>904</v>
      </c>
      <c r="D424" s="40"/>
      <c r="E424" s="40"/>
      <c r="F424" s="40">
        <f>Source!CA119</f>
        <v>70</v>
      </c>
      <c r="G424" s="63">
        <f>(Source!AF119+Source!AE119)*Source!FY119/100</f>
        <v>34.718250000000005</v>
      </c>
      <c r="H424" s="63">
        <f>Source!Y119</f>
        <v>141.18</v>
      </c>
    </row>
    <row r="425" spans="1:28" x14ac:dyDescent="0.2">
      <c r="C425" s="11" t="s">
        <v>905</v>
      </c>
      <c r="D425" s="40"/>
      <c r="E425" s="40"/>
      <c r="F425" s="40"/>
      <c r="G425" s="40" t="str">
        <f>CONCATENATE(Source!DM119,Source!FU119, "=", Source!FY119, "%")</f>
        <v>*0,85=59,5%</v>
      </c>
      <c r="H425" s="40" t="str">
        <f>CONCATENATE(Source!AU119)</f>
        <v>60</v>
      </c>
    </row>
    <row r="426" spans="1:28" x14ac:dyDescent="0.2">
      <c r="C426" s="11" t="s">
        <v>906</v>
      </c>
      <c r="D426" s="40"/>
      <c r="E426" s="40"/>
      <c r="F426" s="40"/>
      <c r="G426" s="63">
        <f>((Source!AF119+Source!AE119)*Source!FX119/100)+((Source!AF119+Source!AE119)*Source!FY119/100)+Source!AB119</f>
        <v>150.83475000000001</v>
      </c>
      <c r="H426" s="63">
        <f>Source!O119+Source!X119+Source!Y119</f>
        <v>609.43000000000006</v>
      </c>
    </row>
    <row r="427" spans="1:28" ht="28.5" x14ac:dyDescent="0.2">
      <c r="A427" s="52">
        <v>49</v>
      </c>
      <c r="B427" s="52" t="str">
        <f>Source!E121</f>
        <v>27</v>
      </c>
      <c r="C427" s="52" t="str">
        <f>Source!G121</f>
        <v>Установка анкерных болтов в готовые гнезда с заделкой длиной до 1 м</v>
      </c>
      <c r="D427" s="52" t="str">
        <f>Source!F121</f>
        <v>06-01-015-01</v>
      </c>
      <c r="E427" s="37" t="str">
        <f>Source!H121</f>
        <v>т</v>
      </c>
      <c r="F427" s="14">
        <f>Source!I121</f>
        <v>1.2E-2</v>
      </c>
      <c r="G427" s="27">
        <f>Source!AB121</f>
        <v>13375.03</v>
      </c>
      <c r="H427" s="27">
        <f>Source!O121</f>
        <v>980.65</v>
      </c>
      <c r="T427">
        <f>Source!O121+Source!X121+Source!Y121</f>
        <v>1334.6999999999998</v>
      </c>
      <c r="U427">
        <f>Source!P121</f>
        <v>740.53</v>
      </c>
      <c r="V427">
        <f>Source!S121</f>
        <v>235.33</v>
      </c>
      <c r="W427">
        <f>Source!Q121</f>
        <v>4.79</v>
      </c>
      <c r="X427">
        <f>Source!R121</f>
        <v>0.7</v>
      </c>
      <c r="Y427">
        <f>Source!U121</f>
        <v>4.3471379999999993</v>
      </c>
      <c r="Z427">
        <f>Source!V121</f>
        <v>9.300000000000001E-3</v>
      </c>
      <c r="AA427">
        <f>Source!X121</f>
        <v>224.23</v>
      </c>
      <c r="AB427">
        <f>Source!Y121</f>
        <v>129.82</v>
      </c>
    </row>
    <row r="428" spans="1:28" ht="14.25" x14ac:dyDescent="0.2">
      <c r="C428" s="28" t="s">
        <v>898</v>
      </c>
      <c r="D428" s="28">
        <f>Source!BA121</f>
        <v>6.11</v>
      </c>
      <c r="F428" s="14"/>
      <c r="G428" s="14"/>
      <c r="H428" s="14"/>
    </row>
    <row r="429" spans="1:28" x14ac:dyDescent="0.2">
      <c r="C429" s="28" t="s">
        <v>899</v>
      </c>
      <c r="D429" s="28">
        <f>Source!BB121</f>
        <v>6.11</v>
      </c>
    </row>
    <row r="430" spans="1:28" x14ac:dyDescent="0.2">
      <c r="C430" s="28" t="s">
        <v>900</v>
      </c>
      <c r="D430" s="28">
        <f>Source!BC121</f>
        <v>6.11</v>
      </c>
    </row>
    <row r="431" spans="1:28" x14ac:dyDescent="0.2">
      <c r="C431" s="28" t="s">
        <v>901</v>
      </c>
      <c r="D431" s="28">
        <f>Source!BS121</f>
        <v>6.11</v>
      </c>
    </row>
    <row r="432" spans="1:28" x14ac:dyDescent="0.2">
      <c r="C432" s="28" t="s">
        <v>907</v>
      </c>
      <c r="D432" s="118" t="s">
        <v>27</v>
      </c>
      <c r="E432" s="118"/>
      <c r="F432" s="118"/>
      <c r="G432" s="118"/>
      <c r="H432" s="118"/>
    </row>
    <row r="433" spans="1:28" x14ac:dyDescent="0.2">
      <c r="C433" s="28" t="s">
        <v>908</v>
      </c>
      <c r="D433" s="118" t="s">
        <v>27</v>
      </c>
      <c r="E433" s="118"/>
      <c r="F433" s="118"/>
      <c r="G433" s="118"/>
      <c r="H433" s="118"/>
    </row>
    <row r="434" spans="1:28" x14ac:dyDescent="0.2">
      <c r="C434" s="28" t="s">
        <v>909</v>
      </c>
      <c r="D434" s="118" t="s">
        <v>28</v>
      </c>
      <c r="E434" s="118"/>
      <c r="F434" s="118"/>
      <c r="G434" s="118"/>
      <c r="H434" s="118"/>
    </row>
    <row r="435" spans="1:28" x14ac:dyDescent="0.2">
      <c r="C435" s="28" t="s">
        <v>910</v>
      </c>
      <c r="D435" s="118" t="s">
        <v>28</v>
      </c>
      <c r="E435" s="118"/>
      <c r="F435" s="118"/>
      <c r="G435" s="118"/>
      <c r="H435" s="118"/>
    </row>
    <row r="436" spans="1:28" x14ac:dyDescent="0.2">
      <c r="C436" s="28" t="s">
        <v>911</v>
      </c>
      <c r="D436" s="118" t="s">
        <v>27</v>
      </c>
      <c r="E436" s="118"/>
      <c r="F436" s="118"/>
      <c r="G436" s="118"/>
      <c r="H436" s="118"/>
    </row>
    <row r="437" spans="1:28" x14ac:dyDescent="0.2">
      <c r="C437" s="11" t="s">
        <v>902</v>
      </c>
      <c r="D437" s="40"/>
      <c r="E437" s="40"/>
      <c r="F437" s="40">
        <f>Source!BZ121</f>
        <v>105</v>
      </c>
      <c r="G437" s="63">
        <f>(Source!AF121+Source!AE121)*Source!FX121/100</f>
        <v>3042.1723499999998</v>
      </c>
      <c r="H437" s="63">
        <f>Source!X121</f>
        <v>224.23</v>
      </c>
    </row>
    <row r="438" spans="1:28" x14ac:dyDescent="0.2">
      <c r="C438" s="11" t="s">
        <v>903</v>
      </c>
      <c r="D438" s="40"/>
      <c r="E438" s="40"/>
      <c r="F438" s="40"/>
      <c r="G438" s="40" t="str">
        <f>CONCATENATE(Source!DL121,Source!FT121, "=", Source!FX121, "%")</f>
        <v>*0,9=94,5%</v>
      </c>
      <c r="H438" s="40" t="str">
        <f>CONCATENATE(Source!AT121)</f>
        <v>95</v>
      </c>
    </row>
    <row r="439" spans="1:28" x14ac:dyDescent="0.2">
      <c r="C439" s="11" t="s">
        <v>904</v>
      </c>
      <c r="D439" s="40"/>
      <c r="E439" s="40"/>
      <c r="F439" s="40">
        <f>Source!CA121</f>
        <v>65</v>
      </c>
      <c r="G439" s="63">
        <f>(Source!AF121+Source!AE121)*Source!FY121/100</f>
        <v>1778.6245749999998</v>
      </c>
      <c r="H439" s="63">
        <f>Source!Y121</f>
        <v>129.82</v>
      </c>
    </row>
    <row r="440" spans="1:28" x14ac:dyDescent="0.2">
      <c r="C440" s="11" t="s">
        <v>905</v>
      </c>
      <c r="D440" s="40"/>
      <c r="E440" s="40"/>
      <c r="F440" s="40"/>
      <c r="G440" s="40" t="str">
        <f>CONCATENATE(Source!DM121,Source!FU121, "=", Source!FY121, "%")</f>
        <v>*0,85=55,25%</v>
      </c>
      <c r="H440" s="40" t="str">
        <f>CONCATENATE(Source!AU121)</f>
        <v>55</v>
      </c>
    </row>
    <row r="441" spans="1:28" x14ac:dyDescent="0.2">
      <c r="C441" s="11" t="s">
        <v>906</v>
      </c>
      <c r="D441" s="40"/>
      <c r="E441" s="40"/>
      <c r="F441" s="40"/>
      <c r="G441" s="63">
        <f>((Source!AF121+Source!AE121)*Source!FX121/100)+((Source!AF121+Source!AE121)*Source!FY121/100)+Source!AB121</f>
        <v>18195.826925000001</v>
      </c>
      <c r="H441" s="63">
        <f>Source!O121+Source!X121+Source!Y121</f>
        <v>1334.6999999999998</v>
      </c>
    </row>
    <row r="442" spans="1:28" ht="42.75" x14ac:dyDescent="0.2">
      <c r="A442" s="52">
        <v>50</v>
      </c>
      <c r="B442" s="52" t="str">
        <f>Source!E123</f>
        <v>28</v>
      </c>
      <c r="C442" s="52" t="str">
        <f>Source!G123</f>
        <v>Погрузочные работы при автомобильных перевозках мусора строительного с погрузкой вручную</v>
      </c>
      <c r="D442" s="52" t="str">
        <f>Source!F123</f>
        <v>т01-01-01-041</v>
      </c>
      <c r="E442" s="37" t="str">
        <f>Source!H123</f>
        <v>1 Т ГРУЗА</v>
      </c>
      <c r="F442" s="14">
        <f>Source!I123</f>
        <v>4.13</v>
      </c>
      <c r="G442" s="27">
        <f>Source!AB123</f>
        <v>42.98</v>
      </c>
      <c r="H442" s="27">
        <f>Source!GM123</f>
        <v>1084.57</v>
      </c>
      <c r="T442">
        <f>Source!GM123</f>
        <v>1084.57</v>
      </c>
      <c r="U442">
        <f>Source!P123</f>
        <v>0</v>
      </c>
      <c r="V442">
        <f>Source!S123</f>
        <v>0</v>
      </c>
      <c r="W442">
        <f>Source!Q123</f>
        <v>0</v>
      </c>
      <c r="X442">
        <f>Source!R123</f>
        <v>0</v>
      </c>
      <c r="Y442">
        <f>Source!U123</f>
        <v>0</v>
      </c>
      <c r="Z442">
        <f>Source!V123</f>
        <v>0</v>
      </c>
      <c r="AA442">
        <f>Source!X123</f>
        <v>0</v>
      </c>
      <c r="AB442">
        <f>Source!Y123</f>
        <v>0</v>
      </c>
    </row>
    <row r="443" spans="1:28" ht="14.25" x14ac:dyDescent="0.2">
      <c r="C443" s="28" t="s">
        <v>914</v>
      </c>
      <c r="D443" s="28">
        <f>Source!AZ123</f>
        <v>6.11</v>
      </c>
      <c r="F443" s="14"/>
      <c r="G443" s="14"/>
      <c r="H443" s="14"/>
    </row>
    <row r="444" spans="1:28" ht="57" x14ac:dyDescent="0.2">
      <c r="A444" s="52">
        <v>51</v>
      </c>
      <c r="B444" s="52" t="str">
        <f>Source!E125</f>
        <v>29</v>
      </c>
      <c r="C444" s="52" t="str">
        <f>Source!G125</f>
        <v>Перевозка грузов I класса автомобилями бортовыми грузоподъемностью до 5 т на расстояние до 8 км</v>
      </c>
      <c r="D444" s="52" t="str">
        <f>Source!F125</f>
        <v>т03-02-01-008</v>
      </c>
      <c r="E444" s="37" t="str">
        <f>Source!H125</f>
        <v>1 Т ГРУЗА</v>
      </c>
      <c r="F444" s="14">
        <f>Source!I125</f>
        <v>4.13</v>
      </c>
      <c r="G444" s="27">
        <f>Source!AB125</f>
        <v>19.04</v>
      </c>
      <c r="H444" s="27">
        <f>Source!GM125</f>
        <v>480.46</v>
      </c>
      <c r="T444">
        <f>Source!GM125</f>
        <v>480.46</v>
      </c>
      <c r="U444">
        <f>Source!P125</f>
        <v>0</v>
      </c>
      <c r="V444">
        <f>Source!S125</f>
        <v>0</v>
      </c>
      <c r="W444">
        <f>Source!Q125</f>
        <v>0</v>
      </c>
      <c r="X444">
        <f>Source!R125</f>
        <v>0</v>
      </c>
      <c r="Y444">
        <f>Source!U125</f>
        <v>0</v>
      </c>
      <c r="Z444">
        <f>Source!V125</f>
        <v>0</v>
      </c>
      <c r="AA444">
        <f>Source!X125</f>
        <v>0</v>
      </c>
      <c r="AB444">
        <f>Source!Y125</f>
        <v>0</v>
      </c>
    </row>
    <row r="445" spans="1:28" ht="14.25" x14ac:dyDescent="0.2">
      <c r="C445" s="28" t="s">
        <v>914</v>
      </c>
      <c r="D445" s="28">
        <f>Source!AZ125</f>
        <v>6.11</v>
      </c>
      <c r="F445" s="14"/>
      <c r="G445" s="14"/>
      <c r="H445" s="14"/>
    </row>
    <row r="446" spans="1:28" ht="28.5" x14ac:dyDescent="0.2">
      <c r="A446" s="52">
        <v>52</v>
      </c>
      <c r="B446" s="52" t="str">
        <f>Source!E127</f>
        <v>30</v>
      </c>
      <c r="C446" s="52" t="str">
        <f>Source!G127</f>
        <v>Светильник в подвесных потолках, устанавливаемый на профиле</v>
      </c>
      <c r="D446" s="52" t="str">
        <f>Source!F127</f>
        <v>м08-03-594-15</v>
      </c>
      <c r="E446" s="37" t="str">
        <f>Source!H127</f>
        <v>100 ШТ</v>
      </c>
      <c r="F446" s="14">
        <f>Source!I127</f>
        <v>0.04</v>
      </c>
      <c r="G446" s="27">
        <f>Source!AB127</f>
        <v>4000.04</v>
      </c>
      <c r="H446" s="27">
        <f>Source!O127</f>
        <v>977.61</v>
      </c>
      <c r="T446">
        <f>Source!O127+Source!X127+Source!Y127</f>
        <v>2063.13</v>
      </c>
      <c r="U446">
        <f>Source!P127</f>
        <v>252.15</v>
      </c>
      <c r="V446">
        <f>Source!S127</f>
        <v>671.09</v>
      </c>
      <c r="W446">
        <f>Source!Q127</f>
        <v>54.37</v>
      </c>
      <c r="X446">
        <f>Source!R127</f>
        <v>7.36</v>
      </c>
      <c r="Y446">
        <f>Source!U127</f>
        <v>11.072000000000001</v>
      </c>
      <c r="Z446">
        <f>Source!V127</f>
        <v>9.6000000000000002E-2</v>
      </c>
      <c r="AA446">
        <f>Source!X127</f>
        <v>644.53</v>
      </c>
      <c r="AB446">
        <f>Source!Y127</f>
        <v>440.99</v>
      </c>
    </row>
    <row r="447" spans="1:28" ht="14.25" x14ac:dyDescent="0.2">
      <c r="C447" s="28" t="str">
        <f>"Объем: "&amp;Source!I127&amp;"=4/"&amp;"100"</f>
        <v>Объем: 0,04=4/100</v>
      </c>
      <c r="F447" s="14"/>
      <c r="G447" s="14"/>
      <c r="H447" s="14"/>
    </row>
    <row r="448" spans="1:28" x14ac:dyDescent="0.2">
      <c r="C448" s="28" t="s">
        <v>898</v>
      </c>
      <c r="D448" s="28">
        <f>Source!BA127</f>
        <v>6.11</v>
      </c>
    </row>
    <row r="449" spans="1:28" x14ac:dyDescent="0.2">
      <c r="C449" s="28" t="s">
        <v>899</v>
      </c>
      <c r="D449" s="28">
        <f>Source!BB127</f>
        <v>6.11</v>
      </c>
    </row>
    <row r="450" spans="1:28" x14ac:dyDescent="0.2">
      <c r="C450" s="28" t="s">
        <v>900</v>
      </c>
      <c r="D450" s="28">
        <f>Source!BC127</f>
        <v>6.11</v>
      </c>
    </row>
    <row r="451" spans="1:28" x14ac:dyDescent="0.2">
      <c r="C451" s="28" t="s">
        <v>901</v>
      </c>
      <c r="D451" s="28">
        <f>Source!BS127</f>
        <v>6.11</v>
      </c>
    </row>
    <row r="452" spans="1:28" x14ac:dyDescent="0.2">
      <c r="C452" s="11" t="s">
        <v>902</v>
      </c>
      <c r="D452" s="40"/>
      <c r="E452" s="40"/>
      <c r="F452" s="40">
        <f>Source!BZ127</f>
        <v>95</v>
      </c>
      <c r="G452" s="63">
        <f>(Source!AF127+Source!AE127)*Source!FX127/100</f>
        <v>2637.1809999999996</v>
      </c>
      <c r="H452" s="63">
        <f>Source!X127</f>
        <v>644.53</v>
      </c>
    </row>
    <row r="453" spans="1:28" x14ac:dyDescent="0.2">
      <c r="C453" s="11" t="s">
        <v>904</v>
      </c>
      <c r="D453" s="40"/>
      <c r="E453" s="40"/>
      <c r="F453" s="40">
        <f>Source!CA127</f>
        <v>65</v>
      </c>
      <c r="G453" s="63">
        <f>(Source!AF127+Source!AE127)*Source!FY127/100</f>
        <v>1804.3870000000002</v>
      </c>
      <c r="H453" s="63">
        <f>Source!Y127</f>
        <v>440.99</v>
      </c>
    </row>
    <row r="454" spans="1:28" x14ac:dyDescent="0.2">
      <c r="C454" s="11" t="s">
        <v>906</v>
      </c>
      <c r="D454" s="40"/>
      <c r="E454" s="40"/>
      <c r="F454" s="40"/>
      <c r="G454" s="63">
        <f>((Source!AF127+Source!AE127)*Source!FX127/100)+((Source!AF127+Source!AE127)*Source!FY127/100)+Source!AB127</f>
        <v>8441.6080000000002</v>
      </c>
      <c r="H454" s="63">
        <f>Source!O127+Source!X127+Source!Y127</f>
        <v>2063.13</v>
      </c>
    </row>
    <row r="455" spans="1:28" ht="42.75" x14ac:dyDescent="0.2">
      <c r="A455" s="52">
        <v>53</v>
      </c>
      <c r="B455" s="52" t="str">
        <f>Source!E129</f>
        <v>30,1</v>
      </c>
      <c r="C455" s="52" t="str">
        <f>Source!G129</f>
        <v>Светильник светодиодный потолочный ДВО 36Вт 6500К 3000Лм размером 595х595х25 мм</v>
      </c>
      <c r="D455" s="52" t="str">
        <f>Source!F129</f>
        <v>20.3.03.04-0055</v>
      </c>
      <c r="E455" s="37" t="str">
        <f>Source!H129</f>
        <v>шт.</v>
      </c>
      <c r="F455" s="14">
        <f>Source!I129</f>
        <v>4</v>
      </c>
      <c r="G455" s="27">
        <f>Source!AB129</f>
        <v>155.44</v>
      </c>
      <c r="H455" s="27">
        <f>Source!O129</f>
        <v>3798.95</v>
      </c>
      <c r="T455">
        <f>Source!O129+Source!X129+Source!Y129</f>
        <v>3798.95</v>
      </c>
      <c r="U455">
        <f>Source!P129</f>
        <v>3798.95</v>
      </c>
      <c r="V455">
        <f>Source!S129</f>
        <v>0</v>
      </c>
      <c r="W455">
        <f>Source!Q129</f>
        <v>0</v>
      </c>
      <c r="X455">
        <f>Source!R129</f>
        <v>0</v>
      </c>
      <c r="Y455">
        <f>Source!U129</f>
        <v>0</v>
      </c>
      <c r="Z455">
        <f>Source!V129</f>
        <v>0</v>
      </c>
      <c r="AA455">
        <f>Source!X129</f>
        <v>0</v>
      </c>
      <c r="AB455">
        <f>Source!Y129</f>
        <v>0</v>
      </c>
    </row>
    <row r="456" spans="1:28" ht="14.25" x14ac:dyDescent="0.2">
      <c r="C456" s="28" t="s">
        <v>900</v>
      </c>
      <c r="D456" s="28">
        <f>Source!BC129</f>
        <v>6.11</v>
      </c>
      <c r="F456" s="14"/>
      <c r="G456" s="14"/>
      <c r="H456" s="14"/>
    </row>
    <row r="457" spans="1:28" ht="42.75" x14ac:dyDescent="0.2">
      <c r="A457" s="52">
        <v>54</v>
      </c>
      <c r="B457" s="52" t="str">
        <f>Source!E131</f>
        <v>31</v>
      </c>
      <c r="C457" s="52" t="str">
        <f>Source!G131</f>
        <v>Разборка трубопроводов из чугунных канализационных труб диаметром 100 мм</v>
      </c>
      <c r="D457" s="52" t="str">
        <f>Source!F131</f>
        <v>65-2-2</v>
      </c>
      <c r="E457" s="37" t="str">
        <f>Source!H131</f>
        <v>100 м</v>
      </c>
      <c r="F457" s="14">
        <f>Source!I131</f>
        <v>0.06</v>
      </c>
      <c r="G457" s="27">
        <f>Source!AB131</f>
        <v>731.64</v>
      </c>
      <c r="H457" s="27">
        <f>Source!O131</f>
        <v>268.22000000000003</v>
      </c>
      <c r="T457">
        <f>Source!O131+Source!X131+Source!Y131</f>
        <v>598.23</v>
      </c>
      <c r="U457">
        <f>Source!P131</f>
        <v>0</v>
      </c>
      <c r="V457">
        <f>Source!S131</f>
        <v>264.55</v>
      </c>
      <c r="W457">
        <f>Source!Q131</f>
        <v>3.67</v>
      </c>
      <c r="X457">
        <f>Source!R131</f>
        <v>1.58</v>
      </c>
      <c r="Y457">
        <f>Source!U131</f>
        <v>5.1179999999999994</v>
      </c>
      <c r="Z457">
        <f>Source!V131</f>
        <v>1.9199999999999998E-2</v>
      </c>
      <c r="AA457">
        <f>Source!X131</f>
        <v>196.94</v>
      </c>
      <c r="AB457">
        <f>Source!Y131</f>
        <v>133.07</v>
      </c>
    </row>
    <row r="458" spans="1:28" ht="14.25" x14ac:dyDescent="0.2">
      <c r="C458" s="28" t="str">
        <f>"Объем: "&amp;Source!I131&amp;"=6/"&amp;"100"</f>
        <v>Объем: 0,06=6/100</v>
      </c>
      <c r="F458" s="14"/>
      <c r="G458" s="14"/>
      <c r="H458" s="14"/>
    </row>
    <row r="459" spans="1:28" x14ac:dyDescent="0.2">
      <c r="C459" s="28" t="s">
        <v>898</v>
      </c>
      <c r="D459" s="28">
        <f>Source!BA131</f>
        <v>6.11</v>
      </c>
    </row>
    <row r="460" spans="1:28" x14ac:dyDescent="0.2">
      <c r="C460" s="28" t="s">
        <v>899</v>
      </c>
      <c r="D460" s="28">
        <f>Source!BB131</f>
        <v>6.11</v>
      </c>
    </row>
    <row r="461" spans="1:28" x14ac:dyDescent="0.2">
      <c r="C461" s="28" t="s">
        <v>900</v>
      </c>
      <c r="D461" s="28">
        <f>Source!BC131</f>
        <v>6.11</v>
      </c>
    </row>
    <row r="462" spans="1:28" x14ac:dyDescent="0.2">
      <c r="C462" s="28" t="s">
        <v>901</v>
      </c>
      <c r="D462" s="28">
        <f>Source!BS131</f>
        <v>6.11</v>
      </c>
    </row>
    <row r="463" spans="1:28" x14ac:dyDescent="0.2">
      <c r="C463" s="11" t="s">
        <v>902</v>
      </c>
      <c r="D463" s="40"/>
      <c r="E463" s="40"/>
      <c r="F463" s="40">
        <f>Source!BZ131</f>
        <v>74</v>
      </c>
      <c r="G463" s="63">
        <f>(Source!AF131+Source!AE131)*Source!FX131/100</f>
        <v>537.21040000000005</v>
      </c>
      <c r="H463" s="63">
        <f>Source!X131</f>
        <v>196.94</v>
      </c>
    </row>
    <row r="464" spans="1:28" x14ac:dyDescent="0.2">
      <c r="C464" s="11" t="s">
        <v>904</v>
      </c>
      <c r="D464" s="40"/>
      <c r="E464" s="40"/>
      <c r="F464" s="40">
        <f>Source!CA131</f>
        <v>50</v>
      </c>
      <c r="G464" s="63">
        <f>(Source!AF131+Source!AE131)*Source!FY131/100</f>
        <v>362.98</v>
      </c>
      <c r="H464" s="63">
        <f>Source!Y131</f>
        <v>133.07</v>
      </c>
    </row>
    <row r="465" spans="1:28" x14ac:dyDescent="0.2">
      <c r="C465" s="11" t="s">
        <v>906</v>
      </c>
      <c r="D465" s="40"/>
      <c r="E465" s="40"/>
      <c r="F465" s="40"/>
      <c r="G465" s="63">
        <f>((Source!AF131+Source!AE131)*Source!FX131/100)+((Source!AF131+Source!AE131)*Source!FY131/100)+Source!AB131</f>
        <v>1631.8304000000001</v>
      </c>
      <c r="H465" s="63">
        <f>Source!O131+Source!X131+Source!Y131</f>
        <v>598.23</v>
      </c>
    </row>
    <row r="466" spans="1:28" ht="42.75" x14ac:dyDescent="0.2">
      <c r="A466" s="52">
        <v>55</v>
      </c>
      <c r="B466" s="52" t="str">
        <f>Source!E133</f>
        <v>32</v>
      </c>
      <c r="C466" s="52" t="str">
        <f>Source!G133</f>
        <v>Прокладка трубопроводов канализации из полиэтиленовых труб высокой плотности диаметром 110 мм</v>
      </c>
      <c r="D466" s="52" t="str">
        <f>Source!F133</f>
        <v>16-04-001-02</v>
      </c>
      <c r="E466" s="37" t="str">
        <f>Source!H133</f>
        <v>100 м</v>
      </c>
      <c r="F466" s="14">
        <f>Source!I133</f>
        <v>0.12</v>
      </c>
      <c r="G466" s="27">
        <f>Source!AB133</f>
        <v>851.33</v>
      </c>
      <c r="H466" s="27">
        <f>Source!O133</f>
        <v>624.19000000000005</v>
      </c>
      <c r="T466">
        <f>Source!O133+Source!X133+Source!Y133</f>
        <v>1584.1000000000001</v>
      </c>
      <c r="U466">
        <f>Source!P133</f>
        <v>103.32</v>
      </c>
      <c r="V466">
        <f>Source!S133</f>
        <v>515.24</v>
      </c>
      <c r="W466">
        <f>Source!Q133</f>
        <v>5.63</v>
      </c>
      <c r="X466">
        <f>Source!R133</f>
        <v>0.84</v>
      </c>
      <c r="Y466">
        <f>Source!U133</f>
        <v>8.5007999999999981</v>
      </c>
      <c r="Z466">
        <f>Source!V133</f>
        <v>1.0500000000000001E-2</v>
      </c>
      <c r="AA466">
        <f>Source!X133</f>
        <v>593.49</v>
      </c>
      <c r="AB466">
        <f>Source!Y133</f>
        <v>366.42</v>
      </c>
    </row>
    <row r="467" spans="1:28" ht="14.25" x14ac:dyDescent="0.2">
      <c r="C467" s="28" t="str">
        <f>"Объем: "&amp;Source!I133&amp;"=12/"&amp;"100"</f>
        <v>Объем: 0,12=12/100</v>
      </c>
      <c r="F467" s="14"/>
      <c r="G467" s="14"/>
      <c r="H467" s="14"/>
    </row>
    <row r="468" spans="1:28" x14ac:dyDescent="0.2">
      <c r="C468" s="28" t="s">
        <v>898</v>
      </c>
      <c r="D468" s="28">
        <f>Source!BA133</f>
        <v>6.11</v>
      </c>
    </row>
    <row r="469" spans="1:28" x14ac:dyDescent="0.2">
      <c r="C469" s="28" t="s">
        <v>899</v>
      </c>
      <c r="D469" s="28">
        <f>Source!BB133</f>
        <v>6.11</v>
      </c>
    </row>
    <row r="470" spans="1:28" x14ac:dyDescent="0.2">
      <c r="C470" s="28" t="s">
        <v>900</v>
      </c>
      <c r="D470" s="28">
        <f>Source!BC133</f>
        <v>6.11</v>
      </c>
    </row>
    <row r="471" spans="1:28" x14ac:dyDescent="0.2">
      <c r="C471" s="28" t="s">
        <v>901</v>
      </c>
      <c r="D471" s="28">
        <f>Source!BS133</f>
        <v>6.11</v>
      </c>
    </row>
    <row r="472" spans="1:28" x14ac:dyDescent="0.2">
      <c r="C472" s="28" t="s">
        <v>907</v>
      </c>
      <c r="D472" s="118" t="s">
        <v>27</v>
      </c>
      <c r="E472" s="118"/>
      <c r="F472" s="118"/>
      <c r="G472" s="118"/>
      <c r="H472" s="118"/>
    </row>
    <row r="473" spans="1:28" x14ac:dyDescent="0.2">
      <c r="C473" s="28" t="s">
        <v>908</v>
      </c>
      <c r="D473" s="118" t="s">
        <v>27</v>
      </c>
      <c r="E473" s="118"/>
      <c r="F473" s="118"/>
      <c r="G473" s="118"/>
      <c r="H473" s="118"/>
    </row>
    <row r="474" spans="1:28" x14ac:dyDescent="0.2">
      <c r="C474" s="28" t="s">
        <v>909</v>
      </c>
      <c r="D474" s="118" t="s">
        <v>28</v>
      </c>
      <c r="E474" s="118"/>
      <c r="F474" s="118"/>
      <c r="G474" s="118"/>
      <c r="H474" s="118"/>
    </row>
    <row r="475" spans="1:28" x14ac:dyDescent="0.2">
      <c r="C475" s="28" t="s">
        <v>910</v>
      </c>
      <c r="D475" s="118" t="s">
        <v>28</v>
      </c>
      <c r="E475" s="118"/>
      <c r="F475" s="118"/>
      <c r="G475" s="118"/>
      <c r="H475" s="118"/>
    </row>
    <row r="476" spans="1:28" x14ac:dyDescent="0.2">
      <c r="C476" s="28" t="s">
        <v>911</v>
      </c>
      <c r="D476" s="118" t="s">
        <v>27</v>
      </c>
      <c r="E476" s="118"/>
      <c r="F476" s="118"/>
      <c r="G476" s="118"/>
      <c r="H476" s="118"/>
    </row>
    <row r="477" spans="1:28" x14ac:dyDescent="0.2">
      <c r="C477" s="11" t="s">
        <v>902</v>
      </c>
      <c r="D477" s="40"/>
      <c r="E477" s="40"/>
      <c r="F477" s="40">
        <f>Source!BZ133</f>
        <v>128</v>
      </c>
      <c r="G477" s="63">
        <f>(Source!AF133+Source!AE133)*Source!FX133/100</f>
        <v>810.85824000000002</v>
      </c>
      <c r="H477" s="63">
        <f>Source!X133</f>
        <v>593.49</v>
      </c>
    </row>
    <row r="478" spans="1:28" x14ac:dyDescent="0.2">
      <c r="C478" s="11" t="s">
        <v>903</v>
      </c>
      <c r="D478" s="40"/>
      <c r="E478" s="40"/>
      <c r="F478" s="40"/>
      <c r="G478" s="40" t="str">
        <f>CONCATENATE(Source!DL133,Source!FT133, "=", Source!FX133, "%")</f>
        <v>*0,9=115,2%</v>
      </c>
      <c r="H478" s="40" t="str">
        <f>CONCATENATE(Source!AT133)</f>
        <v>115</v>
      </c>
    </row>
    <row r="479" spans="1:28" x14ac:dyDescent="0.2">
      <c r="C479" s="11" t="s">
        <v>904</v>
      </c>
      <c r="D479" s="40"/>
      <c r="E479" s="40"/>
      <c r="F479" s="40">
        <f>Source!CA133</f>
        <v>83</v>
      </c>
      <c r="G479" s="63">
        <f>(Source!AF133+Source!AE133)*Source!FY133/100</f>
        <v>496.580285</v>
      </c>
      <c r="H479" s="63">
        <f>Source!Y133</f>
        <v>366.42</v>
      </c>
    </row>
    <row r="480" spans="1:28" x14ac:dyDescent="0.2">
      <c r="C480" s="11" t="s">
        <v>905</v>
      </c>
      <c r="D480" s="40"/>
      <c r="E480" s="40"/>
      <c r="F480" s="40"/>
      <c r="G480" s="40" t="str">
        <f>CONCATENATE(Source!DM133,Source!FU133, "=", Source!FY133, "%")</f>
        <v>*0,85=70,55%</v>
      </c>
      <c r="H480" s="40" t="str">
        <f>CONCATENATE(Source!AU133)</f>
        <v>71</v>
      </c>
    </row>
    <row r="481" spans="1:28" x14ac:dyDescent="0.2">
      <c r="C481" s="11" t="s">
        <v>906</v>
      </c>
      <c r="D481" s="40"/>
      <c r="E481" s="40"/>
      <c r="F481" s="40"/>
      <c r="G481" s="63">
        <f>((Source!AF133+Source!AE133)*Source!FX133/100)+((Source!AF133+Source!AE133)*Source!FY133/100)+Source!AB133</f>
        <v>2158.768525</v>
      </c>
      <c r="H481" s="63">
        <f>Source!O133+Source!X133+Source!Y133</f>
        <v>1584.1000000000001</v>
      </c>
    </row>
    <row r="482" spans="1:28" ht="57" x14ac:dyDescent="0.2">
      <c r="A482" s="52">
        <v>56</v>
      </c>
      <c r="B482" s="52" t="str">
        <f>Source!E135</f>
        <v>32,1</v>
      </c>
      <c r="C482" s="52" t="str">
        <f>Source!G135</f>
        <v>Трубопроводы канализации из полиэтиленовых труб высокой плотности с гильзами, диаметром 110 мм</v>
      </c>
      <c r="D482" s="52" t="str">
        <f>Source!F135</f>
        <v>24.3.03.02-0002</v>
      </c>
      <c r="E482" s="37" t="str">
        <f>Source!H135</f>
        <v>м</v>
      </c>
      <c r="F482" s="14">
        <f>Source!I135</f>
        <v>11.976000000000001</v>
      </c>
      <c r="G482" s="27">
        <f>Source!AB135</f>
        <v>70.400000000000006</v>
      </c>
      <c r="H482" s="27">
        <f>Source!O135</f>
        <v>5151.3999999999996</v>
      </c>
      <c r="T482">
        <f>Source!O135+Source!X135+Source!Y135</f>
        <v>5151.3999999999996</v>
      </c>
      <c r="U482">
        <f>Source!P135</f>
        <v>5151.3999999999996</v>
      </c>
      <c r="V482">
        <f>Source!S135</f>
        <v>0</v>
      </c>
      <c r="W482">
        <f>Source!Q135</f>
        <v>0</v>
      </c>
      <c r="X482">
        <f>Source!R135</f>
        <v>0</v>
      </c>
      <c r="Y482">
        <f>Source!U135</f>
        <v>0</v>
      </c>
      <c r="Z482">
        <f>Source!V135</f>
        <v>0</v>
      </c>
      <c r="AA482">
        <f>Source!X135</f>
        <v>0</v>
      </c>
      <c r="AB482">
        <f>Source!Y135</f>
        <v>0</v>
      </c>
    </row>
    <row r="483" spans="1:28" ht="14.25" x14ac:dyDescent="0.2">
      <c r="C483" s="28" t="s">
        <v>900</v>
      </c>
      <c r="D483" s="28">
        <f>Source!BC135</f>
        <v>6.11</v>
      </c>
      <c r="F483" s="14"/>
      <c r="G483" s="14"/>
      <c r="H483" s="14"/>
    </row>
    <row r="484" spans="1:28" ht="14.25" x14ac:dyDescent="0.2">
      <c r="A484" s="52">
        <v>57</v>
      </c>
      <c r="B484" s="52" t="str">
        <f>Source!E137</f>
        <v>33</v>
      </c>
      <c r="C484" s="52" t="str">
        <f>Source!G137</f>
        <v>Демонтаж унитазов и писсуаров</v>
      </c>
      <c r="D484" s="52" t="str">
        <f>Source!F137</f>
        <v>65-4-2</v>
      </c>
      <c r="E484" s="37" t="str">
        <f>Source!H137</f>
        <v>100 ШТ</v>
      </c>
      <c r="F484" s="14">
        <f>Source!I137</f>
        <v>0.02</v>
      </c>
      <c r="G484" s="27">
        <f>Source!AB137</f>
        <v>553.63</v>
      </c>
      <c r="H484" s="27">
        <f>Source!O137</f>
        <v>67.66</v>
      </c>
      <c r="T484">
        <f>Source!O137+Source!X137+Source!Y137</f>
        <v>150.78</v>
      </c>
      <c r="U484">
        <f>Source!P137</f>
        <v>0</v>
      </c>
      <c r="V484">
        <f>Source!S137</f>
        <v>66.55</v>
      </c>
      <c r="W484">
        <f>Source!Q137</f>
        <v>1.1100000000000001</v>
      </c>
      <c r="X484">
        <f>Source!R137</f>
        <v>0.48</v>
      </c>
      <c r="Y484">
        <f>Source!U137</f>
        <v>1.2768000000000002</v>
      </c>
      <c r="Z484">
        <f>Source!V137</f>
        <v>5.7999999999999996E-3</v>
      </c>
      <c r="AA484">
        <f>Source!X137</f>
        <v>49.6</v>
      </c>
      <c r="AB484">
        <f>Source!Y137</f>
        <v>33.520000000000003</v>
      </c>
    </row>
    <row r="485" spans="1:28" ht="14.25" x14ac:dyDescent="0.2">
      <c r="C485" s="28" t="str">
        <f>"Объем: "&amp;Source!I137&amp;"=2/"&amp;"100"</f>
        <v>Объем: 0,02=2/100</v>
      </c>
      <c r="F485" s="14"/>
      <c r="G485" s="14"/>
      <c r="H485" s="14"/>
    </row>
    <row r="486" spans="1:28" x14ac:dyDescent="0.2">
      <c r="C486" s="28" t="s">
        <v>898</v>
      </c>
      <c r="D486" s="28">
        <f>Source!BA137</f>
        <v>6.11</v>
      </c>
    </row>
    <row r="487" spans="1:28" x14ac:dyDescent="0.2">
      <c r="C487" s="28" t="s">
        <v>899</v>
      </c>
      <c r="D487" s="28">
        <f>Source!BB137</f>
        <v>6.11</v>
      </c>
    </row>
    <row r="488" spans="1:28" x14ac:dyDescent="0.2">
      <c r="C488" s="28" t="s">
        <v>900</v>
      </c>
      <c r="D488" s="28">
        <f>Source!BC137</f>
        <v>6.11</v>
      </c>
    </row>
    <row r="489" spans="1:28" x14ac:dyDescent="0.2">
      <c r="C489" s="28" t="s">
        <v>901</v>
      </c>
      <c r="D489" s="28">
        <f>Source!BS137</f>
        <v>6.11</v>
      </c>
    </row>
    <row r="490" spans="1:28" x14ac:dyDescent="0.2">
      <c r="C490" s="11" t="s">
        <v>902</v>
      </c>
      <c r="D490" s="40"/>
      <c r="E490" s="40"/>
      <c r="F490" s="40">
        <f>Source!BZ137</f>
        <v>74</v>
      </c>
      <c r="G490" s="63">
        <f>(Source!AF137+Source!AE137)*Source!FX137/100</f>
        <v>405.87519999999989</v>
      </c>
      <c r="H490" s="63">
        <f>Source!X137</f>
        <v>49.6</v>
      </c>
    </row>
    <row r="491" spans="1:28" x14ac:dyDescent="0.2">
      <c r="C491" s="11" t="s">
        <v>904</v>
      </c>
      <c r="D491" s="40"/>
      <c r="E491" s="40"/>
      <c r="F491" s="40">
        <f>Source!CA137</f>
        <v>50</v>
      </c>
      <c r="G491" s="63">
        <f>(Source!AF137+Source!AE137)*Source!FY137/100</f>
        <v>274.23999999999995</v>
      </c>
      <c r="H491" s="63">
        <f>Source!Y137</f>
        <v>33.520000000000003</v>
      </c>
    </row>
    <row r="492" spans="1:28" x14ac:dyDescent="0.2">
      <c r="C492" s="11" t="s">
        <v>906</v>
      </c>
      <c r="D492" s="40"/>
      <c r="E492" s="40"/>
      <c r="F492" s="40"/>
      <c r="G492" s="63">
        <f>((Source!AF137+Source!AE137)*Source!FX137/100)+((Source!AF137+Source!AE137)*Source!FY137/100)+Source!AB137</f>
        <v>1233.7451999999998</v>
      </c>
      <c r="H492" s="63">
        <f>Source!O137+Source!X137+Source!Y137</f>
        <v>150.78</v>
      </c>
    </row>
    <row r="493" spans="1:28" ht="14.25" x14ac:dyDescent="0.2">
      <c r="A493" s="52">
        <v>58</v>
      </c>
      <c r="B493" s="52" t="str">
        <f>Source!E139</f>
        <v>34</v>
      </c>
      <c r="C493" s="52" t="str">
        <f>Source!G139</f>
        <v>Демонтаж умывальников и раковин</v>
      </c>
      <c r="D493" s="52" t="str">
        <f>Source!F139</f>
        <v>65-4-1</v>
      </c>
      <c r="E493" s="37" t="str">
        <f>Source!H139</f>
        <v>100 ШТ</v>
      </c>
      <c r="F493" s="14">
        <f>Source!I139</f>
        <v>0.01</v>
      </c>
      <c r="G493" s="27">
        <f>Source!AB139</f>
        <v>445.72</v>
      </c>
      <c r="H493" s="27">
        <f>Source!O139</f>
        <v>27.24</v>
      </c>
      <c r="T493">
        <f>Source!O139+Source!X139+Source!Y139</f>
        <v>60.66</v>
      </c>
      <c r="U493">
        <f>Source!P139</f>
        <v>0</v>
      </c>
      <c r="V493">
        <f>Source!S139</f>
        <v>26.74</v>
      </c>
      <c r="W493">
        <f>Source!Q139</f>
        <v>0.5</v>
      </c>
      <c r="X493">
        <f>Source!R139</f>
        <v>0.21</v>
      </c>
      <c r="Y493">
        <f>Source!U139</f>
        <v>0.51300000000000001</v>
      </c>
      <c r="Z493">
        <f>Source!V139</f>
        <v>2.6000000000000003E-3</v>
      </c>
      <c r="AA493">
        <f>Source!X139</f>
        <v>19.940000000000001</v>
      </c>
      <c r="AB493">
        <f>Source!Y139</f>
        <v>13.48</v>
      </c>
    </row>
    <row r="494" spans="1:28" ht="14.25" x14ac:dyDescent="0.2">
      <c r="C494" s="28" t="str">
        <f>"Объем: "&amp;Source!I139&amp;"=1/"&amp;"100"</f>
        <v>Объем: 0,01=1/100</v>
      </c>
      <c r="F494" s="14"/>
      <c r="G494" s="14"/>
      <c r="H494" s="14"/>
    </row>
    <row r="495" spans="1:28" x14ac:dyDescent="0.2">
      <c r="C495" s="28" t="s">
        <v>898</v>
      </c>
      <c r="D495" s="28">
        <f>Source!BA139</f>
        <v>6.11</v>
      </c>
    </row>
    <row r="496" spans="1:28" x14ac:dyDescent="0.2">
      <c r="C496" s="28" t="s">
        <v>899</v>
      </c>
      <c r="D496" s="28">
        <f>Source!BB139</f>
        <v>6.11</v>
      </c>
    </row>
    <row r="497" spans="1:28" x14ac:dyDescent="0.2">
      <c r="C497" s="28" t="s">
        <v>900</v>
      </c>
      <c r="D497" s="28">
        <f>Source!BC139</f>
        <v>6.11</v>
      </c>
    </row>
    <row r="498" spans="1:28" x14ac:dyDescent="0.2">
      <c r="C498" s="28" t="s">
        <v>901</v>
      </c>
      <c r="D498" s="28">
        <f>Source!BS139</f>
        <v>6.11</v>
      </c>
    </row>
    <row r="499" spans="1:28" x14ac:dyDescent="0.2">
      <c r="C499" s="11" t="s">
        <v>902</v>
      </c>
      <c r="D499" s="40"/>
      <c r="E499" s="40"/>
      <c r="F499" s="40">
        <f>Source!BZ139</f>
        <v>74</v>
      </c>
      <c r="G499" s="63">
        <f>(Source!AF139+Source!AE139)*Source!FX139/100</f>
        <v>326.41399999999999</v>
      </c>
      <c r="H499" s="63">
        <f>Source!X139</f>
        <v>19.940000000000001</v>
      </c>
    </row>
    <row r="500" spans="1:28" x14ac:dyDescent="0.2">
      <c r="C500" s="11" t="s">
        <v>904</v>
      </c>
      <c r="D500" s="40"/>
      <c r="E500" s="40"/>
      <c r="F500" s="40">
        <f>Source!CA139</f>
        <v>50</v>
      </c>
      <c r="G500" s="63">
        <f>(Source!AF139+Source!AE139)*Source!FY139/100</f>
        <v>220.55</v>
      </c>
      <c r="H500" s="63">
        <f>Source!Y139</f>
        <v>13.48</v>
      </c>
    </row>
    <row r="501" spans="1:28" x14ac:dyDescent="0.2">
      <c r="C501" s="11" t="s">
        <v>906</v>
      </c>
      <c r="D501" s="40"/>
      <c r="E501" s="40"/>
      <c r="F501" s="40"/>
      <c r="G501" s="63">
        <f>((Source!AF139+Source!AE139)*Source!FX139/100)+((Source!AF139+Source!AE139)*Source!FY139/100)+Source!AB139</f>
        <v>992.68399999999997</v>
      </c>
      <c r="H501" s="63">
        <f>Source!O139+Source!X139+Source!Y139</f>
        <v>60.66</v>
      </c>
    </row>
    <row r="502" spans="1:28" ht="28.5" x14ac:dyDescent="0.2">
      <c r="A502" s="52">
        <v>59</v>
      </c>
      <c r="B502" s="52" t="str">
        <f>Source!E141</f>
        <v>35</v>
      </c>
      <c r="C502" s="52" t="str">
        <f>Source!G141</f>
        <v>Установка унитазов с бачком непосредственно присоединенным</v>
      </c>
      <c r="D502" s="52" t="str">
        <f>Source!F141</f>
        <v>17-01-003-01</v>
      </c>
      <c r="E502" s="37" t="str">
        <f>Source!H141</f>
        <v>10 компл</v>
      </c>
      <c r="F502" s="14">
        <f>Source!I141</f>
        <v>0.4</v>
      </c>
      <c r="G502" s="27">
        <f>Source!AB141</f>
        <v>505.69</v>
      </c>
      <c r="H502" s="27">
        <f>Source!O141</f>
        <v>1235.9100000000001</v>
      </c>
      <c r="T502">
        <f>Source!O141+Source!X141+Source!Y141</f>
        <v>2511.1600000000003</v>
      </c>
      <c r="U502">
        <f>Source!P141</f>
        <v>468.44</v>
      </c>
      <c r="V502">
        <f>Source!S141</f>
        <v>658.61</v>
      </c>
      <c r="W502">
        <f>Source!Q141</f>
        <v>108.86</v>
      </c>
      <c r="X502">
        <f>Source!R141</f>
        <v>27.01</v>
      </c>
      <c r="Y502">
        <f>Source!U141</f>
        <v>11.3344</v>
      </c>
      <c r="Z502">
        <f>Source!V141</f>
        <v>0.35499999999999998</v>
      </c>
      <c r="AA502">
        <f>Source!X141</f>
        <v>788.46</v>
      </c>
      <c r="AB502">
        <f>Source!Y141</f>
        <v>486.79</v>
      </c>
    </row>
    <row r="503" spans="1:28" ht="14.25" x14ac:dyDescent="0.2">
      <c r="C503" s="28" t="str">
        <f>"Объем: "&amp;Source!I141&amp;"=4/"&amp;"10"</f>
        <v>Объем: 0,4=4/10</v>
      </c>
      <c r="F503" s="14"/>
      <c r="G503" s="14"/>
      <c r="H503" s="14"/>
    </row>
    <row r="504" spans="1:28" x14ac:dyDescent="0.2">
      <c r="C504" s="28" t="s">
        <v>898</v>
      </c>
      <c r="D504" s="28">
        <f>Source!BA141</f>
        <v>6.11</v>
      </c>
    </row>
    <row r="505" spans="1:28" x14ac:dyDescent="0.2">
      <c r="C505" s="28" t="s">
        <v>899</v>
      </c>
      <c r="D505" s="28">
        <f>Source!BB141</f>
        <v>6.11</v>
      </c>
    </row>
    <row r="506" spans="1:28" x14ac:dyDescent="0.2">
      <c r="C506" s="28" t="s">
        <v>900</v>
      </c>
      <c r="D506" s="28">
        <f>Source!BC141</f>
        <v>6.11</v>
      </c>
    </row>
    <row r="507" spans="1:28" x14ac:dyDescent="0.2">
      <c r="C507" s="28" t="s">
        <v>901</v>
      </c>
      <c r="D507" s="28">
        <f>Source!BS141</f>
        <v>6.11</v>
      </c>
    </row>
    <row r="508" spans="1:28" x14ac:dyDescent="0.2">
      <c r="C508" s="28" t="s">
        <v>907</v>
      </c>
      <c r="D508" s="118" t="s">
        <v>27</v>
      </c>
      <c r="E508" s="118"/>
      <c r="F508" s="118"/>
      <c r="G508" s="118"/>
      <c r="H508" s="118"/>
    </row>
    <row r="509" spans="1:28" x14ac:dyDescent="0.2">
      <c r="C509" s="28" t="s">
        <v>908</v>
      </c>
      <c r="D509" s="118" t="s">
        <v>27</v>
      </c>
      <c r="E509" s="118"/>
      <c r="F509" s="118"/>
      <c r="G509" s="118"/>
      <c r="H509" s="118"/>
    </row>
    <row r="510" spans="1:28" x14ac:dyDescent="0.2">
      <c r="C510" s="28" t="s">
        <v>909</v>
      </c>
      <c r="D510" s="118" t="s">
        <v>28</v>
      </c>
      <c r="E510" s="118"/>
      <c r="F510" s="118"/>
      <c r="G510" s="118"/>
      <c r="H510" s="118"/>
    </row>
    <row r="511" spans="1:28" x14ac:dyDescent="0.2">
      <c r="C511" s="28" t="s">
        <v>910</v>
      </c>
      <c r="D511" s="118" t="s">
        <v>28</v>
      </c>
      <c r="E511" s="118"/>
      <c r="F511" s="118"/>
      <c r="G511" s="118"/>
      <c r="H511" s="118"/>
    </row>
    <row r="512" spans="1:28" x14ac:dyDescent="0.2">
      <c r="C512" s="28" t="s">
        <v>911</v>
      </c>
      <c r="D512" s="118" t="s">
        <v>27</v>
      </c>
      <c r="E512" s="118"/>
      <c r="F512" s="118"/>
      <c r="G512" s="118"/>
      <c r="H512" s="118"/>
    </row>
    <row r="513" spans="1:28" x14ac:dyDescent="0.2">
      <c r="C513" s="11" t="s">
        <v>902</v>
      </c>
      <c r="D513" s="40"/>
      <c r="E513" s="40"/>
      <c r="F513" s="40">
        <f>Source!BZ141</f>
        <v>128</v>
      </c>
      <c r="G513" s="63">
        <f>(Source!AF141+Source!AE141)*Source!FX141/100</f>
        <v>323.17056000000002</v>
      </c>
      <c r="H513" s="63">
        <f>Source!X141</f>
        <v>788.46</v>
      </c>
    </row>
    <row r="514" spans="1:28" x14ac:dyDescent="0.2">
      <c r="C514" s="11" t="s">
        <v>903</v>
      </c>
      <c r="D514" s="40"/>
      <c r="E514" s="40"/>
      <c r="F514" s="40"/>
      <c r="G514" s="40" t="str">
        <f>CONCATENATE(Source!DL141,Source!FT141, "=", Source!FX141, "%")</f>
        <v>*0,9=115,2%</v>
      </c>
      <c r="H514" s="40" t="str">
        <f>CONCATENATE(Source!AT141)</f>
        <v>115</v>
      </c>
    </row>
    <row r="515" spans="1:28" x14ac:dyDescent="0.2">
      <c r="C515" s="11" t="s">
        <v>904</v>
      </c>
      <c r="D515" s="40"/>
      <c r="E515" s="40"/>
      <c r="F515" s="40">
        <f>Source!CA141</f>
        <v>83</v>
      </c>
      <c r="G515" s="63">
        <f>(Source!AF141+Source!AE141)*Source!FY141/100</f>
        <v>197.913915</v>
      </c>
      <c r="H515" s="63">
        <f>Source!Y141</f>
        <v>486.79</v>
      </c>
    </row>
    <row r="516" spans="1:28" x14ac:dyDescent="0.2">
      <c r="C516" s="11" t="s">
        <v>905</v>
      </c>
      <c r="D516" s="40"/>
      <c r="E516" s="40"/>
      <c r="F516" s="40"/>
      <c r="G516" s="40" t="str">
        <f>CONCATENATE(Source!DM141,Source!FU141, "=", Source!FY141, "%")</f>
        <v>*0,85=70,55%</v>
      </c>
      <c r="H516" s="40" t="str">
        <f>CONCATENATE(Source!AU141)</f>
        <v>71</v>
      </c>
    </row>
    <row r="517" spans="1:28" x14ac:dyDescent="0.2">
      <c r="C517" s="11" t="s">
        <v>906</v>
      </c>
      <c r="D517" s="40"/>
      <c r="E517" s="40"/>
      <c r="F517" s="40"/>
      <c r="G517" s="63">
        <f>((Source!AF141+Source!AE141)*Source!FX141/100)+((Source!AF141+Source!AE141)*Source!FY141/100)+Source!AB141</f>
        <v>1026.7744749999999</v>
      </c>
      <c r="H517" s="63">
        <f>Source!O141+Source!X141+Source!Y141</f>
        <v>2511.1600000000003</v>
      </c>
    </row>
    <row r="518" spans="1:28" ht="57" x14ac:dyDescent="0.2">
      <c r="A518" s="52">
        <v>60</v>
      </c>
      <c r="B518" s="52" t="str">
        <f>Source!E143</f>
        <v>35,1</v>
      </c>
      <c r="C518" s="52" t="str">
        <f>Source!G143</f>
        <v>Унитазы полуфарфоровые и фарфоровые УНВЦ воронкообразные с сиденьем и креплением, с цельноотлитой полочкой</v>
      </c>
      <c r="D518" s="52" t="str">
        <f>Source!F143</f>
        <v>18.2.01.06-0031</v>
      </c>
      <c r="E518" s="37" t="str">
        <f>Source!H143</f>
        <v>компл.</v>
      </c>
      <c r="F518" s="14">
        <f>Source!I143</f>
        <v>4</v>
      </c>
      <c r="G518" s="27">
        <f>Source!AB143</f>
        <v>405.49</v>
      </c>
      <c r="H518" s="27">
        <f>Source!O143</f>
        <v>9910.18</v>
      </c>
      <c r="T518">
        <f>Source!O143+Source!X143+Source!Y143</f>
        <v>9910.18</v>
      </c>
      <c r="U518">
        <f>Source!P143</f>
        <v>9910.18</v>
      </c>
      <c r="V518">
        <f>Source!S143</f>
        <v>0</v>
      </c>
      <c r="W518">
        <f>Source!Q143</f>
        <v>0</v>
      </c>
      <c r="X518">
        <f>Source!R143</f>
        <v>0</v>
      </c>
      <c r="Y518">
        <f>Source!U143</f>
        <v>0</v>
      </c>
      <c r="Z518">
        <f>Source!V143</f>
        <v>0</v>
      </c>
      <c r="AA518">
        <f>Source!X143</f>
        <v>0</v>
      </c>
      <c r="AB518">
        <f>Source!Y143</f>
        <v>0</v>
      </c>
    </row>
    <row r="519" spans="1:28" ht="14.25" x14ac:dyDescent="0.2">
      <c r="C519" s="28" t="s">
        <v>900</v>
      </c>
      <c r="D519" s="28">
        <f>Source!BC143</f>
        <v>6.11</v>
      </c>
      <c r="F519" s="14"/>
      <c r="G519" s="14"/>
      <c r="H519" s="14"/>
    </row>
    <row r="520" spans="1:28" ht="57" x14ac:dyDescent="0.2">
      <c r="A520" s="52">
        <v>61</v>
      </c>
      <c r="B520" s="52" t="str">
        <f>Source!E145</f>
        <v>35,2</v>
      </c>
      <c r="C520" s="52" t="str">
        <f>Source!G145</f>
        <v>Бачки смывные полуфарфоровые и фарфоровые с арматурой непосредственно устанавливаемые на унитазы</v>
      </c>
      <c r="D520" s="52" t="str">
        <f>Source!F145</f>
        <v>18.2.06.01-0002</v>
      </c>
      <c r="E520" s="37" t="str">
        <f>Source!H145</f>
        <v>компл.</v>
      </c>
      <c r="F520" s="14">
        <f>Source!I145</f>
        <v>4</v>
      </c>
      <c r="G520" s="27">
        <f>Source!AB145</f>
        <v>198.3</v>
      </c>
      <c r="H520" s="27">
        <f>Source!O145</f>
        <v>4846.45</v>
      </c>
      <c r="T520">
        <f>Source!O145+Source!X145+Source!Y145</f>
        <v>4846.45</v>
      </c>
      <c r="U520">
        <f>Source!P145</f>
        <v>4846.45</v>
      </c>
      <c r="V520">
        <f>Source!S145</f>
        <v>0</v>
      </c>
      <c r="W520">
        <f>Source!Q145</f>
        <v>0</v>
      </c>
      <c r="X520">
        <f>Source!R145</f>
        <v>0</v>
      </c>
      <c r="Y520">
        <f>Source!U145</f>
        <v>0</v>
      </c>
      <c r="Z520">
        <f>Source!V145</f>
        <v>0</v>
      </c>
      <c r="AA520">
        <f>Source!X145</f>
        <v>0</v>
      </c>
      <c r="AB520">
        <f>Source!Y145</f>
        <v>0</v>
      </c>
    </row>
    <row r="521" spans="1:28" ht="14.25" x14ac:dyDescent="0.2">
      <c r="C521" s="28" t="s">
        <v>900</v>
      </c>
      <c r="D521" s="28">
        <f>Source!BC145</f>
        <v>6.11</v>
      </c>
      <c r="F521" s="14"/>
      <c r="G521" s="14"/>
      <c r="H521" s="14"/>
    </row>
    <row r="522" spans="1:28" ht="28.5" x14ac:dyDescent="0.2">
      <c r="A522" s="52">
        <v>62</v>
      </c>
      <c r="B522" s="52" t="str">
        <f>Source!E147</f>
        <v>35,3</v>
      </c>
      <c r="C522" s="52" t="str">
        <f>Source!G147</f>
        <v>Манжета резиновая канализационная для унитаза диаметром 110 мм</v>
      </c>
      <c r="D522" s="52" t="str">
        <f>Source!F147</f>
        <v>01.7.19.03-0001</v>
      </c>
      <c r="E522" s="37" t="str">
        <f>Source!H147</f>
        <v>шт.</v>
      </c>
      <c r="F522" s="14">
        <f>Source!I147</f>
        <v>4</v>
      </c>
      <c r="G522" s="27">
        <f>Source!AB147</f>
        <v>6.81</v>
      </c>
      <c r="H522" s="27">
        <f>Source!O147</f>
        <v>166.44</v>
      </c>
      <c r="T522">
        <f>Source!O147+Source!X147+Source!Y147</f>
        <v>166.44</v>
      </c>
      <c r="U522">
        <f>Source!P147</f>
        <v>166.44</v>
      </c>
      <c r="V522">
        <f>Source!S147</f>
        <v>0</v>
      </c>
      <c r="W522">
        <f>Source!Q147</f>
        <v>0</v>
      </c>
      <c r="X522">
        <f>Source!R147</f>
        <v>0</v>
      </c>
      <c r="Y522">
        <f>Source!U147</f>
        <v>0</v>
      </c>
      <c r="Z522">
        <f>Source!V147</f>
        <v>0</v>
      </c>
      <c r="AA522">
        <f>Source!X147</f>
        <v>0</v>
      </c>
      <c r="AB522">
        <f>Source!Y147</f>
        <v>0</v>
      </c>
    </row>
    <row r="523" spans="1:28" ht="14.25" x14ac:dyDescent="0.2">
      <c r="C523" s="28" t="s">
        <v>900</v>
      </c>
      <c r="D523" s="28">
        <f>Source!BC147</f>
        <v>6.11</v>
      </c>
      <c r="F523" s="14"/>
      <c r="G523" s="14"/>
      <c r="H523" s="14"/>
    </row>
    <row r="524" spans="1:28" ht="28.5" x14ac:dyDescent="0.2">
      <c r="A524" s="52">
        <v>63</v>
      </c>
      <c r="B524" s="52" t="str">
        <f>Source!E149</f>
        <v>36</v>
      </c>
      <c r="C524" s="52" t="str">
        <f>Source!G149</f>
        <v>Установка биде</v>
      </c>
      <c r="D524" s="52" t="str">
        <f>Source!F149</f>
        <v>17-01-001-16</v>
      </c>
      <c r="E524" s="37" t="str">
        <f>Source!H149</f>
        <v>10 компл</v>
      </c>
      <c r="F524" s="14">
        <f>Source!I149</f>
        <v>0.1</v>
      </c>
      <c r="G524" s="27">
        <f>Source!AB149</f>
        <v>401.66</v>
      </c>
      <c r="H524" s="27">
        <f>Source!O149</f>
        <v>245.42</v>
      </c>
      <c r="T524">
        <f>Source!O149+Source!X149+Source!Y149</f>
        <v>633.69000000000005</v>
      </c>
      <c r="U524">
        <f>Source!P149</f>
        <v>21.28</v>
      </c>
      <c r="V524">
        <f>Source!S149</f>
        <v>204.48</v>
      </c>
      <c r="W524">
        <f>Source!Q149</f>
        <v>19.66</v>
      </c>
      <c r="X524">
        <f>Source!R149</f>
        <v>4.2699999999999996</v>
      </c>
      <c r="Y524">
        <f>Source!U149</f>
        <v>3.4787499999999998</v>
      </c>
      <c r="Z524">
        <f>Source!V149</f>
        <v>5.7500000000000009E-2</v>
      </c>
      <c r="AA524">
        <f>Source!X149</f>
        <v>240.06</v>
      </c>
      <c r="AB524">
        <f>Source!Y149</f>
        <v>148.21</v>
      </c>
    </row>
    <row r="525" spans="1:28" ht="14.25" x14ac:dyDescent="0.2">
      <c r="C525" s="28" t="str">
        <f>"Объем: "&amp;Source!I149&amp;"=1/"&amp;"10"</f>
        <v>Объем: 0,1=1/10</v>
      </c>
      <c r="F525" s="14"/>
      <c r="G525" s="14"/>
      <c r="H525" s="14"/>
    </row>
    <row r="526" spans="1:28" x14ac:dyDescent="0.2">
      <c r="C526" s="28" t="s">
        <v>898</v>
      </c>
      <c r="D526" s="28">
        <f>Source!BA149</f>
        <v>6.11</v>
      </c>
    </row>
    <row r="527" spans="1:28" x14ac:dyDescent="0.2">
      <c r="C527" s="28" t="s">
        <v>899</v>
      </c>
      <c r="D527" s="28">
        <f>Source!BB149</f>
        <v>6.11</v>
      </c>
    </row>
    <row r="528" spans="1:28" x14ac:dyDescent="0.2">
      <c r="C528" s="28" t="s">
        <v>900</v>
      </c>
      <c r="D528" s="28">
        <f>Source!BC149</f>
        <v>6.11</v>
      </c>
    </row>
    <row r="529" spans="1:28" x14ac:dyDescent="0.2">
      <c r="C529" s="28" t="s">
        <v>901</v>
      </c>
      <c r="D529" s="28">
        <f>Source!BS149</f>
        <v>6.11</v>
      </c>
    </row>
    <row r="530" spans="1:28" x14ac:dyDescent="0.2">
      <c r="C530" s="28" t="s">
        <v>907</v>
      </c>
      <c r="D530" s="118" t="s">
        <v>27</v>
      </c>
      <c r="E530" s="118"/>
      <c r="F530" s="118"/>
      <c r="G530" s="118"/>
      <c r="H530" s="118"/>
    </row>
    <row r="531" spans="1:28" x14ac:dyDescent="0.2">
      <c r="C531" s="28" t="s">
        <v>908</v>
      </c>
      <c r="D531" s="118" t="s">
        <v>27</v>
      </c>
      <c r="E531" s="118"/>
      <c r="F531" s="118"/>
      <c r="G531" s="118"/>
      <c r="H531" s="118"/>
    </row>
    <row r="532" spans="1:28" x14ac:dyDescent="0.2">
      <c r="C532" s="28" t="s">
        <v>909</v>
      </c>
      <c r="D532" s="118" t="s">
        <v>28</v>
      </c>
      <c r="E532" s="118"/>
      <c r="F532" s="118"/>
      <c r="G532" s="118"/>
      <c r="H532" s="118"/>
    </row>
    <row r="533" spans="1:28" x14ac:dyDescent="0.2">
      <c r="C533" s="28" t="s">
        <v>910</v>
      </c>
      <c r="D533" s="118" t="s">
        <v>28</v>
      </c>
      <c r="E533" s="118"/>
      <c r="F533" s="118"/>
      <c r="G533" s="118"/>
      <c r="H533" s="118"/>
    </row>
    <row r="534" spans="1:28" x14ac:dyDescent="0.2">
      <c r="C534" s="28" t="s">
        <v>911</v>
      </c>
      <c r="D534" s="118" t="s">
        <v>27</v>
      </c>
      <c r="E534" s="118"/>
      <c r="F534" s="118"/>
      <c r="G534" s="118"/>
      <c r="H534" s="118"/>
    </row>
    <row r="535" spans="1:28" x14ac:dyDescent="0.2">
      <c r="C535" s="11" t="s">
        <v>902</v>
      </c>
      <c r="D535" s="40"/>
      <c r="E535" s="40"/>
      <c r="F535" s="40">
        <f>Source!BZ149</f>
        <v>128</v>
      </c>
      <c r="G535" s="63">
        <f>(Source!AF149+Source!AE149)*Source!FX149/100</f>
        <v>393.58080000000001</v>
      </c>
      <c r="H535" s="63">
        <f>Source!X149</f>
        <v>240.06</v>
      </c>
    </row>
    <row r="536" spans="1:28" x14ac:dyDescent="0.2">
      <c r="C536" s="11" t="s">
        <v>903</v>
      </c>
      <c r="D536" s="40"/>
      <c r="E536" s="40"/>
      <c r="F536" s="40"/>
      <c r="G536" s="40" t="str">
        <f>CONCATENATE(Source!DL149,Source!FT149, "=", Source!FX149, "%")</f>
        <v>*0,9=115,2%</v>
      </c>
      <c r="H536" s="40" t="str">
        <f>CONCATENATE(Source!AT149)</f>
        <v>115</v>
      </c>
    </row>
    <row r="537" spans="1:28" x14ac:dyDescent="0.2">
      <c r="C537" s="11" t="s">
        <v>904</v>
      </c>
      <c r="D537" s="40"/>
      <c r="E537" s="40"/>
      <c r="F537" s="40">
        <f>Source!CA149</f>
        <v>83</v>
      </c>
      <c r="G537" s="63">
        <f>(Source!AF149+Source!AE149)*Source!FY149/100</f>
        <v>241.034075</v>
      </c>
      <c r="H537" s="63">
        <f>Source!Y149</f>
        <v>148.21</v>
      </c>
    </row>
    <row r="538" spans="1:28" x14ac:dyDescent="0.2">
      <c r="C538" s="11" t="s">
        <v>905</v>
      </c>
      <c r="D538" s="40"/>
      <c r="E538" s="40"/>
      <c r="F538" s="40"/>
      <c r="G538" s="40" t="str">
        <f>CONCATENATE(Source!DM149,Source!FU149, "=", Source!FY149, "%")</f>
        <v>*0,85=70,55%</v>
      </c>
      <c r="H538" s="40" t="str">
        <f>CONCATENATE(Source!AU149)</f>
        <v>71</v>
      </c>
    </row>
    <row r="539" spans="1:28" x14ac:dyDescent="0.2">
      <c r="C539" s="11" t="s">
        <v>906</v>
      </c>
      <c r="D539" s="40"/>
      <c r="E539" s="40"/>
      <c r="F539" s="40"/>
      <c r="G539" s="63">
        <f>((Source!AF149+Source!AE149)*Source!FX149/100)+((Source!AF149+Source!AE149)*Source!FY149/100)+Source!AB149</f>
        <v>1036.2748750000001</v>
      </c>
      <c r="H539" s="63">
        <f>Source!O149+Source!X149+Source!Y149</f>
        <v>633.69000000000005</v>
      </c>
    </row>
    <row r="540" spans="1:28" ht="42.75" x14ac:dyDescent="0.2">
      <c r="A540" s="52">
        <v>64</v>
      </c>
      <c r="B540" s="52" t="str">
        <f>Source!E151</f>
        <v>36,1</v>
      </c>
      <c r="C540" s="52" t="str">
        <f>Source!G151</f>
        <v>Биде полуфарфоровые со смесителем, выпуском и сифоном, размером 600х350х348, 640х350х380 мм</v>
      </c>
      <c r="D540" s="52" t="str">
        <f>Source!F151</f>
        <v>18.2.01.01-0001</v>
      </c>
      <c r="E540" s="37" t="str">
        <f>Source!H151</f>
        <v>компл.</v>
      </c>
      <c r="F540" s="14">
        <f>Source!I151</f>
        <v>1</v>
      </c>
      <c r="G540" s="27">
        <f>Source!AB151</f>
        <v>692.34</v>
      </c>
      <c r="H540" s="27">
        <f>Source!O151</f>
        <v>4230.2</v>
      </c>
      <c r="T540">
        <f>Source!O151+Source!X151+Source!Y151</f>
        <v>4230.2</v>
      </c>
      <c r="U540">
        <f>Source!P151</f>
        <v>4230.2</v>
      </c>
      <c r="V540">
        <f>Source!S151</f>
        <v>0</v>
      </c>
      <c r="W540">
        <f>Source!Q151</f>
        <v>0</v>
      </c>
      <c r="X540">
        <f>Source!R151</f>
        <v>0</v>
      </c>
      <c r="Y540">
        <f>Source!U151</f>
        <v>0</v>
      </c>
      <c r="Z540">
        <f>Source!V151</f>
        <v>0</v>
      </c>
      <c r="AA540">
        <f>Source!X151</f>
        <v>0</v>
      </c>
      <c r="AB540">
        <f>Source!Y151</f>
        <v>0</v>
      </c>
    </row>
    <row r="541" spans="1:28" ht="14.25" x14ac:dyDescent="0.2">
      <c r="C541" s="28" t="s">
        <v>900</v>
      </c>
      <c r="D541" s="28">
        <f>Source!BC151</f>
        <v>6.11</v>
      </c>
      <c r="F541" s="14"/>
      <c r="G541" s="14"/>
      <c r="H541" s="14"/>
    </row>
    <row r="542" spans="1:28" ht="14.25" x14ac:dyDescent="0.2">
      <c r="A542" s="52">
        <v>65</v>
      </c>
      <c r="B542" s="52" t="str">
        <f>Source!E153</f>
        <v>36,2</v>
      </c>
      <c r="C542" s="52" t="str">
        <f>Source!G153</f>
        <v>Приборы санитарно-технические</v>
      </c>
      <c r="D542" s="52" t="str">
        <f>Source!F153</f>
        <v>18.2.06.12</v>
      </c>
      <c r="E542" s="37" t="str">
        <f>Source!H153</f>
        <v>компл.</v>
      </c>
      <c r="F542" s="14">
        <f>Source!I153</f>
        <v>1</v>
      </c>
      <c r="G542" s="27">
        <f>Source!AB153</f>
        <v>0</v>
      </c>
      <c r="H542" s="27">
        <f>Source!O153</f>
        <v>0</v>
      </c>
      <c r="T542">
        <f>Source!O153+Source!X153+Source!Y153</f>
        <v>0</v>
      </c>
      <c r="U542">
        <f>Source!P153</f>
        <v>0</v>
      </c>
      <c r="V542">
        <f>Source!S153</f>
        <v>0</v>
      </c>
      <c r="W542">
        <f>Source!Q153</f>
        <v>0</v>
      </c>
      <c r="X542">
        <f>Source!R153</f>
        <v>0</v>
      </c>
      <c r="Y542">
        <f>Source!U153</f>
        <v>0</v>
      </c>
      <c r="Z542">
        <f>Source!V153</f>
        <v>0</v>
      </c>
      <c r="AA542">
        <f>Source!X153</f>
        <v>0</v>
      </c>
      <c r="AB542">
        <f>Source!Y153</f>
        <v>0</v>
      </c>
    </row>
    <row r="543" spans="1:28" ht="14.25" x14ac:dyDescent="0.2">
      <c r="C543" s="28" t="s">
        <v>900</v>
      </c>
      <c r="D543" s="28">
        <f>Source!BC153</f>
        <v>6.11</v>
      </c>
      <c r="F543" s="14"/>
      <c r="G543" s="14"/>
      <c r="H543" s="14"/>
    </row>
    <row r="544" spans="1:28" ht="28.5" x14ac:dyDescent="0.2">
      <c r="A544" s="52">
        <v>66</v>
      </c>
      <c r="B544" s="52" t="str">
        <f>Source!E155</f>
        <v>37</v>
      </c>
      <c r="C544" s="52" t="str">
        <f>Source!G155</f>
        <v>Установка умывальников одиночных с подводкой холодной и горячей воды</v>
      </c>
      <c r="D544" s="52" t="str">
        <f>Source!F155</f>
        <v>17-01-001-14</v>
      </c>
      <c r="E544" s="37" t="str">
        <f>Source!H155</f>
        <v>10 компл</v>
      </c>
      <c r="F544" s="14">
        <f>Source!I155</f>
        <v>0.1</v>
      </c>
      <c r="G544" s="27">
        <f>Source!AB155</f>
        <v>304.85000000000002</v>
      </c>
      <c r="H544" s="27">
        <f>Source!O155</f>
        <v>186.26</v>
      </c>
      <c r="T544">
        <f>Source!O155+Source!X155+Source!Y155</f>
        <v>464.57</v>
      </c>
      <c r="U544">
        <f>Source!P155</f>
        <v>25.78</v>
      </c>
      <c r="V544">
        <f>Source!S155</f>
        <v>146.34</v>
      </c>
      <c r="W544">
        <f>Source!Q155</f>
        <v>14.14</v>
      </c>
      <c r="X544">
        <f>Source!R155</f>
        <v>3.29</v>
      </c>
      <c r="Y544">
        <f>Source!U155</f>
        <v>2.4897499999999999</v>
      </c>
      <c r="Z544">
        <f>Source!V155</f>
        <v>4.3750000000000004E-2</v>
      </c>
      <c r="AA544">
        <f>Source!X155</f>
        <v>172.07</v>
      </c>
      <c r="AB544">
        <f>Source!Y155</f>
        <v>106.24</v>
      </c>
    </row>
    <row r="545" spans="1:28" ht="14.25" x14ac:dyDescent="0.2">
      <c r="C545" s="28" t="str">
        <f>"Объем: "&amp;Source!I155&amp;"=1/"&amp;"10"</f>
        <v>Объем: 0,1=1/10</v>
      </c>
      <c r="F545" s="14"/>
      <c r="G545" s="14"/>
      <c r="H545" s="14"/>
    </row>
    <row r="546" spans="1:28" x14ac:dyDescent="0.2">
      <c r="C546" s="28" t="s">
        <v>898</v>
      </c>
      <c r="D546" s="28">
        <f>Source!BA155</f>
        <v>6.11</v>
      </c>
    </row>
    <row r="547" spans="1:28" x14ac:dyDescent="0.2">
      <c r="C547" s="28" t="s">
        <v>899</v>
      </c>
      <c r="D547" s="28">
        <f>Source!BB155</f>
        <v>6.11</v>
      </c>
    </row>
    <row r="548" spans="1:28" x14ac:dyDescent="0.2">
      <c r="C548" s="28" t="s">
        <v>900</v>
      </c>
      <c r="D548" s="28">
        <f>Source!BC155</f>
        <v>6.11</v>
      </c>
    </row>
    <row r="549" spans="1:28" x14ac:dyDescent="0.2">
      <c r="C549" s="28" t="s">
        <v>901</v>
      </c>
      <c r="D549" s="28">
        <f>Source!BS155</f>
        <v>6.11</v>
      </c>
    </row>
    <row r="550" spans="1:28" x14ac:dyDescent="0.2">
      <c r="C550" s="28" t="s">
        <v>907</v>
      </c>
      <c r="D550" s="118" t="s">
        <v>27</v>
      </c>
      <c r="E550" s="118"/>
      <c r="F550" s="118"/>
      <c r="G550" s="118"/>
      <c r="H550" s="118"/>
    </row>
    <row r="551" spans="1:28" x14ac:dyDescent="0.2">
      <c r="C551" s="28" t="s">
        <v>908</v>
      </c>
      <c r="D551" s="118" t="s">
        <v>27</v>
      </c>
      <c r="E551" s="118"/>
      <c r="F551" s="118"/>
      <c r="G551" s="118"/>
      <c r="H551" s="118"/>
    </row>
    <row r="552" spans="1:28" x14ac:dyDescent="0.2">
      <c r="C552" s="28" t="s">
        <v>909</v>
      </c>
      <c r="D552" s="118" t="s">
        <v>28</v>
      </c>
      <c r="E552" s="118"/>
      <c r="F552" s="118"/>
      <c r="G552" s="118"/>
      <c r="H552" s="118"/>
    </row>
    <row r="553" spans="1:28" x14ac:dyDescent="0.2">
      <c r="C553" s="28" t="s">
        <v>910</v>
      </c>
      <c r="D553" s="118" t="s">
        <v>28</v>
      </c>
      <c r="E553" s="118"/>
      <c r="F553" s="118"/>
      <c r="G553" s="118"/>
      <c r="H553" s="118"/>
    </row>
    <row r="554" spans="1:28" x14ac:dyDescent="0.2">
      <c r="C554" s="28" t="s">
        <v>911</v>
      </c>
      <c r="D554" s="118" t="s">
        <v>27</v>
      </c>
      <c r="E554" s="118"/>
      <c r="F554" s="118"/>
      <c r="G554" s="118"/>
      <c r="H554" s="118"/>
    </row>
    <row r="555" spans="1:28" x14ac:dyDescent="0.2">
      <c r="C555" s="11" t="s">
        <v>902</v>
      </c>
      <c r="D555" s="40"/>
      <c r="E555" s="40"/>
      <c r="F555" s="40">
        <f>Source!BZ155</f>
        <v>128</v>
      </c>
      <c r="G555" s="63">
        <f>(Source!AF155+Source!AE155)*Source!FX155/100</f>
        <v>282.12479999999999</v>
      </c>
      <c r="H555" s="63">
        <f>Source!X155</f>
        <v>172.07</v>
      </c>
    </row>
    <row r="556" spans="1:28" x14ac:dyDescent="0.2">
      <c r="C556" s="11" t="s">
        <v>903</v>
      </c>
      <c r="D556" s="40"/>
      <c r="E556" s="40"/>
      <c r="F556" s="40"/>
      <c r="G556" s="40" t="str">
        <f>CONCATENATE(Source!DL155,Source!FT155, "=", Source!FX155, "%")</f>
        <v>*0,9=115,2%</v>
      </c>
      <c r="H556" s="40" t="str">
        <f>CONCATENATE(Source!AT155)</f>
        <v>115</v>
      </c>
    </row>
    <row r="557" spans="1:28" x14ac:dyDescent="0.2">
      <c r="C557" s="11" t="s">
        <v>904</v>
      </c>
      <c r="D557" s="40"/>
      <c r="E557" s="40"/>
      <c r="F557" s="40">
        <f>Source!CA155</f>
        <v>83</v>
      </c>
      <c r="G557" s="63">
        <f>(Source!AF155+Source!AE155)*Source!FY155/100</f>
        <v>172.77694999999997</v>
      </c>
      <c r="H557" s="63">
        <f>Source!Y155</f>
        <v>106.24</v>
      </c>
    </row>
    <row r="558" spans="1:28" x14ac:dyDescent="0.2">
      <c r="C558" s="11" t="s">
        <v>905</v>
      </c>
      <c r="D558" s="40"/>
      <c r="E558" s="40"/>
      <c r="F558" s="40"/>
      <c r="G558" s="40" t="str">
        <f>CONCATENATE(Source!DM155,Source!FU155, "=", Source!FY155, "%")</f>
        <v>*0,85=70,55%</v>
      </c>
      <c r="H558" s="40" t="str">
        <f>CONCATENATE(Source!AU155)</f>
        <v>71</v>
      </c>
    </row>
    <row r="559" spans="1:28" x14ac:dyDescent="0.2">
      <c r="C559" s="11" t="s">
        <v>906</v>
      </c>
      <c r="D559" s="40"/>
      <c r="E559" s="40"/>
      <c r="F559" s="40"/>
      <c r="G559" s="63">
        <f>((Source!AF155+Source!AE155)*Source!FX155/100)+((Source!AF155+Source!AE155)*Source!FY155/100)+Source!AB155</f>
        <v>759.75175000000002</v>
      </c>
      <c r="H559" s="63">
        <f>Source!O155+Source!X155+Source!Y155</f>
        <v>464.57</v>
      </c>
    </row>
    <row r="560" spans="1:28" ht="99.75" x14ac:dyDescent="0.2">
      <c r="A560" s="52">
        <v>67</v>
      </c>
      <c r="B560" s="52" t="str">
        <f>Source!E157</f>
        <v>37,1</v>
      </c>
      <c r="C560" s="52" t="str">
        <f>Source!G157</f>
        <v>Умывальники полуфарфоровые и фарфоровые с краном настольным, кронштейнами, сифоном бутылочным латунным и выпуском, овальные с выступающими установочными поверхностями без спинки размером 550х500х150 мм</v>
      </c>
      <c r="D560" s="52" t="str">
        <f>Source!F157</f>
        <v>18.2.01.05-0003</v>
      </c>
      <c r="E560" s="37" t="str">
        <f>Source!H157</f>
        <v>компл.</v>
      </c>
      <c r="F560" s="14">
        <f>Source!I157</f>
        <v>1</v>
      </c>
      <c r="G560" s="27">
        <f>Source!AB157</f>
        <v>246.43</v>
      </c>
      <c r="H560" s="27">
        <f>Source!O157</f>
        <v>1505.69</v>
      </c>
      <c r="T560">
        <f>Source!O157+Source!X157+Source!Y157</f>
        <v>1505.69</v>
      </c>
      <c r="U560">
        <f>Source!P157</f>
        <v>1505.69</v>
      </c>
      <c r="V560">
        <f>Source!S157</f>
        <v>0</v>
      </c>
      <c r="W560">
        <f>Source!Q157</f>
        <v>0</v>
      </c>
      <c r="X560">
        <f>Source!R157</f>
        <v>0</v>
      </c>
      <c r="Y560">
        <f>Source!U157</f>
        <v>0</v>
      </c>
      <c r="Z560">
        <f>Source!V157</f>
        <v>0</v>
      </c>
      <c r="AA560">
        <f>Source!X157</f>
        <v>0</v>
      </c>
      <c r="AB560">
        <f>Source!Y157</f>
        <v>0</v>
      </c>
    </row>
    <row r="561" spans="1:28" ht="14.25" x14ac:dyDescent="0.2">
      <c r="C561" s="28" t="s">
        <v>900</v>
      </c>
      <c r="D561" s="28">
        <f>Source!BC157</f>
        <v>6.11</v>
      </c>
      <c r="F561" s="14"/>
      <c r="G561" s="14"/>
      <c r="H561" s="14"/>
    </row>
    <row r="562" spans="1:28" ht="14.25" x14ac:dyDescent="0.2">
      <c r="A562" s="52">
        <v>68</v>
      </c>
      <c r="B562" s="52" t="str">
        <f>Source!E159</f>
        <v>37,2</v>
      </c>
      <c r="C562" s="52" t="str">
        <f>Source!G159</f>
        <v>Приборы санитарно-технические</v>
      </c>
      <c r="D562" s="52" t="str">
        <f>Source!F159</f>
        <v>18.2.06.12</v>
      </c>
      <c r="E562" s="37" t="str">
        <f>Source!H159</f>
        <v>компл.</v>
      </c>
      <c r="F562" s="14">
        <f>Source!I159</f>
        <v>1</v>
      </c>
      <c r="G562" s="27">
        <f>Source!AB159</f>
        <v>0</v>
      </c>
      <c r="H562" s="27">
        <f>Source!O159</f>
        <v>0</v>
      </c>
      <c r="T562">
        <f>Source!O159+Source!X159+Source!Y159</f>
        <v>0</v>
      </c>
      <c r="U562">
        <f>Source!P159</f>
        <v>0</v>
      </c>
      <c r="V562">
        <f>Source!S159</f>
        <v>0</v>
      </c>
      <c r="W562">
        <f>Source!Q159</f>
        <v>0</v>
      </c>
      <c r="X562">
        <f>Source!R159</f>
        <v>0</v>
      </c>
      <c r="Y562">
        <f>Source!U159</f>
        <v>0</v>
      </c>
      <c r="Z562">
        <f>Source!V159</f>
        <v>0</v>
      </c>
      <c r="AA562">
        <f>Source!X159</f>
        <v>0</v>
      </c>
      <c r="AB562">
        <f>Source!Y159</f>
        <v>0</v>
      </c>
    </row>
    <row r="563" spans="1:28" ht="14.25" x14ac:dyDescent="0.2">
      <c r="C563" s="28" t="s">
        <v>900</v>
      </c>
      <c r="D563" s="28">
        <f>Source!BC159</f>
        <v>6.11</v>
      </c>
      <c r="F563" s="14"/>
      <c r="G563" s="14"/>
      <c r="H563" s="14"/>
    </row>
    <row r="564" spans="1:28" ht="42.75" x14ac:dyDescent="0.2">
      <c r="A564" s="52">
        <v>69</v>
      </c>
      <c r="B564" s="52" t="str">
        <f>Source!E161</f>
        <v>38</v>
      </c>
      <c r="C564" s="52" t="str">
        <f>Source!G161</f>
        <v>Разборка трубопроводов из водогазопроводных труб диаметром до 32 мм</v>
      </c>
      <c r="D564" s="52" t="str">
        <f>Source!F161</f>
        <v>65-1-1</v>
      </c>
      <c r="E564" s="37" t="str">
        <f>Source!H161</f>
        <v>100 м</v>
      </c>
      <c r="F564" s="14">
        <f>Source!I161</f>
        <v>7.0000000000000007E-2</v>
      </c>
      <c r="G564" s="27">
        <f>Source!AB161</f>
        <v>372.97</v>
      </c>
      <c r="H564" s="27">
        <f>Source!O161</f>
        <v>159.52000000000001</v>
      </c>
      <c r="T564">
        <f>Source!O161+Source!X161+Source!Y161</f>
        <v>336</v>
      </c>
      <c r="U564">
        <f>Source!P161</f>
        <v>14.37</v>
      </c>
      <c r="V564">
        <f>Source!S161</f>
        <v>141.66</v>
      </c>
      <c r="W564">
        <f>Source!Q161</f>
        <v>3.49</v>
      </c>
      <c r="X564">
        <f>Source!R161</f>
        <v>0.66</v>
      </c>
      <c r="Y564">
        <f>Source!U161</f>
        <v>2.79013</v>
      </c>
      <c r="Z564">
        <f>Source!V161</f>
        <v>8.0499999999999999E-3</v>
      </c>
      <c r="AA564">
        <f>Source!X161</f>
        <v>105.32</v>
      </c>
      <c r="AB564">
        <f>Source!Y161</f>
        <v>71.16</v>
      </c>
    </row>
    <row r="565" spans="1:28" ht="14.25" x14ac:dyDescent="0.2">
      <c r="C565" s="28" t="str">
        <f>"Объем: "&amp;Source!I161&amp;"=7/"&amp;"100"</f>
        <v>Объем: 0,07=7/100</v>
      </c>
      <c r="F565" s="14"/>
      <c r="G565" s="14"/>
      <c r="H565" s="14"/>
    </row>
    <row r="566" spans="1:28" x14ac:dyDescent="0.2">
      <c r="C566" s="28" t="s">
        <v>898</v>
      </c>
      <c r="D566" s="28">
        <f>Source!BA161</f>
        <v>6.11</v>
      </c>
    </row>
    <row r="567" spans="1:28" x14ac:dyDescent="0.2">
      <c r="C567" s="28" t="s">
        <v>899</v>
      </c>
      <c r="D567" s="28">
        <f>Source!BB161</f>
        <v>6.11</v>
      </c>
    </row>
    <row r="568" spans="1:28" x14ac:dyDescent="0.2">
      <c r="C568" s="28" t="s">
        <v>900</v>
      </c>
      <c r="D568" s="28">
        <f>Source!BC161</f>
        <v>6.11</v>
      </c>
    </row>
    <row r="569" spans="1:28" x14ac:dyDescent="0.2">
      <c r="C569" s="28" t="s">
        <v>901</v>
      </c>
      <c r="D569" s="28">
        <f>Source!BS161</f>
        <v>6.11</v>
      </c>
    </row>
    <row r="570" spans="1:28" x14ac:dyDescent="0.2">
      <c r="C570" s="28" t="s">
        <v>907</v>
      </c>
      <c r="D570" s="118" t="s">
        <v>28</v>
      </c>
      <c r="E570" s="118"/>
      <c r="F570" s="118"/>
      <c r="G570" s="118"/>
      <c r="H570" s="118"/>
    </row>
    <row r="571" spans="1:28" x14ac:dyDescent="0.2">
      <c r="C571" s="28" t="s">
        <v>908</v>
      </c>
      <c r="D571" s="118" t="s">
        <v>28</v>
      </c>
      <c r="E571" s="118"/>
      <c r="F571" s="118"/>
      <c r="G571" s="118"/>
      <c r="H571" s="118"/>
    </row>
    <row r="572" spans="1:28" x14ac:dyDescent="0.2">
      <c r="C572" s="28" t="s">
        <v>909</v>
      </c>
      <c r="D572" s="118" t="s">
        <v>28</v>
      </c>
      <c r="E572" s="118"/>
      <c r="F572" s="118"/>
      <c r="G572" s="118"/>
      <c r="H572" s="118"/>
    </row>
    <row r="573" spans="1:28" x14ac:dyDescent="0.2">
      <c r="C573" s="28" t="s">
        <v>910</v>
      </c>
      <c r="D573" s="118" t="s">
        <v>28</v>
      </c>
      <c r="E573" s="118"/>
      <c r="F573" s="118"/>
      <c r="G573" s="118"/>
      <c r="H573" s="118"/>
    </row>
    <row r="574" spans="1:28" x14ac:dyDescent="0.2">
      <c r="C574" s="28" t="s">
        <v>911</v>
      </c>
      <c r="D574" s="118" t="s">
        <v>28</v>
      </c>
      <c r="E574" s="118"/>
      <c r="F574" s="118"/>
      <c r="G574" s="118"/>
      <c r="H574" s="118"/>
    </row>
    <row r="575" spans="1:28" x14ac:dyDescent="0.2">
      <c r="C575" s="11" t="s">
        <v>902</v>
      </c>
      <c r="D575" s="40"/>
      <c r="E575" s="40"/>
      <c r="F575" s="40">
        <f>Source!BZ161</f>
        <v>74</v>
      </c>
      <c r="G575" s="63">
        <f>(Source!AF161+Source!AE161)*Source!FX161/100</f>
        <v>246.24980000000002</v>
      </c>
      <c r="H575" s="63">
        <f>Source!X161</f>
        <v>105.32</v>
      </c>
    </row>
    <row r="576" spans="1:28" x14ac:dyDescent="0.2">
      <c r="C576" s="11" t="s">
        <v>904</v>
      </c>
      <c r="D576" s="40"/>
      <c r="E576" s="40"/>
      <c r="F576" s="40">
        <f>Source!CA161</f>
        <v>50</v>
      </c>
      <c r="G576" s="63">
        <f>(Source!AF161+Source!AE161)*Source!FY161/100</f>
        <v>166.38500000000005</v>
      </c>
      <c r="H576" s="63">
        <f>Source!Y161</f>
        <v>71.16</v>
      </c>
    </row>
    <row r="577" spans="1:28" x14ac:dyDescent="0.2">
      <c r="C577" s="11" t="s">
        <v>906</v>
      </c>
      <c r="D577" s="40"/>
      <c r="E577" s="40"/>
      <c r="F577" s="40"/>
      <c r="G577" s="63">
        <f>((Source!AF161+Source!AE161)*Source!FX161/100)+((Source!AF161+Source!AE161)*Source!FY161/100)+Source!AB161</f>
        <v>785.60480000000007</v>
      </c>
      <c r="H577" s="63">
        <f>Source!O161+Source!X161+Source!Y161</f>
        <v>336</v>
      </c>
    </row>
    <row r="578" spans="1:28" ht="42.75" x14ac:dyDescent="0.2">
      <c r="A578" s="52">
        <v>70</v>
      </c>
      <c r="B578" s="52" t="str">
        <f>Source!E163</f>
        <v>39</v>
      </c>
      <c r="C578" s="52" t="str">
        <f>Source!G163</f>
        <v>Прокладка внутренних трубопроводов водоснабжения и отопления из полипропиленовых труб 20 мм</v>
      </c>
      <c r="D578" s="52" t="str">
        <f>Source!F163</f>
        <v>16-04-005-01</v>
      </c>
      <c r="E578" s="37" t="str">
        <f>Source!H163</f>
        <v>100 м</v>
      </c>
      <c r="F578" s="14">
        <f>Source!I163</f>
        <v>0.2</v>
      </c>
      <c r="G578" s="27">
        <f>Source!AB163</f>
        <v>1683.57</v>
      </c>
      <c r="H578" s="27">
        <f>Source!O163</f>
        <v>2057.3200000000002</v>
      </c>
      <c r="T578">
        <f>Source!O163+Source!X163+Source!Y163</f>
        <v>4467.51</v>
      </c>
      <c r="U578">
        <f>Source!P163</f>
        <v>46.39</v>
      </c>
      <c r="V578">
        <f>Source!S163</f>
        <v>1295.67</v>
      </c>
      <c r="W578">
        <f>Source!Q163</f>
        <v>715.26</v>
      </c>
      <c r="X578">
        <f>Source!R163</f>
        <v>0.13</v>
      </c>
      <c r="Y578">
        <f>Source!U163</f>
        <v>22.298500000000001</v>
      </c>
      <c r="Z578">
        <f>Source!V163</f>
        <v>2.5000000000000005E-3</v>
      </c>
      <c r="AA578">
        <f>Source!X163</f>
        <v>1490.17</v>
      </c>
      <c r="AB578">
        <f>Source!Y163</f>
        <v>920.02</v>
      </c>
    </row>
    <row r="579" spans="1:28" ht="14.25" x14ac:dyDescent="0.2">
      <c r="C579" s="28" t="str">
        <f>"Объем: "&amp;Source!I163&amp;"=20/"&amp;"100"</f>
        <v>Объем: 0,2=20/100</v>
      </c>
      <c r="F579" s="14"/>
      <c r="G579" s="14"/>
      <c r="H579" s="14"/>
    </row>
    <row r="580" spans="1:28" x14ac:dyDescent="0.2">
      <c r="C580" s="28" t="s">
        <v>898</v>
      </c>
      <c r="D580" s="28">
        <f>Source!BA163</f>
        <v>6.11</v>
      </c>
    </row>
    <row r="581" spans="1:28" x14ac:dyDescent="0.2">
      <c r="C581" s="28" t="s">
        <v>899</v>
      </c>
      <c r="D581" s="28">
        <f>Source!BB163</f>
        <v>6.11</v>
      </c>
    </row>
    <row r="582" spans="1:28" x14ac:dyDescent="0.2">
      <c r="C582" s="28" t="s">
        <v>900</v>
      </c>
      <c r="D582" s="28">
        <f>Source!BC163</f>
        <v>6.11</v>
      </c>
    </row>
    <row r="583" spans="1:28" x14ac:dyDescent="0.2">
      <c r="C583" s="28" t="s">
        <v>901</v>
      </c>
      <c r="D583" s="28">
        <f>Source!BS163</f>
        <v>6.11</v>
      </c>
    </row>
    <row r="584" spans="1:28" x14ac:dyDescent="0.2">
      <c r="C584" s="28" t="s">
        <v>907</v>
      </c>
      <c r="D584" s="118" t="s">
        <v>27</v>
      </c>
      <c r="E584" s="118"/>
      <c r="F584" s="118"/>
      <c r="G584" s="118"/>
      <c r="H584" s="118"/>
    </row>
    <row r="585" spans="1:28" x14ac:dyDescent="0.2">
      <c r="C585" s="28" t="s">
        <v>908</v>
      </c>
      <c r="D585" s="118" t="s">
        <v>27</v>
      </c>
      <c r="E585" s="118"/>
      <c r="F585" s="118"/>
      <c r="G585" s="118"/>
      <c r="H585" s="118"/>
    </row>
    <row r="586" spans="1:28" x14ac:dyDescent="0.2">
      <c r="C586" s="28" t="s">
        <v>909</v>
      </c>
      <c r="D586" s="118" t="s">
        <v>28</v>
      </c>
      <c r="E586" s="118"/>
      <c r="F586" s="118"/>
      <c r="G586" s="118"/>
      <c r="H586" s="118"/>
    </row>
    <row r="587" spans="1:28" x14ac:dyDescent="0.2">
      <c r="C587" s="28" t="s">
        <v>910</v>
      </c>
      <c r="D587" s="118" t="s">
        <v>28</v>
      </c>
      <c r="E587" s="118"/>
      <c r="F587" s="118"/>
      <c r="G587" s="118"/>
      <c r="H587" s="118"/>
    </row>
    <row r="588" spans="1:28" x14ac:dyDescent="0.2">
      <c r="C588" s="28" t="s">
        <v>911</v>
      </c>
      <c r="D588" s="118" t="s">
        <v>27</v>
      </c>
      <c r="E588" s="118"/>
      <c r="F588" s="118"/>
      <c r="G588" s="118"/>
      <c r="H588" s="118"/>
    </row>
    <row r="589" spans="1:28" x14ac:dyDescent="0.2">
      <c r="C589" s="11" t="s">
        <v>902</v>
      </c>
      <c r="D589" s="40"/>
      <c r="E589" s="40"/>
      <c r="F589" s="40">
        <f>Source!BZ163</f>
        <v>128</v>
      </c>
      <c r="G589" s="63">
        <f>(Source!AF163+Source!AE163)*Source!FX163/100</f>
        <v>1221.5808</v>
      </c>
      <c r="H589" s="63">
        <f>Source!X163</f>
        <v>1490.17</v>
      </c>
    </row>
    <row r="590" spans="1:28" x14ac:dyDescent="0.2">
      <c r="C590" s="11" t="s">
        <v>903</v>
      </c>
      <c r="D590" s="40"/>
      <c r="E590" s="40"/>
      <c r="F590" s="40"/>
      <c r="G590" s="40" t="str">
        <f>CONCATENATE(Source!DL163,Source!FT163, "=", Source!FX163, "%")</f>
        <v>*0,9=115,2%</v>
      </c>
      <c r="H590" s="40" t="str">
        <f>CONCATENATE(Source!AT163)</f>
        <v>115</v>
      </c>
    </row>
    <row r="591" spans="1:28" x14ac:dyDescent="0.2">
      <c r="C591" s="11" t="s">
        <v>904</v>
      </c>
      <c r="D591" s="40"/>
      <c r="E591" s="40"/>
      <c r="F591" s="40">
        <f>Source!CA163</f>
        <v>83</v>
      </c>
      <c r="G591" s="63">
        <f>(Source!AF163+Source!AE163)*Source!FY163/100</f>
        <v>748.11219999999992</v>
      </c>
      <c r="H591" s="63">
        <f>Source!Y163</f>
        <v>920.02</v>
      </c>
    </row>
    <row r="592" spans="1:28" x14ac:dyDescent="0.2">
      <c r="C592" s="11" t="s">
        <v>905</v>
      </c>
      <c r="D592" s="40"/>
      <c r="E592" s="40"/>
      <c r="F592" s="40"/>
      <c r="G592" s="40" t="str">
        <f>CONCATENATE(Source!DM163,Source!FU163, "=", Source!FY163, "%")</f>
        <v>*0,85=70,55%</v>
      </c>
      <c r="H592" s="40" t="str">
        <f>CONCATENATE(Source!AU163)</f>
        <v>71</v>
      </c>
    </row>
    <row r="593" spans="1:28" x14ac:dyDescent="0.2">
      <c r="C593" s="11" t="s">
        <v>906</v>
      </c>
      <c r="D593" s="40"/>
      <c r="E593" s="40"/>
      <c r="F593" s="40"/>
      <c r="G593" s="63">
        <f>((Source!AF163+Source!AE163)*Source!FX163/100)+((Source!AF163+Source!AE163)*Source!FY163/100)+Source!AB163</f>
        <v>3653.2629999999999</v>
      </c>
      <c r="H593" s="63">
        <f>Source!O163+Source!X163+Source!Y163</f>
        <v>4467.51</v>
      </c>
    </row>
    <row r="594" spans="1:28" ht="28.5" x14ac:dyDescent="0.2">
      <c r="A594" s="52">
        <v>71</v>
      </c>
      <c r="B594" s="52" t="str">
        <f>Source!E165</f>
        <v>39,1</v>
      </c>
      <c r="C594" s="52" t="str">
        <f>Source!G165</f>
        <v>Хомуты для крепления труб</v>
      </c>
      <c r="D594" s="52" t="str">
        <f>Source!F165</f>
        <v>24.1.02.01-0113</v>
      </c>
      <c r="E594" s="37" t="str">
        <f>Source!H165</f>
        <v>шт.</v>
      </c>
      <c r="F594" s="14">
        <f>Source!I165</f>
        <v>28</v>
      </c>
      <c r="G594" s="27">
        <f>Source!AB165</f>
        <v>8.09</v>
      </c>
      <c r="H594" s="27">
        <f>Source!O165</f>
        <v>1384.04</v>
      </c>
      <c r="T594">
        <f>Source!O165+Source!X165+Source!Y165</f>
        <v>1384.04</v>
      </c>
      <c r="U594">
        <f>Source!P165</f>
        <v>1384.04</v>
      </c>
      <c r="V594">
        <f>Source!S165</f>
        <v>0</v>
      </c>
      <c r="W594">
        <f>Source!Q165</f>
        <v>0</v>
      </c>
      <c r="X594">
        <f>Source!R165</f>
        <v>0</v>
      </c>
      <c r="Y594">
        <f>Source!U165</f>
        <v>0</v>
      </c>
      <c r="Z594">
        <f>Source!V165</f>
        <v>0</v>
      </c>
      <c r="AA594">
        <f>Source!X165</f>
        <v>0</v>
      </c>
      <c r="AB594">
        <f>Source!Y165</f>
        <v>0</v>
      </c>
    </row>
    <row r="595" spans="1:28" ht="14.25" x14ac:dyDescent="0.2">
      <c r="C595" s="28" t="s">
        <v>900</v>
      </c>
      <c r="D595" s="28">
        <f>Source!BC165</f>
        <v>6.11</v>
      </c>
      <c r="F595" s="14"/>
      <c r="G595" s="14"/>
      <c r="H595" s="14"/>
    </row>
    <row r="596" spans="1:28" ht="85.5" x14ac:dyDescent="0.2">
      <c r="A596" s="52">
        <v>72</v>
      </c>
      <c r="B596" s="52" t="str">
        <f>Source!E167</f>
        <v>39,2</v>
      </c>
      <c r="C596" s="52" t="str">
        <f>Source!G167</f>
        <v>Трубопроводы напорные из полипропилена PPRS с гильзами и креплениями для холодного и горячего водоснабжения PN10 SDR 11, диаметром 20 мм, толщина стенки 1,9 мм</v>
      </c>
      <c r="D596" s="52" t="str">
        <f>Source!F167</f>
        <v>24.3.02.01-0002</v>
      </c>
      <c r="E596" s="37" t="str">
        <f>Source!H167</f>
        <v>м</v>
      </c>
      <c r="F596" s="14">
        <f>Source!I167</f>
        <v>20.100000000000001</v>
      </c>
      <c r="G596" s="27">
        <f>Source!AB167</f>
        <v>4.5999999999999996</v>
      </c>
      <c r="H596" s="27">
        <f>Source!O167</f>
        <v>564.92999999999995</v>
      </c>
      <c r="T596">
        <f>Source!O167+Source!X167+Source!Y167</f>
        <v>564.92999999999995</v>
      </c>
      <c r="U596">
        <f>Source!P167</f>
        <v>564.92999999999995</v>
      </c>
      <c r="V596">
        <f>Source!S167</f>
        <v>0</v>
      </c>
      <c r="W596">
        <f>Source!Q167</f>
        <v>0</v>
      </c>
      <c r="X596">
        <f>Source!R167</f>
        <v>0</v>
      </c>
      <c r="Y596">
        <f>Source!U167</f>
        <v>0</v>
      </c>
      <c r="Z596">
        <f>Source!V167</f>
        <v>0</v>
      </c>
      <c r="AA596">
        <f>Source!X167</f>
        <v>0</v>
      </c>
      <c r="AB596">
        <f>Source!Y167</f>
        <v>0</v>
      </c>
    </row>
    <row r="597" spans="1:28" ht="14.25" x14ac:dyDescent="0.2">
      <c r="C597" s="28" t="s">
        <v>900</v>
      </c>
      <c r="D597" s="28">
        <f>Source!BC167</f>
        <v>6.11</v>
      </c>
      <c r="F597" s="14"/>
      <c r="G597" s="14"/>
      <c r="H597" s="14"/>
    </row>
    <row r="598" spans="1:28" ht="42.75" x14ac:dyDescent="0.2">
      <c r="A598" s="52">
        <v>73</v>
      </c>
      <c r="B598" s="52" t="str">
        <f>Source!E169</f>
        <v>40</v>
      </c>
      <c r="C598" s="52" t="str">
        <f>Source!G169</f>
        <v>Прокладка внутренних трубопроводов канализации из полипропиленовых труб диаметром 110 мм</v>
      </c>
      <c r="D598" s="52" t="str">
        <f>Source!F169</f>
        <v>16-04-004-02</v>
      </c>
      <c r="E598" s="37" t="str">
        <f>Source!H169</f>
        <v>100 м</v>
      </c>
      <c r="F598" s="14">
        <f>Source!I169</f>
        <v>0.12</v>
      </c>
      <c r="G598" s="27">
        <f>Source!AB169</f>
        <v>690.28</v>
      </c>
      <c r="H598" s="27">
        <f>Source!O169</f>
        <v>506.11</v>
      </c>
      <c r="T598">
        <f>Source!O169+Source!X169+Source!Y169</f>
        <v>1338.5900000000001</v>
      </c>
      <c r="U598">
        <f>Source!P169</f>
        <v>30.33</v>
      </c>
      <c r="V598">
        <f>Source!S169</f>
        <v>442.5</v>
      </c>
      <c r="W598">
        <f>Source!Q169</f>
        <v>33.28</v>
      </c>
      <c r="X598">
        <f>Source!R169</f>
        <v>5.07</v>
      </c>
      <c r="Y598">
        <f>Source!U169</f>
        <v>7.7045399999999988</v>
      </c>
      <c r="Z598">
        <f>Source!V169</f>
        <v>6.9000000000000006E-2</v>
      </c>
      <c r="AA598">
        <f>Source!X169</f>
        <v>514.71</v>
      </c>
      <c r="AB598">
        <f>Source!Y169</f>
        <v>317.77</v>
      </c>
    </row>
    <row r="599" spans="1:28" ht="14.25" x14ac:dyDescent="0.2">
      <c r="C599" s="28" t="str">
        <f>"Объем: "&amp;Source!I169&amp;"=12/"&amp;"100"</f>
        <v>Объем: 0,12=12/100</v>
      </c>
      <c r="F599" s="14"/>
      <c r="G599" s="14"/>
      <c r="H599" s="14"/>
    </row>
    <row r="600" spans="1:28" x14ac:dyDescent="0.2">
      <c r="C600" s="28" t="s">
        <v>898</v>
      </c>
      <c r="D600" s="28">
        <f>Source!BA169</f>
        <v>6.11</v>
      </c>
    </row>
    <row r="601" spans="1:28" x14ac:dyDescent="0.2">
      <c r="C601" s="28" t="s">
        <v>899</v>
      </c>
      <c r="D601" s="28">
        <f>Source!BB169</f>
        <v>6.11</v>
      </c>
    </row>
    <row r="602" spans="1:28" x14ac:dyDescent="0.2">
      <c r="C602" s="28" t="s">
        <v>900</v>
      </c>
      <c r="D602" s="28">
        <f>Source!BC169</f>
        <v>6.11</v>
      </c>
    </row>
    <row r="603" spans="1:28" x14ac:dyDescent="0.2">
      <c r="C603" s="28" t="s">
        <v>901</v>
      </c>
      <c r="D603" s="28">
        <f>Source!BS169</f>
        <v>6.11</v>
      </c>
    </row>
    <row r="604" spans="1:28" x14ac:dyDescent="0.2">
      <c r="C604" s="28" t="s">
        <v>907</v>
      </c>
      <c r="D604" s="118" t="s">
        <v>27</v>
      </c>
      <c r="E604" s="118"/>
      <c r="F604" s="118"/>
      <c r="G604" s="118"/>
      <c r="H604" s="118"/>
    </row>
    <row r="605" spans="1:28" x14ac:dyDescent="0.2">
      <c r="C605" s="28" t="s">
        <v>908</v>
      </c>
      <c r="D605" s="118" t="s">
        <v>27</v>
      </c>
      <c r="E605" s="118"/>
      <c r="F605" s="118"/>
      <c r="G605" s="118"/>
      <c r="H605" s="118"/>
    </row>
    <row r="606" spans="1:28" x14ac:dyDescent="0.2">
      <c r="C606" s="28" t="s">
        <v>909</v>
      </c>
      <c r="D606" s="118" t="s">
        <v>28</v>
      </c>
      <c r="E606" s="118"/>
      <c r="F606" s="118"/>
      <c r="G606" s="118"/>
      <c r="H606" s="118"/>
    </row>
    <row r="607" spans="1:28" x14ac:dyDescent="0.2">
      <c r="C607" s="28" t="s">
        <v>910</v>
      </c>
      <c r="D607" s="118" t="s">
        <v>28</v>
      </c>
      <c r="E607" s="118"/>
      <c r="F607" s="118"/>
      <c r="G607" s="118"/>
      <c r="H607" s="118"/>
    </row>
    <row r="608" spans="1:28" x14ac:dyDescent="0.2">
      <c r="C608" s="28" t="s">
        <v>911</v>
      </c>
      <c r="D608" s="118" t="s">
        <v>27</v>
      </c>
      <c r="E608" s="118"/>
      <c r="F608" s="118"/>
      <c r="G608" s="118"/>
      <c r="H608" s="118"/>
    </row>
    <row r="609" spans="1:28" x14ac:dyDescent="0.2">
      <c r="C609" s="11" t="s">
        <v>902</v>
      </c>
      <c r="D609" s="40"/>
      <c r="E609" s="40"/>
      <c r="F609" s="40">
        <f>Source!BZ169</f>
        <v>128</v>
      </c>
      <c r="G609" s="63">
        <f>(Source!AF169+Source!AE169)*Source!FX169/100</f>
        <v>703.21535999999992</v>
      </c>
      <c r="H609" s="63">
        <f>Source!X169</f>
        <v>514.71</v>
      </c>
    </row>
    <row r="610" spans="1:28" x14ac:dyDescent="0.2">
      <c r="C610" s="11" t="s">
        <v>903</v>
      </c>
      <c r="D610" s="40"/>
      <c r="E610" s="40"/>
      <c r="F610" s="40"/>
      <c r="G610" s="40" t="str">
        <f>CONCATENATE(Source!DL169,Source!FT169, "=", Source!FX169, "%")</f>
        <v>*0,9=115,2%</v>
      </c>
      <c r="H610" s="40" t="str">
        <f>CONCATENATE(Source!AT169)</f>
        <v>115</v>
      </c>
    </row>
    <row r="611" spans="1:28" x14ac:dyDescent="0.2">
      <c r="C611" s="11" t="s">
        <v>904</v>
      </c>
      <c r="D611" s="40"/>
      <c r="E611" s="40"/>
      <c r="F611" s="40">
        <f>Source!CA169</f>
        <v>83</v>
      </c>
      <c r="G611" s="63">
        <f>(Source!AF169+Source!AE169)*Source!FY169/100</f>
        <v>430.658365</v>
      </c>
      <c r="H611" s="63">
        <f>Source!Y169</f>
        <v>317.77</v>
      </c>
    </row>
    <row r="612" spans="1:28" x14ac:dyDescent="0.2">
      <c r="C612" s="11" t="s">
        <v>905</v>
      </c>
      <c r="D612" s="40"/>
      <c r="E612" s="40"/>
      <c r="F612" s="40"/>
      <c r="G612" s="40" t="str">
        <f>CONCATENATE(Source!DM169,Source!FU169, "=", Source!FY169, "%")</f>
        <v>*0,85=70,55%</v>
      </c>
      <c r="H612" s="40" t="str">
        <f>CONCATENATE(Source!AU169)</f>
        <v>71</v>
      </c>
    </row>
    <row r="613" spans="1:28" x14ac:dyDescent="0.2">
      <c r="C613" s="11" t="s">
        <v>906</v>
      </c>
      <c r="D613" s="40"/>
      <c r="E613" s="40"/>
      <c r="F613" s="40"/>
      <c r="G613" s="63">
        <f>((Source!AF169+Source!AE169)*Source!FX169/100)+((Source!AF169+Source!AE169)*Source!FY169/100)+Source!AB169</f>
        <v>1824.1537249999999</v>
      </c>
      <c r="H613" s="63">
        <f>Source!O169+Source!X169+Source!Y169</f>
        <v>1338.5900000000001</v>
      </c>
    </row>
    <row r="614" spans="1:28" ht="28.5" x14ac:dyDescent="0.2">
      <c r="A614" s="52">
        <v>74</v>
      </c>
      <c r="B614" s="52" t="str">
        <f>Source!E171</f>
        <v>40,1</v>
      </c>
      <c r="C614" s="52" t="str">
        <f>Source!G171</f>
        <v>Трубы безнапорные канализационные из полипропилена, диаметром 110 мм</v>
      </c>
      <c r="D614" s="52" t="str">
        <f>Source!F171</f>
        <v>24.3.02.02-0004</v>
      </c>
      <c r="E614" s="37" t="str">
        <f>Source!H171</f>
        <v>м</v>
      </c>
      <c r="F614" s="14">
        <f>Source!I171</f>
        <v>11.976000000000001</v>
      </c>
      <c r="G614" s="27">
        <f>Source!AB171</f>
        <v>43.52</v>
      </c>
      <c r="H614" s="27">
        <f>Source!O171</f>
        <v>3184.5</v>
      </c>
      <c r="T614">
        <f>Source!O171+Source!X171+Source!Y171</f>
        <v>3184.5</v>
      </c>
      <c r="U614">
        <f>Source!P171</f>
        <v>3184.5</v>
      </c>
      <c r="V614">
        <f>Source!S171</f>
        <v>0</v>
      </c>
      <c r="W614">
        <f>Source!Q171</f>
        <v>0</v>
      </c>
      <c r="X614">
        <f>Source!R171</f>
        <v>0</v>
      </c>
      <c r="Y614">
        <f>Source!U171</f>
        <v>0</v>
      </c>
      <c r="Z614">
        <f>Source!V171</f>
        <v>0</v>
      </c>
      <c r="AA614">
        <f>Source!X171</f>
        <v>0</v>
      </c>
      <c r="AB614">
        <f>Source!Y171</f>
        <v>0</v>
      </c>
    </row>
    <row r="615" spans="1:28" ht="14.25" x14ac:dyDescent="0.2">
      <c r="C615" s="28" t="s">
        <v>900</v>
      </c>
      <c r="D615" s="28">
        <f>Source!BC171</f>
        <v>6.11</v>
      </c>
      <c r="F615" s="14"/>
      <c r="G615" s="14"/>
      <c r="H615" s="14"/>
    </row>
    <row r="616" spans="1:28" ht="28.5" x14ac:dyDescent="0.2">
      <c r="A616" s="52">
        <v>75</v>
      </c>
      <c r="B616" s="52" t="str">
        <f>Source!E173</f>
        <v>40,2</v>
      </c>
      <c r="C616" s="52" t="str">
        <f>Source!G173</f>
        <v>Трубы безнапорные канализационные из полипропилена</v>
      </c>
      <c r="D616" s="52" t="str">
        <f>Source!F173</f>
        <v>24.3.02.02</v>
      </c>
      <c r="E616" s="37" t="str">
        <f>Source!H173</f>
        <v>м</v>
      </c>
      <c r="F616" s="14">
        <f>Source!I173</f>
        <v>11.976000000000001</v>
      </c>
      <c r="G616" s="27">
        <f>Source!AB173</f>
        <v>0</v>
      </c>
      <c r="H616" s="27">
        <f>Source!O173</f>
        <v>0</v>
      </c>
      <c r="T616">
        <f>Source!O173+Source!X173+Source!Y173</f>
        <v>0</v>
      </c>
      <c r="U616">
        <f>Source!P173</f>
        <v>0</v>
      </c>
      <c r="V616">
        <f>Source!S173</f>
        <v>0</v>
      </c>
      <c r="W616">
        <f>Source!Q173</f>
        <v>0</v>
      </c>
      <c r="X616">
        <f>Source!R173</f>
        <v>0</v>
      </c>
      <c r="Y616">
        <f>Source!U173</f>
        <v>0</v>
      </c>
      <c r="Z616">
        <f>Source!V173</f>
        <v>0</v>
      </c>
      <c r="AA616">
        <f>Source!X173</f>
        <v>0</v>
      </c>
      <c r="AB616">
        <f>Source!Y173</f>
        <v>0</v>
      </c>
    </row>
    <row r="617" spans="1:28" ht="14.25" x14ac:dyDescent="0.2">
      <c r="C617" s="28" t="s">
        <v>900</v>
      </c>
      <c r="D617" s="28">
        <f>Source!BC173</f>
        <v>6.11</v>
      </c>
      <c r="F617" s="14"/>
      <c r="G617" s="14"/>
      <c r="H617" s="14"/>
    </row>
    <row r="619" spans="1:28" ht="15" x14ac:dyDescent="0.25">
      <c r="A619" s="64"/>
      <c r="B619" s="64"/>
      <c r="C619" s="94" t="str">
        <f>CONCATENATE("Итого по локальной смете: ",IF(Source!G175&lt;&gt;"Новая локальная смета", Source!G175, ""))</f>
        <v xml:space="preserve">Итого по локальной смете: </v>
      </c>
      <c r="D619" s="94"/>
      <c r="E619" s="94"/>
      <c r="F619" s="94"/>
      <c r="G619" s="64"/>
      <c r="H619" s="65">
        <f>IF(SUM(T37:T618)=0, "-", SUM(T37:T618))</f>
        <v>408805.91999999993</v>
      </c>
    </row>
    <row r="620" spans="1:28" ht="15" x14ac:dyDescent="0.25">
      <c r="A620" s="64"/>
      <c r="B620" s="64"/>
      <c r="C620" s="64"/>
      <c r="D620" s="64"/>
      <c r="E620" s="64"/>
      <c r="F620" s="64"/>
      <c r="G620" s="64"/>
      <c r="H620" s="64"/>
    </row>
    <row r="622" spans="1:28" ht="14.25" x14ac:dyDescent="0.2">
      <c r="C622" s="121" t="str">
        <f>Source!H203</f>
        <v>Всего с НР и СП</v>
      </c>
      <c r="D622" s="121"/>
      <c r="E622" s="121"/>
      <c r="F622" s="121"/>
      <c r="G622" s="82">
        <f>IF(Source!P203=0, "", Source!P203)</f>
        <v>408805.92</v>
      </c>
      <c r="H622" s="82"/>
    </row>
    <row r="623" spans="1:28" ht="14.25" x14ac:dyDescent="0.2">
      <c r="C623" s="121" t="str">
        <f>Source!H204</f>
        <v>НДС 18%</v>
      </c>
      <c r="D623" s="121"/>
      <c r="E623" s="121"/>
      <c r="F623" s="121"/>
      <c r="G623" s="82">
        <f>IF(Source!P204=0, "", Source!P204)</f>
        <v>73585.070000000007</v>
      </c>
      <c r="H623" s="82"/>
    </row>
    <row r="624" spans="1:28" ht="14.25" x14ac:dyDescent="0.2">
      <c r="C624" s="121" t="str">
        <f>Source!H205</f>
        <v>Всего по смете</v>
      </c>
      <c r="D624" s="121"/>
      <c r="E624" s="121"/>
      <c r="F624" s="121"/>
      <c r="G624" s="82">
        <f>IF(Source!P205=0, "", Source!P205)</f>
        <v>482390.99</v>
      </c>
      <c r="H624" s="82"/>
    </row>
    <row r="626" spans="1:33" ht="60" x14ac:dyDescent="0.25">
      <c r="A626" s="64"/>
      <c r="B626" s="64"/>
      <c r="C626" s="94" t="str">
        <f>CONCATENATE("Итого по смете: ",IF(Source!G207&lt;&gt;"Новый объект", Source!G207, ""))</f>
        <v>Итого по смете: Капитальный ремонт помещения женского санузла 2-го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  <c r="D626" s="94"/>
      <c r="E626" s="94"/>
      <c r="F626" s="94"/>
      <c r="G626" s="64"/>
      <c r="H626" s="65">
        <f>IF(SUM(T1:T625)=0, "-", SUM(T1:T625))</f>
        <v>408805.91999999993</v>
      </c>
      <c r="AG626" s="66" t="str">
        <f>CONCATENATE("Итого по смете: ",IF(Source!G207&lt;&gt;"Новый объект", Source!G207, ""))</f>
        <v>Итого по смете: Капитальный ремонт помещения женского санузла 2-го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</row>
    <row r="627" spans="1:33" ht="15" x14ac:dyDescent="0.25">
      <c r="A627" s="64"/>
      <c r="B627" s="64"/>
      <c r="C627" s="64"/>
      <c r="D627" s="64"/>
      <c r="E627" s="64"/>
      <c r="F627" s="64"/>
      <c r="G627" s="64"/>
      <c r="H627" s="64"/>
    </row>
    <row r="628" spans="1:33" ht="14.25" x14ac:dyDescent="0.2">
      <c r="C628" s="121" t="str">
        <f>Source!H235</f>
        <v>Всего с НР и СП</v>
      </c>
      <c r="D628" s="121"/>
      <c r="E628" s="121"/>
      <c r="F628" s="121"/>
      <c r="G628" s="82">
        <f>IF(Source!P235=0, "", Source!P235)</f>
        <v>408805.92</v>
      </c>
      <c r="H628" s="82"/>
    </row>
    <row r="629" spans="1:33" ht="14.25" x14ac:dyDescent="0.2">
      <c r="C629" s="121" t="str">
        <f>Source!H236</f>
        <v>НДС 18%</v>
      </c>
      <c r="D629" s="121"/>
      <c r="E629" s="121"/>
      <c r="F629" s="121"/>
      <c r="G629" s="82">
        <f>IF(Source!P236=0, "", Source!P236)</f>
        <v>73585.070000000007</v>
      </c>
      <c r="H629" s="82"/>
    </row>
    <row r="630" spans="1:33" ht="14.25" x14ac:dyDescent="0.2">
      <c r="C630" s="121" t="str">
        <f>Source!H237</f>
        <v>Всего по смете</v>
      </c>
      <c r="D630" s="121"/>
      <c r="E630" s="121"/>
      <c r="F630" s="121"/>
      <c r="G630" s="82">
        <f>IF(Source!P237=0, "", Source!P237)</f>
        <v>482390.99</v>
      </c>
      <c r="H630" s="82"/>
    </row>
    <row r="633" spans="1:33" ht="15" thickBot="1" x14ac:dyDescent="0.25">
      <c r="A633" s="123" t="s">
        <v>915</v>
      </c>
      <c r="B633" s="123"/>
      <c r="C633" s="67" t="str">
        <f>IF(Source!AC12&lt;&gt;"", Source!AC12," ")</f>
        <v xml:space="preserve"> </v>
      </c>
      <c r="D633" s="14"/>
      <c r="E633" s="68"/>
      <c r="F633" s="14"/>
      <c r="G633" s="124" t="str">
        <f>IF(Source!AB12&lt;&gt;"", Source!AB12," ")</f>
        <v xml:space="preserve"> </v>
      </c>
      <c r="H633" s="124"/>
      <c r="I633" s="14"/>
      <c r="J633" s="14"/>
      <c r="K633" s="14"/>
      <c r="L633" s="14"/>
    </row>
    <row r="634" spans="1:33" ht="14.25" x14ac:dyDescent="0.2">
      <c r="A634" s="14"/>
      <c r="B634" s="14"/>
      <c r="C634" s="69" t="s">
        <v>916</v>
      </c>
      <c r="D634" s="14"/>
      <c r="E634" s="69" t="s">
        <v>917</v>
      </c>
      <c r="F634" s="14"/>
      <c r="G634" s="122" t="s">
        <v>918</v>
      </c>
      <c r="H634" s="122"/>
      <c r="I634" s="14"/>
      <c r="J634" s="14"/>
      <c r="K634" s="14"/>
      <c r="L634" s="14"/>
    </row>
    <row r="635" spans="1:33" ht="14.25" x14ac:dyDescent="0.2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</row>
    <row r="636" spans="1:33" ht="14.25" x14ac:dyDescent="0.2">
      <c r="A636" s="14"/>
      <c r="B636" s="14"/>
      <c r="C636" s="18" t="s">
        <v>919</v>
      </c>
      <c r="D636" s="14"/>
      <c r="E636" s="14"/>
      <c r="F636" s="14"/>
      <c r="G636" s="14"/>
      <c r="H636" s="14"/>
      <c r="I636" s="14"/>
      <c r="J636" s="14"/>
      <c r="K636" s="14"/>
      <c r="L636" s="14"/>
    </row>
    <row r="637" spans="1:33" ht="14.25" x14ac:dyDescent="0.2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</row>
    <row r="638" spans="1:33" ht="15" thickBot="1" x14ac:dyDescent="0.25">
      <c r="A638" s="123" t="s">
        <v>920</v>
      </c>
      <c r="B638" s="123"/>
      <c r="C638" s="67" t="str">
        <f>IF(Source!AG12&lt;&gt;"", Source!AG12," ")</f>
        <v xml:space="preserve"> </v>
      </c>
      <c r="D638" s="14"/>
      <c r="E638" s="68"/>
      <c r="F638" s="14"/>
      <c r="G638" s="124" t="str">
        <f>IF(Source!AF12&lt;&gt;"", Source!AF12," ")</f>
        <v xml:space="preserve"> </v>
      </c>
      <c r="H638" s="124"/>
      <c r="I638" s="14"/>
      <c r="J638" s="14"/>
      <c r="K638" s="14"/>
      <c r="L638" s="14"/>
    </row>
    <row r="639" spans="1:33" ht="14.25" x14ac:dyDescent="0.2">
      <c r="A639" s="14"/>
      <c r="B639" s="14"/>
      <c r="C639" s="69" t="s">
        <v>916</v>
      </c>
      <c r="D639" s="14"/>
      <c r="E639" s="69" t="s">
        <v>917</v>
      </c>
      <c r="F639" s="14"/>
      <c r="G639" s="122" t="s">
        <v>918</v>
      </c>
      <c r="H639" s="122"/>
      <c r="I639" s="14"/>
      <c r="J639" s="14"/>
      <c r="K639" s="14"/>
      <c r="L639" s="14"/>
    </row>
    <row r="640" spans="1:33" ht="14.25" x14ac:dyDescent="0.2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</row>
    <row r="641" spans="1:12" ht="14.25" x14ac:dyDescent="0.2">
      <c r="A641" s="14"/>
      <c r="B641" s="14"/>
      <c r="C641" s="18" t="s">
        <v>919</v>
      </c>
      <c r="D641" s="14"/>
      <c r="E641" s="14"/>
      <c r="F641" s="14"/>
      <c r="G641" s="14"/>
      <c r="H641" s="14"/>
      <c r="I641" s="14"/>
      <c r="J641" s="14"/>
      <c r="K641" s="14"/>
      <c r="L641" s="14"/>
    </row>
  </sheetData>
  <mergeCells count="175">
    <mergeCell ref="G634:H634"/>
    <mergeCell ref="A638:B638"/>
    <mergeCell ref="G638:H638"/>
    <mergeCell ref="G639:H639"/>
    <mergeCell ref="C629:F629"/>
    <mergeCell ref="G629:H629"/>
    <mergeCell ref="C630:F630"/>
    <mergeCell ref="G630:H630"/>
    <mergeCell ref="A633:B633"/>
    <mergeCell ref="G633:H633"/>
    <mergeCell ref="C623:F623"/>
    <mergeCell ref="G623:H623"/>
    <mergeCell ref="C624:F624"/>
    <mergeCell ref="G624:H624"/>
    <mergeCell ref="C626:F626"/>
    <mergeCell ref="C628:F628"/>
    <mergeCell ref="G628:H628"/>
    <mergeCell ref="D605:H605"/>
    <mergeCell ref="D606:H606"/>
    <mergeCell ref="D607:H607"/>
    <mergeCell ref="D608:H608"/>
    <mergeCell ref="C619:F619"/>
    <mergeCell ref="C622:F622"/>
    <mergeCell ref="G622:H622"/>
    <mergeCell ref="D584:H584"/>
    <mergeCell ref="D585:H585"/>
    <mergeCell ref="D586:H586"/>
    <mergeCell ref="D587:H587"/>
    <mergeCell ref="D588:H588"/>
    <mergeCell ref="D604:H604"/>
    <mergeCell ref="D554:H554"/>
    <mergeCell ref="D570:H570"/>
    <mergeCell ref="D571:H571"/>
    <mergeCell ref="D572:H572"/>
    <mergeCell ref="D573:H573"/>
    <mergeCell ref="D574:H574"/>
    <mergeCell ref="D533:H533"/>
    <mergeCell ref="D534:H534"/>
    <mergeCell ref="D550:H550"/>
    <mergeCell ref="D551:H551"/>
    <mergeCell ref="D552:H552"/>
    <mergeCell ref="D553:H553"/>
    <mergeCell ref="D510:H510"/>
    <mergeCell ref="D511:H511"/>
    <mergeCell ref="D512:H512"/>
    <mergeCell ref="D530:H530"/>
    <mergeCell ref="D531:H531"/>
    <mergeCell ref="D532:H532"/>
    <mergeCell ref="D473:H473"/>
    <mergeCell ref="D474:H474"/>
    <mergeCell ref="D475:H475"/>
    <mergeCell ref="D476:H476"/>
    <mergeCell ref="D508:H508"/>
    <mergeCell ref="D509:H509"/>
    <mergeCell ref="D432:H432"/>
    <mergeCell ref="D433:H433"/>
    <mergeCell ref="D434:H434"/>
    <mergeCell ref="D435:H435"/>
    <mergeCell ref="D436:H436"/>
    <mergeCell ref="D472:H472"/>
    <mergeCell ref="D393:H393"/>
    <mergeCell ref="D394:H394"/>
    <mergeCell ref="D395:H395"/>
    <mergeCell ref="D396:H396"/>
    <mergeCell ref="D397:H397"/>
    <mergeCell ref="D398:H398"/>
    <mergeCell ref="D350:H350"/>
    <mergeCell ref="D362:H362"/>
    <mergeCell ref="D363:H363"/>
    <mergeCell ref="D364:H364"/>
    <mergeCell ref="D365:H365"/>
    <mergeCell ref="D366:H366"/>
    <mergeCell ref="D296:H296"/>
    <mergeCell ref="D345:H345"/>
    <mergeCell ref="D346:H346"/>
    <mergeCell ref="D347:H347"/>
    <mergeCell ref="D348:H348"/>
    <mergeCell ref="D349:H349"/>
    <mergeCell ref="D266:H266"/>
    <mergeCell ref="D267:H267"/>
    <mergeCell ref="D292:H292"/>
    <mergeCell ref="D293:H293"/>
    <mergeCell ref="D294:H294"/>
    <mergeCell ref="D295:H295"/>
    <mergeCell ref="D243:H243"/>
    <mergeCell ref="D244:H244"/>
    <mergeCell ref="D245:H245"/>
    <mergeCell ref="D263:H263"/>
    <mergeCell ref="D264:H264"/>
    <mergeCell ref="D265:H265"/>
    <mergeCell ref="D226:H226"/>
    <mergeCell ref="D227:H227"/>
    <mergeCell ref="D228:H228"/>
    <mergeCell ref="D229:H229"/>
    <mergeCell ref="D241:H241"/>
    <mergeCell ref="D242:H242"/>
    <mergeCell ref="D207:H207"/>
    <mergeCell ref="D208:H208"/>
    <mergeCell ref="D209:H209"/>
    <mergeCell ref="D210:H210"/>
    <mergeCell ref="D211:H211"/>
    <mergeCell ref="D225:H225"/>
    <mergeCell ref="D163:H163"/>
    <mergeCell ref="D164:H164"/>
    <mergeCell ref="D185:H185"/>
    <mergeCell ref="D186:H186"/>
    <mergeCell ref="D196:H196"/>
    <mergeCell ref="D197:H197"/>
    <mergeCell ref="D133:H133"/>
    <mergeCell ref="D134:H134"/>
    <mergeCell ref="D135:H135"/>
    <mergeCell ref="D160:H160"/>
    <mergeCell ref="D161:H161"/>
    <mergeCell ref="D162:H162"/>
    <mergeCell ref="D115:H115"/>
    <mergeCell ref="D116:H116"/>
    <mergeCell ref="D117:H117"/>
    <mergeCell ref="D130:H130"/>
    <mergeCell ref="D131:H131"/>
    <mergeCell ref="D132:H132"/>
    <mergeCell ref="D92:H92"/>
    <mergeCell ref="D93:H93"/>
    <mergeCell ref="D94:H94"/>
    <mergeCell ref="D95:H95"/>
    <mergeCell ref="D113:H113"/>
    <mergeCell ref="D114:H114"/>
    <mergeCell ref="D73:H73"/>
    <mergeCell ref="D74:H74"/>
    <mergeCell ref="D75:H75"/>
    <mergeCell ref="D76:H76"/>
    <mergeCell ref="D77:H77"/>
    <mergeCell ref="D91:H91"/>
    <mergeCell ref="A37:H37"/>
    <mergeCell ref="D55:H55"/>
    <mergeCell ref="D56:H56"/>
    <mergeCell ref="D57:H57"/>
    <mergeCell ref="D58:H58"/>
    <mergeCell ref="D59:H59"/>
    <mergeCell ref="F31:G31"/>
    <mergeCell ref="A33:B33"/>
    <mergeCell ref="C33:C34"/>
    <mergeCell ref="D33:D34"/>
    <mergeCell ref="E33:E34"/>
    <mergeCell ref="F33:H3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25" t="str">
        <f>Source!B1</f>
        <v>Smeta.RU  (495) 974-1589</v>
      </c>
      <c r="B1" s="125"/>
      <c r="C1" s="125"/>
      <c r="D1" s="125"/>
      <c r="E1" s="14"/>
      <c r="F1" s="14"/>
      <c r="G1" s="14"/>
      <c r="H1" s="96" t="s">
        <v>921</v>
      </c>
      <c r="I1" s="96"/>
      <c r="J1" s="96"/>
      <c r="K1" s="96"/>
      <c r="L1" s="96"/>
    </row>
    <row r="2" spans="1:12" ht="14.25" x14ac:dyDescent="0.2">
      <c r="A2" s="14"/>
      <c r="B2" s="14"/>
      <c r="C2" s="14"/>
      <c r="D2" s="14"/>
      <c r="E2" s="14"/>
      <c r="F2" s="14"/>
      <c r="G2" s="14"/>
      <c r="H2" s="96" t="s">
        <v>860</v>
      </c>
      <c r="I2" s="96"/>
      <c r="J2" s="96"/>
      <c r="K2" s="96"/>
      <c r="L2" s="96"/>
    </row>
    <row r="3" spans="1:12" ht="14.25" x14ac:dyDescent="0.2">
      <c r="A3" s="14"/>
      <c r="B3" s="14"/>
      <c r="C3" s="14"/>
      <c r="D3" s="14"/>
      <c r="E3" s="14"/>
      <c r="F3" s="14"/>
      <c r="G3" s="14"/>
      <c r="H3" s="96" t="s">
        <v>861</v>
      </c>
      <c r="I3" s="96"/>
      <c r="J3" s="96"/>
      <c r="K3" s="96"/>
      <c r="L3" s="96"/>
    </row>
    <row r="4" spans="1:12" ht="14.25" x14ac:dyDescent="0.2">
      <c r="A4" s="14"/>
      <c r="B4" s="14"/>
      <c r="C4" s="14"/>
      <c r="D4" s="14"/>
      <c r="E4" s="14"/>
      <c r="F4" s="14"/>
      <c r="G4" s="14"/>
      <c r="H4" s="14"/>
      <c r="I4" s="14"/>
      <c r="J4" s="14"/>
      <c r="K4" s="97" t="s">
        <v>922</v>
      </c>
      <c r="L4" s="98"/>
    </row>
    <row r="5" spans="1:12" ht="14.25" x14ac:dyDescent="0.2">
      <c r="A5" s="14"/>
      <c r="B5" s="14"/>
      <c r="C5" s="14"/>
      <c r="D5" s="14"/>
      <c r="E5" s="14"/>
      <c r="F5" s="14"/>
      <c r="G5" s="14"/>
      <c r="H5" s="14"/>
      <c r="I5" s="85" t="s">
        <v>863</v>
      </c>
      <c r="J5" s="85"/>
      <c r="K5" s="97">
        <v>322001</v>
      </c>
      <c r="L5" s="98"/>
    </row>
    <row r="6" spans="1:12" ht="14.25" x14ac:dyDescent="0.2">
      <c r="A6" s="85" t="s">
        <v>923</v>
      </c>
      <c r="B6" s="85"/>
      <c r="C6" s="126"/>
      <c r="D6" s="126"/>
      <c r="E6" s="126"/>
      <c r="F6" s="126"/>
      <c r="G6" s="126"/>
      <c r="H6" s="126"/>
      <c r="I6" s="126"/>
      <c r="J6" s="13" t="s">
        <v>866</v>
      </c>
      <c r="K6" s="97"/>
      <c r="L6" s="98"/>
    </row>
    <row r="7" spans="1:12" ht="14.25" x14ac:dyDescent="0.2">
      <c r="A7" s="14"/>
      <c r="B7" s="14"/>
      <c r="C7" s="103" t="s">
        <v>867</v>
      </c>
      <c r="D7" s="103"/>
      <c r="E7" s="103"/>
      <c r="F7" s="103"/>
      <c r="G7" s="103"/>
      <c r="H7" s="103"/>
      <c r="I7" s="103"/>
      <c r="J7" s="14"/>
      <c r="K7" s="57"/>
      <c r="L7" s="70"/>
    </row>
    <row r="8" spans="1:12" ht="14.25" x14ac:dyDescent="0.2">
      <c r="A8" s="85" t="s">
        <v>924</v>
      </c>
      <c r="B8" s="85"/>
      <c r="C8" s="126"/>
      <c r="D8" s="126"/>
      <c r="E8" s="126"/>
      <c r="F8" s="126"/>
      <c r="G8" s="126"/>
      <c r="H8" s="126"/>
      <c r="I8" s="30"/>
      <c r="J8" s="13" t="s">
        <v>866</v>
      </c>
      <c r="K8" s="100"/>
      <c r="L8" s="101"/>
    </row>
    <row r="9" spans="1:12" ht="14.25" x14ac:dyDescent="0.2">
      <c r="A9" s="14"/>
      <c r="B9" s="14"/>
      <c r="C9" s="103" t="s">
        <v>867</v>
      </c>
      <c r="D9" s="103"/>
      <c r="E9" s="103"/>
      <c r="F9" s="103"/>
      <c r="G9" s="103"/>
      <c r="H9" s="103"/>
      <c r="I9" s="103"/>
      <c r="J9" s="14"/>
      <c r="K9" s="57"/>
      <c r="L9" s="70"/>
    </row>
    <row r="10" spans="1:12" ht="14.25" x14ac:dyDescent="0.2">
      <c r="A10" s="85" t="s">
        <v>925</v>
      </c>
      <c r="B10" s="85"/>
      <c r="C10" s="126"/>
      <c r="D10" s="126"/>
      <c r="E10" s="126"/>
      <c r="F10" s="126"/>
      <c r="G10" s="126"/>
      <c r="H10" s="126"/>
      <c r="I10" s="126"/>
      <c r="J10" s="13" t="s">
        <v>866</v>
      </c>
      <c r="K10" s="100"/>
      <c r="L10" s="101"/>
    </row>
    <row r="11" spans="1:12" ht="14.25" x14ac:dyDescent="0.2">
      <c r="A11" s="14"/>
      <c r="B11" s="14"/>
      <c r="C11" s="103" t="s">
        <v>867</v>
      </c>
      <c r="D11" s="103"/>
      <c r="E11" s="103"/>
      <c r="F11" s="103"/>
      <c r="G11" s="103"/>
      <c r="H11" s="103"/>
      <c r="I11" s="103"/>
      <c r="J11" s="14"/>
      <c r="K11" s="57"/>
      <c r="L11" s="70"/>
    </row>
    <row r="12" spans="1:12" ht="14.25" x14ac:dyDescent="0.2">
      <c r="A12" s="85" t="s">
        <v>926</v>
      </c>
      <c r="B12" s="85"/>
      <c r="C12" s="126"/>
      <c r="D12" s="126"/>
      <c r="E12" s="126"/>
      <c r="F12" s="126"/>
      <c r="G12" s="126"/>
      <c r="H12" s="126"/>
      <c r="I12" s="126"/>
      <c r="J12" s="13" t="s">
        <v>866</v>
      </c>
      <c r="K12" s="100"/>
      <c r="L12" s="101"/>
    </row>
    <row r="13" spans="1:12" ht="14.25" x14ac:dyDescent="0.2">
      <c r="A13" s="14"/>
      <c r="B13" s="14"/>
      <c r="C13" s="103" t="s">
        <v>871</v>
      </c>
      <c r="D13" s="103"/>
      <c r="E13" s="103"/>
      <c r="F13" s="103"/>
      <c r="G13" s="103"/>
      <c r="H13" s="85" t="s">
        <v>927</v>
      </c>
      <c r="I13" s="85"/>
      <c r="J13" s="114"/>
      <c r="K13" s="97"/>
      <c r="L13" s="98"/>
    </row>
    <row r="14" spans="1:12" ht="14.25" x14ac:dyDescent="0.2">
      <c r="A14" s="14"/>
      <c r="B14" s="14"/>
      <c r="C14" s="14"/>
      <c r="D14" s="14"/>
      <c r="E14" s="85" t="s">
        <v>928</v>
      </c>
      <c r="F14" s="85"/>
      <c r="G14" s="85"/>
      <c r="H14" s="85"/>
      <c r="I14" s="127" t="s">
        <v>876</v>
      </c>
      <c r="J14" s="128"/>
      <c r="K14" s="97"/>
      <c r="L14" s="98"/>
    </row>
    <row r="15" spans="1:12" ht="14.25" x14ac:dyDescent="0.2">
      <c r="A15" s="14"/>
      <c r="B15" s="14"/>
      <c r="C15" s="14"/>
      <c r="D15" s="14"/>
      <c r="E15" s="14"/>
      <c r="F15" s="14"/>
      <c r="G15" s="14"/>
      <c r="H15" s="14"/>
      <c r="I15" s="129" t="s">
        <v>877</v>
      </c>
      <c r="J15" s="130"/>
      <c r="K15" s="115"/>
      <c r="L15" s="116"/>
    </row>
    <row r="16" spans="1:12" ht="14.25" x14ac:dyDescent="0.2">
      <c r="A16" s="14"/>
      <c r="B16" s="14"/>
      <c r="C16" s="14"/>
      <c r="D16" s="14"/>
      <c r="E16" s="14"/>
      <c r="F16" s="14"/>
      <c r="G16" s="14"/>
      <c r="H16" s="14"/>
      <c r="I16" s="128" t="s">
        <v>929</v>
      </c>
      <c r="J16" s="128"/>
      <c r="K16" s="131"/>
      <c r="L16" s="132"/>
    </row>
    <row r="17" spans="1:12" ht="14.25" x14ac:dyDescent="0.2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  <row r="18" spans="1:12" ht="14.25" x14ac:dyDescent="0.2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ht="14.25" x14ac:dyDescent="0.2">
      <c r="A19" s="14"/>
      <c r="B19" s="14"/>
      <c r="C19" s="133" t="s">
        <v>879</v>
      </c>
      <c r="D19" s="134"/>
      <c r="E19" s="133" t="s">
        <v>880</v>
      </c>
      <c r="F19" s="137"/>
      <c r="G19" s="14"/>
      <c r="H19" s="14"/>
      <c r="I19" s="133" t="s">
        <v>881</v>
      </c>
      <c r="J19" s="134"/>
      <c r="K19" s="134"/>
      <c r="L19" s="137"/>
    </row>
    <row r="20" spans="1:12" ht="14.25" x14ac:dyDescent="0.2">
      <c r="A20" s="14"/>
      <c r="B20" s="14"/>
      <c r="C20" s="135"/>
      <c r="D20" s="136"/>
      <c r="E20" s="135"/>
      <c r="F20" s="138"/>
      <c r="G20" s="14"/>
      <c r="H20" s="14"/>
      <c r="I20" s="139" t="s">
        <v>882</v>
      </c>
      <c r="J20" s="140"/>
      <c r="K20" s="139" t="s">
        <v>883</v>
      </c>
      <c r="L20" s="141"/>
    </row>
    <row r="21" spans="1:12" ht="14.25" x14ac:dyDescent="0.2">
      <c r="A21" s="14"/>
      <c r="B21" s="14"/>
      <c r="C21" s="106"/>
      <c r="D21" s="142"/>
      <c r="E21" s="143"/>
      <c r="F21" s="144"/>
      <c r="G21" s="71"/>
      <c r="H21" s="71"/>
      <c r="I21" s="143"/>
      <c r="J21" s="145"/>
      <c r="K21" s="143"/>
      <c r="L21" s="144"/>
    </row>
    <row r="22" spans="1:12" ht="14.25" x14ac:dyDescent="0.2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</row>
    <row r="23" spans="1:12" ht="14.25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ht="18" x14ac:dyDescent="0.25">
      <c r="A24" s="113" t="s">
        <v>930</v>
      </c>
      <c r="B24" s="113"/>
      <c r="C24" s="113"/>
      <c r="D24" s="113"/>
      <c r="E24" s="113"/>
      <c r="F24" s="113"/>
      <c r="G24" s="113"/>
      <c r="H24" s="113"/>
      <c r="I24" s="113"/>
      <c r="J24" s="113"/>
      <c r="K24" s="113"/>
      <c r="L24" s="113"/>
    </row>
    <row r="25" spans="1:12" ht="18" x14ac:dyDescent="0.25">
      <c r="A25" s="113" t="s">
        <v>931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</row>
    <row r="26" spans="1:12" ht="14.25" x14ac:dyDescent="0.2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ht="14.25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ht="14.25" x14ac:dyDescent="0.2">
      <c r="A28" s="146" t="s">
        <v>837</v>
      </c>
      <c r="B28" s="146" t="s">
        <v>932</v>
      </c>
      <c r="C28" s="148"/>
      <c r="D28" s="148"/>
      <c r="E28" s="148"/>
      <c r="F28" s="146" t="s">
        <v>862</v>
      </c>
      <c r="G28" s="146" t="s">
        <v>933</v>
      </c>
      <c r="H28" s="148"/>
      <c r="I28" s="148"/>
      <c r="J28" s="148"/>
      <c r="K28" s="148"/>
      <c r="L28" s="150"/>
    </row>
    <row r="29" spans="1:12" x14ac:dyDescent="0.2">
      <c r="A29" s="147"/>
      <c r="B29" s="147"/>
      <c r="C29" s="149"/>
      <c r="D29" s="149"/>
      <c r="E29" s="149"/>
      <c r="F29" s="147"/>
      <c r="G29" s="146" t="s">
        <v>934</v>
      </c>
      <c r="H29" s="148"/>
      <c r="I29" s="146" t="s">
        <v>935</v>
      </c>
      <c r="J29" s="148"/>
      <c r="K29" s="146" t="s">
        <v>936</v>
      </c>
      <c r="L29" s="150"/>
    </row>
    <row r="30" spans="1:12" x14ac:dyDescent="0.2">
      <c r="A30" s="147"/>
      <c r="B30" s="147"/>
      <c r="C30" s="149"/>
      <c r="D30" s="149"/>
      <c r="E30" s="149"/>
      <c r="F30" s="147"/>
      <c r="G30" s="147"/>
      <c r="H30" s="149"/>
      <c r="I30" s="147"/>
      <c r="J30" s="149"/>
      <c r="K30" s="147"/>
      <c r="L30" s="151"/>
    </row>
    <row r="31" spans="1:12" x14ac:dyDescent="0.2">
      <c r="A31" s="147"/>
      <c r="B31" s="147"/>
      <c r="C31" s="149"/>
      <c r="D31" s="149"/>
      <c r="E31" s="149"/>
      <c r="F31" s="147"/>
      <c r="G31" s="147"/>
      <c r="H31" s="149"/>
      <c r="I31" s="147"/>
      <c r="J31" s="149"/>
      <c r="K31" s="147"/>
      <c r="L31" s="151"/>
    </row>
    <row r="32" spans="1:12" x14ac:dyDescent="0.2">
      <c r="A32" s="147"/>
      <c r="B32" s="147"/>
      <c r="C32" s="149"/>
      <c r="D32" s="149"/>
      <c r="E32" s="149"/>
      <c r="F32" s="147"/>
      <c r="G32" s="147"/>
      <c r="H32" s="149"/>
      <c r="I32" s="147"/>
      <c r="J32" s="149"/>
      <c r="K32" s="147"/>
      <c r="L32" s="151"/>
    </row>
    <row r="33" spans="1:12" ht="14.25" x14ac:dyDescent="0.2">
      <c r="A33" s="57">
        <v>1</v>
      </c>
      <c r="B33" s="97">
        <v>2</v>
      </c>
      <c r="C33" s="155"/>
      <c r="D33" s="155"/>
      <c r="E33" s="155"/>
      <c r="F33" s="57">
        <v>3</v>
      </c>
      <c r="G33" s="97">
        <v>4</v>
      </c>
      <c r="H33" s="155"/>
      <c r="I33" s="97">
        <v>5</v>
      </c>
      <c r="J33" s="155"/>
      <c r="K33" s="97">
        <v>6</v>
      </c>
      <c r="L33" s="98"/>
    </row>
    <row r="34" spans="1:12" ht="14.25" x14ac:dyDescent="0.2">
      <c r="A34" s="72"/>
      <c r="B34" s="156" t="s">
        <v>937</v>
      </c>
      <c r="C34" s="157"/>
      <c r="D34" s="157"/>
      <c r="E34" s="157"/>
      <c r="F34" s="73"/>
      <c r="G34" s="158"/>
      <c r="H34" s="159"/>
      <c r="I34" s="158"/>
      <c r="J34" s="159"/>
      <c r="K34" s="158"/>
      <c r="L34" s="160"/>
    </row>
    <row r="35" spans="1:12" ht="14.25" x14ac:dyDescent="0.2">
      <c r="A35" s="74"/>
      <c r="B35" s="161" t="s">
        <v>938</v>
      </c>
      <c r="C35" s="162"/>
      <c r="D35" s="162"/>
      <c r="E35" s="162"/>
      <c r="F35" s="162"/>
      <c r="G35" s="162"/>
      <c r="H35" s="162"/>
      <c r="I35" s="162"/>
      <c r="J35" s="162"/>
      <c r="K35" s="157"/>
      <c r="L35" s="163"/>
    </row>
    <row r="36" spans="1:12" ht="14.25" x14ac:dyDescent="0.2">
      <c r="A36" s="128" t="s">
        <v>939</v>
      </c>
      <c r="B36" s="128"/>
      <c r="C36" s="128"/>
      <c r="D36" s="128"/>
      <c r="E36" s="128"/>
      <c r="F36" s="128"/>
      <c r="G36" s="128"/>
      <c r="H36" s="128"/>
      <c r="I36" s="128"/>
      <c r="J36" s="164"/>
      <c r="K36" s="165"/>
      <c r="L36" s="164"/>
    </row>
    <row r="37" spans="1:12" ht="14.25" x14ac:dyDescent="0.2">
      <c r="A37" s="152" t="s">
        <v>940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66"/>
      <c r="L37" s="167"/>
    </row>
    <row r="38" spans="1:12" ht="14.25" x14ac:dyDescent="0.2">
      <c r="A38" s="152" t="s">
        <v>941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3"/>
      <c r="L38" s="154"/>
    </row>
    <row r="39" spans="1:12" ht="14.25" x14ac:dyDescent="0.2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</row>
    <row r="42" spans="1:12" ht="14.25" x14ac:dyDescent="0.2">
      <c r="A42" s="123" t="s">
        <v>924</v>
      </c>
      <c r="B42" s="123"/>
      <c r="C42" s="168"/>
      <c r="D42" s="168"/>
      <c r="E42" s="168"/>
      <c r="F42" s="14"/>
      <c r="G42" s="168"/>
      <c r="H42" s="168"/>
      <c r="I42" s="14"/>
      <c r="J42" s="168"/>
      <c r="K42" s="168"/>
      <c r="L42" s="168"/>
    </row>
    <row r="43" spans="1:12" ht="14.25" x14ac:dyDescent="0.2">
      <c r="A43" s="14"/>
      <c r="B43" s="14"/>
      <c r="C43" s="169" t="s">
        <v>916</v>
      </c>
      <c r="D43" s="169"/>
      <c r="E43" s="169"/>
      <c r="F43" s="14"/>
      <c r="G43" s="169" t="s">
        <v>917</v>
      </c>
      <c r="H43" s="169"/>
      <c r="I43" s="14"/>
      <c r="J43" s="169" t="s">
        <v>918</v>
      </c>
      <c r="K43" s="169"/>
      <c r="L43" s="169"/>
    </row>
    <row r="44" spans="1:12" ht="14.25" x14ac:dyDescent="0.2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</row>
    <row r="45" spans="1:12" ht="14.25" x14ac:dyDescent="0.2">
      <c r="A45" s="13" t="s">
        <v>942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</row>
    <row r="46" spans="1:12" ht="14.25" x14ac:dyDescent="0.2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</row>
    <row r="47" spans="1:12" ht="14.25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</row>
    <row r="48" spans="1:12" ht="14.25" x14ac:dyDescent="0.2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</row>
    <row r="49" spans="1:12" ht="14.25" x14ac:dyDescent="0.2">
      <c r="A49" s="123" t="s">
        <v>925</v>
      </c>
      <c r="B49" s="123"/>
      <c r="C49" s="168"/>
      <c r="D49" s="168"/>
      <c r="E49" s="168"/>
      <c r="F49" s="14"/>
      <c r="G49" s="168"/>
      <c r="H49" s="168"/>
      <c r="I49" s="14"/>
      <c r="J49" s="168"/>
      <c r="K49" s="168"/>
      <c r="L49" s="168"/>
    </row>
    <row r="50" spans="1:12" ht="14.25" x14ac:dyDescent="0.2">
      <c r="A50" s="14"/>
      <c r="B50" s="14"/>
      <c r="C50" s="169" t="s">
        <v>916</v>
      </c>
      <c r="D50" s="169"/>
      <c r="E50" s="169"/>
      <c r="F50" s="14"/>
      <c r="G50" s="169" t="s">
        <v>917</v>
      </c>
      <c r="H50" s="169"/>
      <c r="I50" s="14"/>
      <c r="J50" s="169" t="s">
        <v>918</v>
      </c>
      <c r="K50" s="169"/>
      <c r="L50" s="169"/>
    </row>
    <row r="51" spans="1:12" ht="14.25" x14ac:dyDescent="0.2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</row>
    <row r="52" spans="1:12" ht="14.25" x14ac:dyDescent="0.2">
      <c r="A52" s="13" t="s">
        <v>942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</row>
  </sheetData>
  <mergeCells count="79">
    <mergeCell ref="A49:B49"/>
    <mergeCell ref="C49:E49"/>
    <mergeCell ref="G49:H49"/>
    <mergeCell ref="J49:L49"/>
    <mergeCell ref="C50:E50"/>
    <mergeCell ref="G50:H50"/>
    <mergeCell ref="J50:L50"/>
    <mergeCell ref="A42:B42"/>
    <mergeCell ref="C42:E42"/>
    <mergeCell ref="G42:H42"/>
    <mergeCell ref="J42:L42"/>
    <mergeCell ref="C43:E43"/>
    <mergeCell ref="G43:H43"/>
    <mergeCell ref="J43:L43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28:A32"/>
    <mergeCell ref="B28:E32"/>
    <mergeCell ref="F28:F32"/>
    <mergeCell ref="G28:L28"/>
    <mergeCell ref="G29:H32"/>
    <mergeCell ref="I29:J32"/>
    <mergeCell ref="K29:L32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C13:G13"/>
    <mergeCell ref="H13:J13"/>
    <mergeCell ref="K13:L13"/>
    <mergeCell ref="E14:H14"/>
    <mergeCell ref="I14:J14"/>
    <mergeCell ref="K14:L1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I5:J5"/>
    <mergeCell ref="K5:L5"/>
    <mergeCell ref="A1:D1"/>
    <mergeCell ref="H1:L1"/>
    <mergeCell ref="H2:L2"/>
    <mergeCell ref="H3:L3"/>
    <mergeCell ref="K4:L4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74"/>
  <sheetViews>
    <sheetView workbookViewId="0">
      <selection activeCell="G12" sqref="G12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268</v>
      </c>
      <c r="C12" s="1">
        <v>0</v>
      </c>
      <c r="D12" s="1">
        <f>ROW(A207)</f>
        <v>207</v>
      </c>
      <c r="E12" s="1">
        <v>0</v>
      </c>
      <c r="F12" s="1" t="s">
        <v>4</v>
      </c>
      <c r="G12" s="1" t="s">
        <v>944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B207</f>
        <v>268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объект_(Копия)</v>
      </c>
      <c r="G18" s="3" t="str">
        <f t="shared" si="0"/>
        <v>Капитальный ремонт помещения женского санузла 2-го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  <c r="H18" s="3"/>
      <c r="I18" s="3"/>
      <c r="J18" s="3"/>
      <c r="K18" s="3"/>
      <c r="L18" s="3"/>
      <c r="M18" s="3"/>
      <c r="N18" s="3"/>
      <c r="O18" s="3">
        <f t="shared" ref="O18:AT18" si="1">O207</f>
        <v>58075.45</v>
      </c>
      <c r="P18" s="3">
        <f t="shared" si="1"/>
        <v>52215.54</v>
      </c>
      <c r="Q18" s="3">
        <f t="shared" si="1"/>
        <v>519.41999999999996</v>
      </c>
      <c r="R18" s="3">
        <f t="shared" si="1"/>
        <v>104.84</v>
      </c>
      <c r="S18" s="3">
        <f t="shared" si="1"/>
        <v>5340.49</v>
      </c>
      <c r="T18" s="3">
        <f t="shared" si="1"/>
        <v>0</v>
      </c>
      <c r="U18" s="3">
        <f t="shared" si="1"/>
        <v>604.95366834999982</v>
      </c>
      <c r="V18" s="3">
        <f t="shared" si="1"/>
        <v>8.7776009999999989</v>
      </c>
      <c r="W18" s="3">
        <f t="shared" si="1"/>
        <v>0</v>
      </c>
      <c r="X18" s="3">
        <f t="shared" si="1"/>
        <v>5404.23</v>
      </c>
      <c r="Y18" s="3">
        <f t="shared" si="1"/>
        <v>3171.93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66907.759999999995</v>
      </c>
      <c r="AS18" s="3">
        <f t="shared" si="1"/>
        <v>65948.350000000006</v>
      </c>
      <c r="AT18" s="3">
        <f t="shared" si="1"/>
        <v>959.41</v>
      </c>
      <c r="AU18" s="3">
        <f t="shared" ref="AU18:BZ18" si="2">AU207</f>
        <v>0</v>
      </c>
      <c r="AV18" s="3">
        <f t="shared" si="2"/>
        <v>52215.54</v>
      </c>
      <c r="AW18" s="3">
        <f t="shared" si="2"/>
        <v>52215.54</v>
      </c>
      <c r="AX18" s="3">
        <f t="shared" si="2"/>
        <v>0</v>
      </c>
      <c r="AY18" s="3">
        <f t="shared" si="2"/>
        <v>52215.54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CA207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DG207</f>
        <v>354840.99</v>
      </c>
      <c r="DH18" s="4">
        <f t="shared" si="4"/>
        <v>319037.12</v>
      </c>
      <c r="DI18" s="4">
        <f t="shared" si="4"/>
        <v>3173.64</v>
      </c>
      <c r="DJ18" s="4">
        <f t="shared" si="4"/>
        <v>640.4</v>
      </c>
      <c r="DK18" s="4">
        <f t="shared" si="4"/>
        <v>32630.23</v>
      </c>
      <c r="DL18" s="4">
        <f t="shared" si="4"/>
        <v>0</v>
      </c>
      <c r="DM18" s="4">
        <f t="shared" si="4"/>
        <v>604.95366834999982</v>
      </c>
      <c r="DN18" s="4">
        <f t="shared" si="4"/>
        <v>8.7776009999999989</v>
      </c>
      <c r="DO18" s="4">
        <f t="shared" si="4"/>
        <v>0</v>
      </c>
      <c r="DP18" s="4">
        <f t="shared" si="4"/>
        <v>33019.68</v>
      </c>
      <c r="DQ18" s="4">
        <f t="shared" si="4"/>
        <v>19380.22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408805.92</v>
      </c>
      <c r="EK18" s="4">
        <f t="shared" si="4"/>
        <v>402943.84</v>
      </c>
      <c r="EL18" s="4">
        <f t="shared" si="4"/>
        <v>5862.08</v>
      </c>
      <c r="EM18" s="4">
        <f t="shared" ref="EM18:FR18" si="5">EM207</f>
        <v>0</v>
      </c>
      <c r="EN18" s="4">
        <f t="shared" si="5"/>
        <v>319037.12</v>
      </c>
      <c r="EO18" s="4">
        <f t="shared" si="5"/>
        <v>319037.12</v>
      </c>
      <c r="EP18" s="4">
        <f t="shared" si="5"/>
        <v>0</v>
      </c>
      <c r="EQ18" s="4">
        <f t="shared" si="5"/>
        <v>319037.12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FS207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ROW(A175)</f>
        <v>175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B175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O175</f>
        <v>58075.45</v>
      </c>
      <c r="P22" s="3">
        <f t="shared" si="8"/>
        <v>52215.54</v>
      </c>
      <c r="Q22" s="3">
        <f t="shared" si="8"/>
        <v>519.41999999999996</v>
      </c>
      <c r="R22" s="3">
        <f t="shared" si="8"/>
        <v>104.84</v>
      </c>
      <c r="S22" s="3">
        <f t="shared" si="8"/>
        <v>5340.49</v>
      </c>
      <c r="T22" s="3">
        <f t="shared" si="8"/>
        <v>0</v>
      </c>
      <c r="U22" s="3">
        <f t="shared" si="8"/>
        <v>604.95366834999982</v>
      </c>
      <c r="V22" s="3">
        <f t="shared" si="8"/>
        <v>8.7776009999999989</v>
      </c>
      <c r="W22" s="3">
        <f t="shared" si="8"/>
        <v>0</v>
      </c>
      <c r="X22" s="3">
        <f t="shared" si="8"/>
        <v>5404.23</v>
      </c>
      <c r="Y22" s="3">
        <f t="shared" si="8"/>
        <v>3171.93</v>
      </c>
      <c r="Z22" s="3">
        <f t="shared" si="8"/>
        <v>0</v>
      </c>
      <c r="AA22" s="3">
        <f t="shared" si="8"/>
        <v>0</v>
      </c>
      <c r="AB22" s="3">
        <f t="shared" si="8"/>
        <v>58075.45</v>
      </c>
      <c r="AC22" s="3">
        <f t="shared" si="8"/>
        <v>52215.54</v>
      </c>
      <c r="AD22" s="3">
        <f t="shared" si="8"/>
        <v>519.41999999999996</v>
      </c>
      <c r="AE22" s="3">
        <f t="shared" si="8"/>
        <v>104.84</v>
      </c>
      <c r="AF22" s="3">
        <f t="shared" si="8"/>
        <v>5340.49</v>
      </c>
      <c r="AG22" s="3">
        <f t="shared" si="8"/>
        <v>0</v>
      </c>
      <c r="AH22" s="3">
        <f t="shared" si="8"/>
        <v>604.95366834999982</v>
      </c>
      <c r="AI22" s="3">
        <f t="shared" si="8"/>
        <v>8.7776009999999989</v>
      </c>
      <c r="AJ22" s="3">
        <f t="shared" si="8"/>
        <v>0</v>
      </c>
      <c r="AK22" s="3">
        <f t="shared" si="8"/>
        <v>5404.23</v>
      </c>
      <c r="AL22" s="3">
        <f t="shared" si="8"/>
        <v>3171.93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66907.759999999995</v>
      </c>
      <c r="AS22" s="3">
        <f t="shared" si="8"/>
        <v>65948.350000000006</v>
      </c>
      <c r="AT22" s="3">
        <f t="shared" si="8"/>
        <v>959.41</v>
      </c>
      <c r="AU22" s="3">
        <f t="shared" ref="AU22:BZ22" si="9">AU175</f>
        <v>0</v>
      </c>
      <c r="AV22" s="3">
        <f t="shared" si="9"/>
        <v>52215.54</v>
      </c>
      <c r="AW22" s="3">
        <f t="shared" si="9"/>
        <v>52215.54</v>
      </c>
      <c r="AX22" s="3">
        <f t="shared" si="9"/>
        <v>0</v>
      </c>
      <c r="AY22" s="3">
        <f t="shared" si="9"/>
        <v>52215.54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CA175</f>
        <v>66907.759999999995</v>
      </c>
      <c r="CB22" s="3">
        <f t="shared" si="10"/>
        <v>65948.350000000006</v>
      </c>
      <c r="CC22" s="3">
        <f t="shared" si="10"/>
        <v>959.41</v>
      </c>
      <c r="CD22" s="3">
        <f t="shared" si="10"/>
        <v>0</v>
      </c>
      <c r="CE22" s="3">
        <f t="shared" si="10"/>
        <v>52215.54</v>
      </c>
      <c r="CF22" s="3">
        <f t="shared" si="10"/>
        <v>52215.54</v>
      </c>
      <c r="CG22" s="3">
        <f t="shared" si="10"/>
        <v>0</v>
      </c>
      <c r="CH22" s="3">
        <f t="shared" si="10"/>
        <v>52215.54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DG175</f>
        <v>354840.99</v>
      </c>
      <c r="DH22" s="4">
        <f t="shared" si="11"/>
        <v>319037.12</v>
      </c>
      <c r="DI22" s="4">
        <f t="shared" si="11"/>
        <v>3173.64</v>
      </c>
      <c r="DJ22" s="4">
        <f t="shared" si="11"/>
        <v>640.4</v>
      </c>
      <c r="DK22" s="4">
        <f t="shared" si="11"/>
        <v>32630.23</v>
      </c>
      <c r="DL22" s="4">
        <f t="shared" si="11"/>
        <v>0</v>
      </c>
      <c r="DM22" s="4">
        <f t="shared" si="11"/>
        <v>604.95366834999982</v>
      </c>
      <c r="DN22" s="4">
        <f t="shared" si="11"/>
        <v>8.7776009999999989</v>
      </c>
      <c r="DO22" s="4">
        <f t="shared" si="11"/>
        <v>0</v>
      </c>
      <c r="DP22" s="4">
        <f t="shared" si="11"/>
        <v>33019.68</v>
      </c>
      <c r="DQ22" s="4">
        <f t="shared" si="11"/>
        <v>19380.22</v>
      </c>
      <c r="DR22" s="4">
        <f t="shared" si="11"/>
        <v>0</v>
      </c>
      <c r="DS22" s="4">
        <f t="shared" si="11"/>
        <v>0</v>
      </c>
      <c r="DT22" s="4">
        <f t="shared" si="11"/>
        <v>354840.99</v>
      </c>
      <c r="DU22" s="4">
        <f t="shared" si="11"/>
        <v>319037.12</v>
      </c>
      <c r="DV22" s="4">
        <f t="shared" si="11"/>
        <v>3173.64</v>
      </c>
      <c r="DW22" s="4">
        <f t="shared" si="11"/>
        <v>640.4</v>
      </c>
      <c r="DX22" s="4">
        <f t="shared" si="11"/>
        <v>32630.23</v>
      </c>
      <c r="DY22" s="4">
        <f t="shared" si="11"/>
        <v>0</v>
      </c>
      <c r="DZ22" s="4">
        <f t="shared" si="11"/>
        <v>604.95366834999982</v>
      </c>
      <c r="EA22" s="4">
        <f t="shared" si="11"/>
        <v>8.7776009999999989</v>
      </c>
      <c r="EB22" s="4">
        <f t="shared" si="11"/>
        <v>0</v>
      </c>
      <c r="EC22" s="4">
        <f t="shared" si="11"/>
        <v>33019.68</v>
      </c>
      <c r="ED22" s="4">
        <f t="shared" si="11"/>
        <v>19380.22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408805.92</v>
      </c>
      <c r="EK22" s="4">
        <f t="shared" si="11"/>
        <v>402943.84</v>
      </c>
      <c r="EL22" s="4">
        <f t="shared" si="11"/>
        <v>5862.08</v>
      </c>
      <c r="EM22" s="4">
        <f t="shared" ref="EM22:FR22" si="12">EM175</f>
        <v>0</v>
      </c>
      <c r="EN22" s="4">
        <f t="shared" si="12"/>
        <v>319037.12</v>
      </c>
      <c r="EO22" s="4">
        <f t="shared" si="12"/>
        <v>319037.12</v>
      </c>
      <c r="EP22" s="4">
        <f t="shared" si="12"/>
        <v>0</v>
      </c>
      <c r="EQ22" s="4">
        <f t="shared" si="12"/>
        <v>319037.12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FS175</f>
        <v>408805.92</v>
      </c>
      <c r="FT22" s="4">
        <f t="shared" si="13"/>
        <v>402943.84</v>
      </c>
      <c r="FU22" s="4">
        <f t="shared" si="13"/>
        <v>5862.08</v>
      </c>
      <c r="FV22" s="4">
        <f t="shared" si="13"/>
        <v>0</v>
      </c>
      <c r="FW22" s="4">
        <f t="shared" si="13"/>
        <v>319037.12</v>
      </c>
      <c r="FX22" s="4">
        <f t="shared" si="13"/>
        <v>319037.12</v>
      </c>
      <c r="FY22" s="4">
        <f t="shared" si="13"/>
        <v>0</v>
      </c>
      <c r="FZ22" s="4">
        <f t="shared" si="13"/>
        <v>319037.12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2">
        <v>17</v>
      </c>
      <c r="B24" s="2">
        <v>1</v>
      </c>
      <c r="C24" s="2">
        <f>ROW(SmtRes!A3)</f>
        <v>3</v>
      </c>
      <c r="D24" s="2">
        <f>ROW(EtalonRes!A3)</f>
        <v>3</v>
      </c>
      <c r="E24" s="2" t="s">
        <v>13</v>
      </c>
      <c r="F24" s="2" t="s">
        <v>14</v>
      </c>
      <c r="G24" s="2" t="s">
        <v>15</v>
      </c>
      <c r="H24" s="2" t="s">
        <v>16</v>
      </c>
      <c r="I24" s="2">
        <f>ROUND(3.24/100,9)</f>
        <v>3.2399999999999998E-2</v>
      </c>
      <c r="J24" s="2">
        <v>0</v>
      </c>
      <c r="K24" s="2"/>
      <c r="L24" s="2"/>
      <c r="M24" s="2"/>
      <c r="N24" s="2"/>
      <c r="O24" s="2">
        <f t="shared" ref="O24:O55" si="14">ROUND(CP24,2)</f>
        <v>57.26</v>
      </c>
      <c r="P24" s="2">
        <f t="shared" ref="P24:P55" si="15">ROUND(CQ24*I24,2)</f>
        <v>0</v>
      </c>
      <c r="Q24" s="2">
        <f t="shared" ref="Q24:Q55" si="16">ROUND(CR24*I24,2)</f>
        <v>7.84</v>
      </c>
      <c r="R24" s="2">
        <f t="shared" ref="R24:R55" si="17">ROUND(CS24*I24,2)</f>
        <v>3.39</v>
      </c>
      <c r="S24" s="2">
        <f t="shared" ref="S24:S55" si="18">ROUND(CT24*I24,2)</f>
        <v>49.42</v>
      </c>
      <c r="T24" s="2">
        <f t="shared" ref="T24:T55" si="19">ROUND(CU24*I24,2)</f>
        <v>0</v>
      </c>
      <c r="U24" s="2">
        <f t="shared" ref="U24:U55" si="20">CV24*I24</f>
        <v>6.1086959999999992</v>
      </c>
      <c r="V24" s="2">
        <f t="shared" ref="V24:V55" si="21">CW24*I24</f>
        <v>0.250776</v>
      </c>
      <c r="W24" s="2">
        <f t="shared" ref="W24:W55" si="22">ROUND(CX24*I24,2)</f>
        <v>0</v>
      </c>
      <c r="X24" s="2">
        <f t="shared" ref="X24:X55" si="23">ROUND(CY24,2)</f>
        <v>52.28</v>
      </c>
      <c r="Y24" s="2">
        <f t="shared" ref="Y24:Y55" si="24">ROUND(CZ24,2)</f>
        <v>31.69</v>
      </c>
      <c r="Z24" s="2"/>
      <c r="AA24" s="2">
        <v>16784195</v>
      </c>
      <c r="AB24" s="2">
        <f t="shared" ref="AB24:AB55" si="25">ROUND((AC24+AD24+AF24),2)</f>
        <v>1767.24</v>
      </c>
      <c r="AC24" s="2">
        <f t="shared" ref="AC24:AC45" si="26">ROUND((ES24),2)</f>
        <v>0</v>
      </c>
      <c r="AD24" s="2">
        <f>ROUND((((ET24)-(EU24))+AE24),2)</f>
        <v>241.95</v>
      </c>
      <c r="AE24" s="2">
        <f>ROUND((EU24),2)</f>
        <v>104.49</v>
      </c>
      <c r="AF24" s="2">
        <f>ROUND((EV24),2)</f>
        <v>1525.29</v>
      </c>
      <c r="AG24" s="2">
        <f t="shared" ref="AG24:AG55" si="27">ROUND((AP24),2)</f>
        <v>0</v>
      </c>
      <c r="AH24" s="2">
        <f>(EW24)</f>
        <v>188.54</v>
      </c>
      <c r="AI24" s="2">
        <f>(EX24)</f>
        <v>7.74</v>
      </c>
      <c r="AJ24" s="2">
        <f t="shared" ref="AJ24:AJ55" si="28">(AS24)</f>
        <v>0</v>
      </c>
      <c r="AK24" s="2">
        <v>1767.24</v>
      </c>
      <c r="AL24" s="2">
        <v>0</v>
      </c>
      <c r="AM24" s="2">
        <v>241.95</v>
      </c>
      <c r="AN24" s="2">
        <v>104.49</v>
      </c>
      <c r="AO24" s="2">
        <v>1525.29</v>
      </c>
      <c r="AP24" s="2">
        <v>0</v>
      </c>
      <c r="AQ24" s="2">
        <v>188.54</v>
      </c>
      <c r="AR24" s="2">
        <v>7.74</v>
      </c>
      <c r="AS24" s="2">
        <v>0</v>
      </c>
      <c r="AT24" s="2">
        <v>99</v>
      </c>
      <c r="AU24" s="2">
        <v>60</v>
      </c>
      <c r="AV24" s="2">
        <v>1</v>
      </c>
      <c r="AW24" s="2">
        <v>1</v>
      </c>
      <c r="AX24" s="2"/>
      <c r="AY24" s="2"/>
      <c r="AZ24" s="2">
        <v>1</v>
      </c>
      <c r="BA24" s="2">
        <v>1</v>
      </c>
      <c r="BB24" s="2">
        <v>1</v>
      </c>
      <c r="BC24" s="2">
        <v>1</v>
      </c>
      <c r="BD24" s="2" t="s">
        <v>6</v>
      </c>
      <c r="BE24" s="2" t="s">
        <v>6</v>
      </c>
      <c r="BF24" s="2" t="s">
        <v>6</v>
      </c>
      <c r="BG24" s="2" t="s">
        <v>6</v>
      </c>
      <c r="BH24" s="2">
        <v>0</v>
      </c>
      <c r="BI24" s="2">
        <v>1</v>
      </c>
      <c r="BJ24" s="2" t="s">
        <v>17</v>
      </c>
      <c r="BK24" s="2"/>
      <c r="BL24" s="2"/>
      <c r="BM24" s="2">
        <v>46001</v>
      </c>
      <c r="BN24" s="2">
        <v>0</v>
      </c>
      <c r="BO24" s="2" t="s">
        <v>6</v>
      </c>
      <c r="BP24" s="2">
        <v>0</v>
      </c>
      <c r="BQ24" s="2">
        <v>2</v>
      </c>
      <c r="BR24" s="2">
        <v>0</v>
      </c>
      <c r="BS24" s="2">
        <v>1</v>
      </c>
      <c r="BT24" s="2">
        <v>1</v>
      </c>
      <c r="BU24" s="2">
        <v>1</v>
      </c>
      <c r="BV24" s="2">
        <v>1</v>
      </c>
      <c r="BW24" s="2">
        <v>1</v>
      </c>
      <c r="BX24" s="2">
        <v>1</v>
      </c>
      <c r="BY24" s="2" t="s">
        <v>6</v>
      </c>
      <c r="BZ24" s="2">
        <v>110</v>
      </c>
      <c r="CA24" s="2">
        <v>70</v>
      </c>
      <c r="CB24" s="2"/>
      <c r="CC24" s="2"/>
      <c r="CD24" s="2"/>
      <c r="CE24" s="2">
        <v>0</v>
      </c>
      <c r="CF24" s="2">
        <v>0</v>
      </c>
      <c r="CG24" s="2">
        <v>0</v>
      </c>
      <c r="CH24" s="2"/>
      <c r="CI24" s="2"/>
      <c r="CJ24" s="2"/>
      <c r="CK24" s="2"/>
      <c r="CL24" s="2"/>
      <c r="CM24" s="2">
        <v>0</v>
      </c>
      <c r="CN24" s="2" t="s">
        <v>6</v>
      </c>
      <c r="CO24" s="2">
        <v>0</v>
      </c>
      <c r="CP24" s="2">
        <f t="shared" ref="CP24:CP55" si="29">(P24+Q24+S24)</f>
        <v>57.260000000000005</v>
      </c>
      <c r="CQ24" s="2">
        <f t="shared" ref="CQ24:CQ55" si="30">AC24*BC24</f>
        <v>0</v>
      </c>
      <c r="CR24" s="2">
        <f t="shared" ref="CR24:CR55" si="31">AD24*BB24</f>
        <v>241.95</v>
      </c>
      <c r="CS24" s="2">
        <f t="shared" ref="CS24:CS55" si="32">AE24*BS24</f>
        <v>104.49</v>
      </c>
      <c r="CT24" s="2">
        <f t="shared" ref="CT24:CT55" si="33">AF24*BA24</f>
        <v>1525.29</v>
      </c>
      <c r="CU24" s="2">
        <f t="shared" ref="CU24:CU55" si="34">AG24</f>
        <v>0</v>
      </c>
      <c r="CV24" s="2">
        <f t="shared" ref="CV24:CV55" si="35">AH24</f>
        <v>188.54</v>
      </c>
      <c r="CW24" s="2">
        <f t="shared" ref="CW24:CW55" si="36">AI24</f>
        <v>7.74</v>
      </c>
      <c r="CX24" s="2">
        <f t="shared" ref="CX24:CX55" si="37">AJ24</f>
        <v>0</v>
      </c>
      <c r="CY24" s="2">
        <f t="shared" ref="CY24:CY55" si="38">(((S24+R24)*AT24)/100)</f>
        <v>52.281900000000007</v>
      </c>
      <c r="CZ24" s="2">
        <f t="shared" ref="CZ24:CZ55" si="39">(((S24+R24)*AU24)/100)</f>
        <v>31.686000000000003</v>
      </c>
      <c r="DA24" s="2"/>
      <c r="DB24" s="2"/>
      <c r="DC24" s="2" t="s">
        <v>6</v>
      </c>
      <c r="DD24" s="2" t="s">
        <v>6</v>
      </c>
      <c r="DE24" s="2" t="s">
        <v>6</v>
      </c>
      <c r="DF24" s="2" t="s">
        <v>6</v>
      </c>
      <c r="DG24" s="2" t="s">
        <v>6</v>
      </c>
      <c r="DH24" s="2" t="s">
        <v>6</v>
      </c>
      <c r="DI24" s="2" t="s">
        <v>6</v>
      </c>
      <c r="DJ24" s="2" t="s">
        <v>6</v>
      </c>
      <c r="DK24" s="2" t="s">
        <v>6</v>
      </c>
      <c r="DL24" s="2" t="s">
        <v>6</v>
      </c>
      <c r="DM24" s="2" t="s">
        <v>6</v>
      </c>
      <c r="DN24" s="2">
        <v>0</v>
      </c>
      <c r="DO24" s="2">
        <v>0</v>
      </c>
      <c r="DP24" s="2">
        <v>1</v>
      </c>
      <c r="DQ24" s="2">
        <v>1</v>
      </c>
      <c r="DR24" s="2"/>
      <c r="DS24" s="2"/>
      <c r="DT24" s="2"/>
      <c r="DU24" s="2">
        <v>1005</v>
      </c>
      <c r="DV24" s="2" t="s">
        <v>16</v>
      </c>
      <c r="DW24" s="2" t="s">
        <v>16</v>
      </c>
      <c r="DX24" s="2">
        <v>100</v>
      </c>
      <c r="DY24" s="2"/>
      <c r="DZ24" s="2"/>
      <c r="EA24" s="2"/>
      <c r="EB24" s="2"/>
      <c r="EC24" s="2"/>
      <c r="ED24" s="2"/>
      <c r="EE24" s="2">
        <v>16510555</v>
      </c>
      <c r="EF24" s="2">
        <v>2</v>
      </c>
      <c r="EG24" s="2" t="s">
        <v>18</v>
      </c>
      <c r="EH24" s="2">
        <v>0</v>
      </c>
      <c r="EI24" s="2" t="s">
        <v>6</v>
      </c>
      <c r="EJ24" s="2">
        <v>1</v>
      </c>
      <c r="EK24" s="2">
        <v>46001</v>
      </c>
      <c r="EL24" s="2" t="s">
        <v>19</v>
      </c>
      <c r="EM24" s="2" t="s">
        <v>20</v>
      </c>
      <c r="EN24" s="2"/>
      <c r="EO24" s="2" t="s">
        <v>6</v>
      </c>
      <c r="EP24" s="2"/>
      <c r="EQ24" s="2">
        <v>131072</v>
      </c>
      <c r="ER24" s="2">
        <v>1767.24</v>
      </c>
      <c r="ES24" s="2">
        <v>0</v>
      </c>
      <c r="ET24" s="2">
        <v>241.95</v>
      </c>
      <c r="EU24" s="2">
        <v>104.49</v>
      </c>
      <c r="EV24" s="2">
        <v>1525.29</v>
      </c>
      <c r="EW24" s="2">
        <v>188.54</v>
      </c>
      <c r="EX24" s="2">
        <v>7.74</v>
      </c>
      <c r="EY24" s="2">
        <v>0</v>
      </c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>
        <v>0</v>
      </c>
      <c r="FR24" s="2">
        <f t="shared" ref="FR24:FR55" si="40">ROUND(IF(AND(BH24=3,BI24=3),P24,0),2)</f>
        <v>0</v>
      </c>
      <c r="FS24" s="2">
        <v>0</v>
      </c>
      <c r="FT24" s="2" t="s">
        <v>21</v>
      </c>
      <c r="FU24" s="2" t="s">
        <v>22</v>
      </c>
      <c r="FV24" s="2"/>
      <c r="FW24" s="2"/>
      <c r="FX24" s="2">
        <v>99</v>
      </c>
      <c r="FY24" s="2">
        <v>59.5</v>
      </c>
      <c r="FZ24" s="2"/>
      <c r="GA24" s="2" t="s">
        <v>6</v>
      </c>
      <c r="GB24" s="2"/>
      <c r="GC24" s="2"/>
      <c r="GD24" s="2">
        <v>0</v>
      </c>
      <c r="GE24" s="2"/>
      <c r="GF24" s="2">
        <v>1630687704</v>
      </c>
      <c r="GG24" s="2">
        <v>2</v>
      </c>
      <c r="GH24" s="2">
        <v>1</v>
      </c>
      <c r="GI24" s="2">
        <v>-2</v>
      </c>
      <c r="GJ24" s="2">
        <v>0</v>
      </c>
      <c r="GK24" s="2">
        <f>ROUND(R24*(R12)/100,2)</f>
        <v>0</v>
      </c>
      <c r="GL24" s="2">
        <f t="shared" ref="GL24:GL55" si="41">ROUND(IF(AND(BH24=3,BI24=3,FS24&lt;&gt;0),P24,0),2)</f>
        <v>0</v>
      </c>
      <c r="GM24" s="2">
        <f t="shared" ref="GM24:GM55" si="42">ROUND(O24+X24+Y24+GK24,2)+GX24</f>
        <v>141.22999999999999</v>
      </c>
      <c r="GN24" s="2">
        <f t="shared" ref="GN24:GN55" si="43">IF(OR(BI24=0,BI24=1),ROUND(O24+X24+Y24+GK24,2),0)</f>
        <v>141.22999999999999</v>
      </c>
      <c r="GO24" s="2">
        <f t="shared" ref="GO24:GO55" si="44">IF(BI24=2,ROUND(O24+X24+Y24+GK24,2),0)</f>
        <v>0</v>
      </c>
      <c r="GP24" s="2">
        <f t="shared" ref="GP24:GP55" si="45">IF(BI24=4,ROUND(O24+X24+Y24+GK24,2)+GX24,0)</f>
        <v>0</v>
      </c>
      <c r="GQ24" s="2"/>
      <c r="GR24" s="2">
        <v>0</v>
      </c>
      <c r="GS24" s="2">
        <v>3</v>
      </c>
      <c r="GT24" s="2">
        <v>0</v>
      </c>
      <c r="GU24" s="2" t="s">
        <v>6</v>
      </c>
      <c r="GV24" s="2">
        <f t="shared" ref="GV24:GV55" si="46">ROUND((GT24),2)</f>
        <v>0</v>
      </c>
      <c r="GW24" s="2">
        <v>1</v>
      </c>
      <c r="GX24" s="2">
        <f t="shared" ref="GX24:GX55" si="47">ROUND(HC24*I24,2)</f>
        <v>0</v>
      </c>
      <c r="GY24" s="2"/>
      <c r="GZ24" s="2"/>
      <c r="HA24" s="2">
        <v>0</v>
      </c>
      <c r="HB24" s="2">
        <v>0</v>
      </c>
      <c r="HC24" s="2">
        <f t="shared" ref="HC24:HC55" si="48">GV24*GW24</f>
        <v>0</v>
      </c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>
        <v>0</v>
      </c>
      <c r="IL24" s="2"/>
      <c r="IM24" s="2"/>
      <c r="IN24" s="2"/>
      <c r="IO24" s="2"/>
      <c r="IP24" s="2"/>
      <c r="IQ24" s="2"/>
      <c r="IR24" s="2"/>
      <c r="IS24" s="2"/>
      <c r="IT24" s="2"/>
      <c r="IU24" s="2"/>
    </row>
    <row r="25" spans="1:255" x14ac:dyDescent="0.2">
      <c r="A25">
        <v>17</v>
      </c>
      <c r="B25">
        <v>1</v>
      </c>
      <c r="C25">
        <f>ROW(SmtRes!A6)</f>
        <v>6</v>
      </c>
      <c r="D25">
        <f>ROW(EtalonRes!A6)</f>
        <v>6</v>
      </c>
      <c r="E25" t="s">
        <v>13</v>
      </c>
      <c r="F25" t="s">
        <v>14</v>
      </c>
      <c r="G25" t="s">
        <v>15</v>
      </c>
      <c r="H25" t="s">
        <v>16</v>
      </c>
      <c r="I25">
        <f>ROUND(3.24/100,9)</f>
        <v>3.2399999999999998E-2</v>
      </c>
      <c r="J25">
        <v>0</v>
      </c>
      <c r="O25">
        <f t="shared" si="14"/>
        <v>349.85</v>
      </c>
      <c r="P25">
        <f t="shared" si="15"/>
        <v>0</v>
      </c>
      <c r="Q25">
        <f t="shared" si="16"/>
        <v>47.9</v>
      </c>
      <c r="R25">
        <f t="shared" si="17"/>
        <v>20.69</v>
      </c>
      <c r="S25">
        <f t="shared" si="18"/>
        <v>301.95</v>
      </c>
      <c r="T25">
        <f t="shared" si="19"/>
        <v>0</v>
      </c>
      <c r="U25">
        <f t="shared" si="20"/>
        <v>6.1086959999999992</v>
      </c>
      <c r="V25">
        <f t="shared" si="21"/>
        <v>0.250776</v>
      </c>
      <c r="W25">
        <f t="shared" si="22"/>
        <v>0</v>
      </c>
      <c r="X25">
        <f t="shared" si="23"/>
        <v>319.41000000000003</v>
      </c>
      <c r="Y25">
        <f t="shared" si="24"/>
        <v>193.58</v>
      </c>
      <c r="AA25">
        <v>16784196</v>
      </c>
      <c r="AB25">
        <f t="shared" si="25"/>
        <v>1767.24</v>
      </c>
      <c r="AC25">
        <f t="shared" si="26"/>
        <v>0</v>
      </c>
      <c r="AD25">
        <f>ROUND((((ET25)-(EU25))+AE25),2)</f>
        <v>241.95</v>
      </c>
      <c r="AE25">
        <f>ROUND((EU25),2)</f>
        <v>104.49</v>
      </c>
      <c r="AF25">
        <f>ROUND((EV25),2)</f>
        <v>1525.29</v>
      </c>
      <c r="AG25">
        <f t="shared" si="27"/>
        <v>0</v>
      </c>
      <c r="AH25">
        <f>(EW25)</f>
        <v>188.54</v>
      </c>
      <c r="AI25">
        <f>(EX25)</f>
        <v>7.74</v>
      </c>
      <c r="AJ25">
        <f t="shared" si="28"/>
        <v>0</v>
      </c>
      <c r="AK25">
        <v>1767.24</v>
      </c>
      <c r="AL25">
        <v>0</v>
      </c>
      <c r="AM25">
        <v>241.95</v>
      </c>
      <c r="AN25">
        <v>104.49</v>
      </c>
      <c r="AO25">
        <v>1525.29</v>
      </c>
      <c r="AP25">
        <v>0</v>
      </c>
      <c r="AQ25">
        <v>188.54</v>
      </c>
      <c r="AR25">
        <v>7.74</v>
      </c>
      <c r="AS25">
        <v>0</v>
      </c>
      <c r="AT25">
        <v>99</v>
      </c>
      <c r="AU25">
        <v>60</v>
      </c>
      <c r="AV25">
        <v>1</v>
      </c>
      <c r="AW25">
        <v>1</v>
      </c>
      <c r="AZ25">
        <v>6.11</v>
      </c>
      <c r="BA25">
        <v>6.11</v>
      </c>
      <c r="BB25">
        <v>6.11</v>
      </c>
      <c r="BC25">
        <v>6.11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17</v>
      </c>
      <c r="BM25">
        <v>46001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6.11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110</v>
      </c>
      <c r="CA25">
        <v>70</v>
      </c>
      <c r="CE25">
        <v>0</v>
      </c>
      <c r="CF25">
        <v>0</v>
      </c>
      <c r="CG25">
        <v>0</v>
      </c>
      <c r="CM25">
        <v>0</v>
      </c>
      <c r="CN25" t="s">
        <v>6</v>
      </c>
      <c r="CO25">
        <v>0</v>
      </c>
      <c r="CP25">
        <f t="shared" si="29"/>
        <v>349.84999999999997</v>
      </c>
      <c r="CQ25">
        <f t="shared" si="30"/>
        <v>0</v>
      </c>
      <c r="CR25">
        <f t="shared" si="31"/>
        <v>1478.3145</v>
      </c>
      <c r="CS25">
        <f t="shared" si="32"/>
        <v>638.43389999999999</v>
      </c>
      <c r="CT25">
        <f t="shared" si="33"/>
        <v>9319.5218999999997</v>
      </c>
      <c r="CU25">
        <f t="shared" si="34"/>
        <v>0</v>
      </c>
      <c r="CV25">
        <f t="shared" si="35"/>
        <v>188.54</v>
      </c>
      <c r="CW25">
        <f t="shared" si="36"/>
        <v>7.74</v>
      </c>
      <c r="CX25">
        <f t="shared" si="37"/>
        <v>0</v>
      </c>
      <c r="CY25">
        <f t="shared" si="38"/>
        <v>319.41359999999997</v>
      </c>
      <c r="CZ25">
        <f t="shared" si="39"/>
        <v>193.58399999999997</v>
      </c>
      <c r="DC25" t="s">
        <v>6</v>
      </c>
      <c r="DD25" t="s">
        <v>6</v>
      </c>
      <c r="DE25" t="s">
        <v>6</v>
      </c>
      <c r="DF25" t="s">
        <v>6</v>
      </c>
      <c r="DG25" t="s">
        <v>6</v>
      </c>
      <c r="DH25" t="s">
        <v>6</v>
      </c>
      <c r="DI25" t="s">
        <v>6</v>
      </c>
      <c r="DJ25" t="s">
        <v>6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16510555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46001</v>
      </c>
      <c r="EL25" t="s">
        <v>19</v>
      </c>
      <c r="EM25" t="s">
        <v>20</v>
      </c>
      <c r="EO25" t="s">
        <v>6</v>
      </c>
      <c r="EQ25">
        <v>131072</v>
      </c>
      <c r="ER25">
        <v>1767.24</v>
      </c>
      <c r="ES25">
        <v>0</v>
      </c>
      <c r="ET25">
        <v>241.95</v>
      </c>
      <c r="EU25">
        <v>104.49</v>
      </c>
      <c r="EV25">
        <v>1525.29</v>
      </c>
      <c r="EW25">
        <v>188.54</v>
      </c>
      <c r="EX25">
        <v>7.74</v>
      </c>
      <c r="EY25">
        <v>0</v>
      </c>
      <c r="FQ25">
        <v>0</v>
      </c>
      <c r="FR25">
        <f t="shared" si="40"/>
        <v>0</v>
      </c>
      <c r="FS25">
        <v>0</v>
      </c>
      <c r="FT25" t="s">
        <v>21</v>
      </c>
      <c r="FU25" t="s">
        <v>22</v>
      </c>
      <c r="FX25">
        <v>99</v>
      </c>
      <c r="FY25">
        <v>59.5</v>
      </c>
      <c r="GA25" t="s">
        <v>6</v>
      </c>
      <c r="GD25">
        <v>0</v>
      </c>
      <c r="GF25">
        <v>1630687704</v>
      </c>
      <c r="GG25">
        <v>1</v>
      </c>
      <c r="GH25">
        <v>1</v>
      </c>
      <c r="GI25">
        <v>4</v>
      </c>
      <c r="GJ25">
        <v>0</v>
      </c>
      <c r="GK25">
        <f>ROUND(R25*(S12)/100,2)</f>
        <v>0</v>
      </c>
      <c r="GL25">
        <f t="shared" si="41"/>
        <v>0</v>
      </c>
      <c r="GM25">
        <f t="shared" si="42"/>
        <v>862.84</v>
      </c>
      <c r="GN25">
        <f t="shared" si="43"/>
        <v>862.84</v>
      </c>
      <c r="GO25">
        <f t="shared" si="44"/>
        <v>0</v>
      </c>
      <c r="GP25">
        <f t="shared" si="45"/>
        <v>0</v>
      </c>
      <c r="GR25">
        <v>0</v>
      </c>
      <c r="GS25">
        <v>3</v>
      </c>
      <c r="GT25">
        <v>0</v>
      </c>
      <c r="GU25" t="s">
        <v>6</v>
      </c>
      <c r="GV25">
        <f t="shared" si="46"/>
        <v>0</v>
      </c>
      <c r="GW25">
        <v>1</v>
      </c>
      <c r="GX25">
        <f t="shared" si="47"/>
        <v>0</v>
      </c>
      <c r="HA25">
        <v>0</v>
      </c>
      <c r="HB25">
        <v>0</v>
      </c>
      <c r="HC25">
        <f t="shared" si="48"/>
        <v>0</v>
      </c>
      <c r="IK25">
        <v>0</v>
      </c>
    </row>
    <row r="26" spans="1:255" x14ac:dyDescent="0.2">
      <c r="A26" s="2">
        <v>17</v>
      </c>
      <c r="B26" s="2">
        <v>1</v>
      </c>
      <c r="C26" s="2">
        <f>ROW(SmtRes!A17)</f>
        <v>17</v>
      </c>
      <c r="D26" s="2">
        <f>ROW(EtalonRes!A17)</f>
        <v>17</v>
      </c>
      <c r="E26" s="2" t="s">
        <v>23</v>
      </c>
      <c r="F26" s="2" t="s">
        <v>24</v>
      </c>
      <c r="G26" s="2" t="s">
        <v>25</v>
      </c>
      <c r="H26" s="2" t="s">
        <v>16</v>
      </c>
      <c r="I26" s="2">
        <f>ROUND(3.24/100,9)</f>
        <v>3.2399999999999998E-2</v>
      </c>
      <c r="J26" s="2">
        <v>0</v>
      </c>
      <c r="K26" s="2"/>
      <c r="L26" s="2"/>
      <c r="M26" s="2"/>
      <c r="N26" s="2"/>
      <c r="O26" s="2">
        <f t="shared" si="14"/>
        <v>326.66000000000003</v>
      </c>
      <c r="P26" s="2">
        <f t="shared" si="15"/>
        <v>268.87</v>
      </c>
      <c r="Q26" s="2">
        <f t="shared" si="16"/>
        <v>10.34</v>
      </c>
      <c r="R26" s="2">
        <f t="shared" si="17"/>
        <v>2.04</v>
      </c>
      <c r="S26" s="2">
        <f t="shared" si="18"/>
        <v>47.45</v>
      </c>
      <c r="T26" s="2">
        <f t="shared" si="19"/>
        <v>0</v>
      </c>
      <c r="U26" s="2">
        <f t="shared" si="20"/>
        <v>5.429527199999999</v>
      </c>
      <c r="V26" s="2">
        <f t="shared" si="21"/>
        <v>0.171315</v>
      </c>
      <c r="W26" s="2">
        <f t="shared" si="22"/>
        <v>0</v>
      </c>
      <c r="X26" s="2">
        <f t="shared" si="23"/>
        <v>52.46</v>
      </c>
      <c r="Y26" s="2">
        <f t="shared" si="24"/>
        <v>26.72</v>
      </c>
      <c r="Z26" s="2"/>
      <c r="AA26" s="2">
        <v>16784195</v>
      </c>
      <c r="AB26" s="2">
        <f t="shared" si="25"/>
        <v>10081.99</v>
      </c>
      <c r="AC26" s="2">
        <f t="shared" si="26"/>
        <v>8298.35</v>
      </c>
      <c r="AD26" s="2">
        <f>ROUND(((((ET26*1.25))-((EU26*1.25)))+AE26),2)</f>
        <v>319.01</v>
      </c>
      <c r="AE26" s="2">
        <f>ROUND(((EU26*1.25)),2)</f>
        <v>62.9</v>
      </c>
      <c r="AF26" s="2">
        <f>ROUND(((EV26*1.15)),2)</f>
        <v>1464.63</v>
      </c>
      <c r="AG26" s="2">
        <f t="shared" si="27"/>
        <v>0</v>
      </c>
      <c r="AH26" s="2">
        <f>((EW26*1.15))</f>
        <v>167.57799999999997</v>
      </c>
      <c r="AI26" s="2">
        <f>((EX26*1.25))</f>
        <v>5.2875000000000005</v>
      </c>
      <c r="AJ26" s="2">
        <f t="shared" si="28"/>
        <v>0</v>
      </c>
      <c r="AK26" s="2">
        <v>9827.15</v>
      </c>
      <c r="AL26" s="2">
        <v>8298.35</v>
      </c>
      <c r="AM26" s="2">
        <v>255.21</v>
      </c>
      <c r="AN26" s="2">
        <v>50.32</v>
      </c>
      <c r="AO26" s="2">
        <v>1273.5899999999999</v>
      </c>
      <c r="AP26" s="2">
        <v>0</v>
      </c>
      <c r="AQ26" s="2">
        <v>145.72</v>
      </c>
      <c r="AR26" s="2">
        <v>4.2300000000000004</v>
      </c>
      <c r="AS26" s="2">
        <v>0</v>
      </c>
      <c r="AT26" s="2">
        <v>106</v>
      </c>
      <c r="AU26" s="2">
        <v>54</v>
      </c>
      <c r="AV26" s="2">
        <v>1</v>
      </c>
      <c r="AW26" s="2">
        <v>1</v>
      </c>
      <c r="AX26" s="2"/>
      <c r="AY26" s="2"/>
      <c r="AZ26" s="2">
        <v>1</v>
      </c>
      <c r="BA26" s="2">
        <v>1</v>
      </c>
      <c r="BB26" s="2">
        <v>1</v>
      </c>
      <c r="BC26" s="2">
        <v>1</v>
      </c>
      <c r="BD26" s="2" t="s">
        <v>6</v>
      </c>
      <c r="BE26" s="2" t="s">
        <v>6</v>
      </c>
      <c r="BF26" s="2" t="s">
        <v>6</v>
      </c>
      <c r="BG26" s="2" t="s">
        <v>6</v>
      </c>
      <c r="BH26" s="2">
        <v>0</v>
      </c>
      <c r="BI26" s="2">
        <v>1</v>
      </c>
      <c r="BJ26" s="2" t="s">
        <v>26</v>
      </c>
      <c r="BK26" s="2"/>
      <c r="BL26" s="2"/>
      <c r="BM26" s="2">
        <v>10001</v>
      </c>
      <c r="BN26" s="2">
        <v>0</v>
      </c>
      <c r="BO26" s="2" t="s">
        <v>6</v>
      </c>
      <c r="BP26" s="2">
        <v>0</v>
      </c>
      <c r="BQ26" s="2">
        <v>2</v>
      </c>
      <c r="BR26" s="2">
        <v>0</v>
      </c>
      <c r="BS26" s="2">
        <v>1</v>
      </c>
      <c r="BT26" s="2">
        <v>1</v>
      </c>
      <c r="BU26" s="2">
        <v>1</v>
      </c>
      <c r="BV26" s="2">
        <v>1</v>
      </c>
      <c r="BW26" s="2">
        <v>1</v>
      </c>
      <c r="BX26" s="2">
        <v>1</v>
      </c>
      <c r="BY26" s="2" t="s">
        <v>6</v>
      </c>
      <c r="BZ26" s="2">
        <v>118</v>
      </c>
      <c r="CA26" s="2">
        <v>63</v>
      </c>
      <c r="CB26" s="2"/>
      <c r="CC26" s="2"/>
      <c r="CD26" s="2"/>
      <c r="CE26" s="2">
        <v>0</v>
      </c>
      <c r="CF26" s="2">
        <v>0</v>
      </c>
      <c r="CG26" s="2">
        <v>0</v>
      </c>
      <c r="CH26" s="2"/>
      <c r="CI26" s="2"/>
      <c r="CJ26" s="2"/>
      <c r="CK26" s="2"/>
      <c r="CL26" s="2"/>
      <c r="CM26" s="2">
        <v>0</v>
      </c>
      <c r="CN26" s="2" t="s">
        <v>824</v>
      </c>
      <c r="CO26" s="2">
        <v>0</v>
      </c>
      <c r="CP26" s="2">
        <f t="shared" si="29"/>
        <v>326.65999999999997</v>
      </c>
      <c r="CQ26" s="2">
        <f t="shared" si="30"/>
        <v>8298.35</v>
      </c>
      <c r="CR26" s="2">
        <f t="shared" si="31"/>
        <v>319.01</v>
      </c>
      <c r="CS26" s="2">
        <f t="shared" si="32"/>
        <v>62.9</v>
      </c>
      <c r="CT26" s="2">
        <f t="shared" si="33"/>
        <v>1464.63</v>
      </c>
      <c r="CU26" s="2">
        <f t="shared" si="34"/>
        <v>0</v>
      </c>
      <c r="CV26" s="2">
        <f t="shared" si="35"/>
        <v>167.57799999999997</v>
      </c>
      <c r="CW26" s="2">
        <f t="shared" si="36"/>
        <v>5.2875000000000005</v>
      </c>
      <c r="CX26" s="2">
        <f t="shared" si="37"/>
        <v>0</v>
      </c>
      <c r="CY26" s="2">
        <f t="shared" si="38"/>
        <v>52.459400000000002</v>
      </c>
      <c r="CZ26" s="2">
        <f t="shared" si="39"/>
        <v>26.724599999999999</v>
      </c>
      <c r="DA26" s="2"/>
      <c r="DB26" s="2"/>
      <c r="DC26" s="2" t="s">
        <v>6</v>
      </c>
      <c r="DD26" s="2" t="s">
        <v>6</v>
      </c>
      <c r="DE26" s="2" t="s">
        <v>27</v>
      </c>
      <c r="DF26" s="2" t="s">
        <v>27</v>
      </c>
      <c r="DG26" s="2" t="s">
        <v>28</v>
      </c>
      <c r="DH26" s="2" t="s">
        <v>6</v>
      </c>
      <c r="DI26" s="2" t="s">
        <v>28</v>
      </c>
      <c r="DJ26" s="2" t="s">
        <v>27</v>
      </c>
      <c r="DK26" s="2" t="s">
        <v>6</v>
      </c>
      <c r="DL26" s="2" t="s">
        <v>6</v>
      </c>
      <c r="DM26" s="2" t="s">
        <v>6</v>
      </c>
      <c r="DN26" s="2">
        <v>0</v>
      </c>
      <c r="DO26" s="2">
        <v>0</v>
      </c>
      <c r="DP26" s="2">
        <v>1</v>
      </c>
      <c r="DQ26" s="2">
        <v>1</v>
      </c>
      <c r="DR26" s="2"/>
      <c r="DS26" s="2"/>
      <c r="DT26" s="2"/>
      <c r="DU26" s="2">
        <v>1005</v>
      </c>
      <c r="DV26" s="2" t="s">
        <v>16</v>
      </c>
      <c r="DW26" s="2" t="s">
        <v>16</v>
      </c>
      <c r="DX26" s="2">
        <v>100</v>
      </c>
      <c r="DY26" s="2"/>
      <c r="DZ26" s="2"/>
      <c r="EA26" s="2"/>
      <c r="EB26" s="2"/>
      <c r="EC26" s="2"/>
      <c r="ED26" s="2"/>
      <c r="EE26" s="2">
        <v>16510487</v>
      </c>
      <c r="EF26" s="2">
        <v>2</v>
      </c>
      <c r="EG26" s="2" t="s">
        <v>18</v>
      </c>
      <c r="EH26" s="2">
        <v>0</v>
      </c>
      <c r="EI26" s="2" t="s">
        <v>6</v>
      </c>
      <c r="EJ26" s="2">
        <v>1</v>
      </c>
      <c r="EK26" s="2">
        <v>10001</v>
      </c>
      <c r="EL26" s="2" t="s">
        <v>29</v>
      </c>
      <c r="EM26" s="2" t="s">
        <v>30</v>
      </c>
      <c r="EN26" s="2"/>
      <c r="EO26" s="2" t="s">
        <v>31</v>
      </c>
      <c r="EP26" s="2"/>
      <c r="EQ26" s="2">
        <v>131072</v>
      </c>
      <c r="ER26" s="2">
        <v>9827.15</v>
      </c>
      <c r="ES26" s="2">
        <v>8298.35</v>
      </c>
      <c r="ET26" s="2">
        <v>255.21</v>
      </c>
      <c r="EU26" s="2">
        <v>50.32</v>
      </c>
      <c r="EV26" s="2">
        <v>1273.5899999999999</v>
      </c>
      <c r="EW26" s="2">
        <v>145.72</v>
      </c>
      <c r="EX26" s="2">
        <v>4.2300000000000004</v>
      </c>
      <c r="EY26" s="2">
        <v>0</v>
      </c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>
        <v>0</v>
      </c>
      <c r="FR26" s="2">
        <f t="shared" si="40"/>
        <v>0</v>
      </c>
      <c r="FS26" s="2">
        <v>0</v>
      </c>
      <c r="FT26" s="2" t="s">
        <v>21</v>
      </c>
      <c r="FU26" s="2" t="s">
        <v>22</v>
      </c>
      <c r="FV26" s="2"/>
      <c r="FW26" s="2"/>
      <c r="FX26" s="2">
        <v>106.2</v>
      </c>
      <c r="FY26" s="2">
        <v>53.55</v>
      </c>
      <c r="FZ26" s="2"/>
      <c r="GA26" s="2" t="s">
        <v>6</v>
      </c>
      <c r="GB26" s="2"/>
      <c r="GC26" s="2"/>
      <c r="GD26" s="2">
        <v>0</v>
      </c>
      <c r="GE26" s="2"/>
      <c r="GF26" s="2">
        <v>1452579699</v>
      </c>
      <c r="GG26" s="2">
        <v>2</v>
      </c>
      <c r="GH26" s="2">
        <v>1</v>
      </c>
      <c r="GI26" s="2">
        <v>-2</v>
      </c>
      <c r="GJ26" s="2">
        <v>0</v>
      </c>
      <c r="GK26" s="2">
        <f>ROUND(R26*(R12)/100,2)</f>
        <v>0</v>
      </c>
      <c r="GL26" s="2">
        <f t="shared" si="41"/>
        <v>0</v>
      </c>
      <c r="GM26" s="2">
        <f t="shared" si="42"/>
        <v>405.84</v>
      </c>
      <c r="GN26" s="2">
        <f t="shared" si="43"/>
        <v>405.84</v>
      </c>
      <c r="GO26" s="2">
        <f t="shared" si="44"/>
        <v>0</v>
      </c>
      <c r="GP26" s="2">
        <f t="shared" si="45"/>
        <v>0</v>
      </c>
      <c r="GQ26" s="2"/>
      <c r="GR26" s="2">
        <v>0</v>
      </c>
      <c r="GS26" s="2">
        <v>3</v>
      </c>
      <c r="GT26" s="2">
        <v>0</v>
      </c>
      <c r="GU26" s="2" t="s">
        <v>6</v>
      </c>
      <c r="GV26" s="2">
        <f t="shared" si="46"/>
        <v>0</v>
      </c>
      <c r="GW26" s="2">
        <v>1</v>
      </c>
      <c r="GX26" s="2">
        <f t="shared" si="47"/>
        <v>0</v>
      </c>
      <c r="GY26" s="2"/>
      <c r="GZ26" s="2"/>
      <c r="HA26" s="2">
        <v>0</v>
      </c>
      <c r="HB26" s="2">
        <v>0</v>
      </c>
      <c r="HC26" s="2">
        <f t="shared" si="48"/>
        <v>0</v>
      </c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>
        <v>0</v>
      </c>
      <c r="IL26" s="2"/>
      <c r="IM26" s="2"/>
      <c r="IN26" s="2"/>
      <c r="IO26" s="2"/>
      <c r="IP26" s="2"/>
      <c r="IQ26" s="2"/>
      <c r="IR26" s="2"/>
      <c r="IS26" s="2"/>
      <c r="IT26" s="2"/>
      <c r="IU26" s="2"/>
    </row>
    <row r="27" spans="1:255" x14ac:dyDescent="0.2">
      <c r="A27">
        <v>17</v>
      </c>
      <c r="B27">
        <v>1</v>
      </c>
      <c r="C27">
        <f>ROW(SmtRes!A28)</f>
        <v>28</v>
      </c>
      <c r="D27">
        <f>ROW(EtalonRes!A28)</f>
        <v>28</v>
      </c>
      <c r="E27" t="s">
        <v>23</v>
      </c>
      <c r="F27" t="s">
        <v>24</v>
      </c>
      <c r="G27" t="s">
        <v>25</v>
      </c>
      <c r="H27" t="s">
        <v>16</v>
      </c>
      <c r="I27">
        <f>ROUND(3.24/100,9)</f>
        <v>3.2399999999999998E-2</v>
      </c>
      <c r="J27">
        <v>0</v>
      </c>
      <c r="O27">
        <f t="shared" si="14"/>
        <v>1995.86</v>
      </c>
      <c r="P27">
        <f t="shared" si="15"/>
        <v>1642.77</v>
      </c>
      <c r="Q27">
        <f t="shared" si="16"/>
        <v>63.15</v>
      </c>
      <c r="R27">
        <f t="shared" si="17"/>
        <v>12.45</v>
      </c>
      <c r="S27">
        <f t="shared" si="18"/>
        <v>289.94</v>
      </c>
      <c r="T27">
        <f t="shared" si="19"/>
        <v>0</v>
      </c>
      <c r="U27">
        <f t="shared" si="20"/>
        <v>5.429527199999999</v>
      </c>
      <c r="V27">
        <f t="shared" si="21"/>
        <v>0.171315</v>
      </c>
      <c r="W27">
        <f t="shared" si="22"/>
        <v>0</v>
      </c>
      <c r="X27">
        <f t="shared" si="23"/>
        <v>320.52999999999997</v>
      </c>
      <c r="Y27">
        <f t="shared" si="24"/>
        <v>163.29</v>
      </c>
      <c r="AA27">
        <v>16784196</v>
      </c>
      <c r="AB27">
        <f t="shared" si="25"/>
        <v>10081.99</v>
      </c>
      <c r="AC27">
        <f t="shared" si="26"/>
        <v>8298.35</v>
      </c>
      <c r="AD27">
        <f>ROUND(((((ET27*1.25))-((EU27*1.25)))+AE27),2)</f>
        <v>319.01</v>
      </c>
      <c r="AE27">
        <f>ROUND(((EU27*1.25)),2)</f>
        <v>62.9</v>
      </c>
      <c r="AF27">
        <f>ROUND(((EV27*1.15)),2)</f>
        <v>1464.63</v>
      </c>
      <c r="AG27">
        <f t="shared" si="27"/>
        <v>0</v>
      </c>
      <c r="AH27">
        <f>((EW27*1.15))</f>
        <v>167.57799999999997</v>
      </c>
      <c r="AI27">
        <f>((EX27*1.25))</f>
        <v>5.2875000000000005</v>
      </c>
      <c r="AJ27">
        <f t="shared" si="28"/>
        <v>0</v>
      </c>
      <c r="AK27">
        <v>9827.15</v>
      </c>
      <c r="AL27">
        <v>8298.35</v>
      </c>
      <c r="AM27">
        <v>255.21</v>
      </c>
      <c r="AN27">
        <v>50.32</v>
      </c>
      <c r="AO27">
        <v>1273.5899999999999</v>
      </c>
      <c r="AP27">
        <v>0</v>
      </c>
      <c r="AQ27">
        <v>145.72</v>
      </c>
      <c r="AR27">
        <v>4.2300000000000004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6.11</v>
      </c>
      <c r="BA27">
        <v>6.11</v>
      </c>
      <c r="BB27">
        <v>6.11</v>
      </c>
      <c r="BC27">
        <v>6.11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26</v>
      </c>
      <c r="BM27">
        <v>10001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6.11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118</v>
      </c>
      <c r="CA27">
        <v>63</v>
      </c>
      <c r="CE27">
        <v>0</v>
      </c>
      <c r="CF27">
        <v>0</v>
      </c>
      <c r="CG27">
        <v>0</v>
      </c>
      <c r="CM27">
        <v>0</v>
      </c>
      <c r="CN27" t="s">
        <v>824</v>
      </c>
      <c r="CO27">
        <v>0</v>
      </c>
      <c r="CP27">
        <f t="shared" si="29"/>
        <v>1995.8600000000001</v>
      </c>
      <c r="CQ27">
        <f t="shared" si="30"/>
        <v>50702.918500000007</v>
      </c>
      <c r="CR27">
        <f t="shared" si="31"/>
        <v>1949.1511</v>
      </c>
      <c r="CS27">
        <f t="shared" si="32"/>
        <v>384.31900000000002</v>
      </c>
      <c r="CT27">
        <f t="shared" si="33"/>
        <v>8948.8893000000007</v>
      </c>
      <c r="CU27">
        <f t="shared" si="34"/>
        <v>0</v>
      </c>
      <c r="CV27">
        <f t="shared" si="35"/>
        <v>167.57799999999997</v>
      </c>
      <c r="CW27">
        <f t="shared" si="36"/>
        <v>5.2875000000000005</v>
      </c>
      <c r="CX27">
        <f t="shared" si="37"/>
        <v>0</v>
      </c>
      <c r="CY27">
        <f t="shared" si="38"/>
        <v>320.53340000000003</v>
      </c>
      <c r="CZ27">
        <f t="shared" si="39"/>
        <v>163.29059999999998</v>
      </c>
      <c r="DC27" t="s">
        <v>6</v>
      </c>
      <c r="DD27" t="s">
        <v>6</v>
      </c>
      <c r="DE27" t="s">
        <v>27</v>
      </c>
      <c r="DF27" t="s">
        <v>27</v>
      </c>
      <c r="DG27" t="s">
        <v>28</v>
      </c>
      <c r="DH27" t="s">
        <v>6</v>
      </c>
      <c r="DI27" t="s">
        <v>28</v>
      </c>
      <c r="DJ27" t="s">
        <v>27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1005</v>
      </c>
      <c r="DV27" t="s">
        <v>16</v>
      </c>
      <c r="DW27" t="s">
        <v>16</v>
      </c>
      <c r="DX27">
        <v>100</v>
      </c>
      <c r="EE27">
        <v>16510487</v>
      </c>
      <c r="EF27">
        <v>2</v>
      </c>
      <c r="EG27" t="s">
        <v>18</v>
      </c>
      <c r="EH27">
        <v>0</v>
      </c>
      <c r="EI27" t="s">
        <v>6</v>
      </c>
      <c r="EJ27">
        <v>1</v>
      </c>
      <c r="EK27">
        <v>10001</v>
      </c>
      <c r="EL27" t="s">
        <v>29</v>
      </c>
      <c r="EM27" t="s">
        <v>30</v>
      </c>
      <c r="EO27" t="s">
        <v>31</v>
      </c>
      <c r="EQ27">
        <v>131072</v>
      </c>
      <c r="ER27">
        <v>9827.15</v>
      </c>
      <c r="ES27">
        <v>8298.35</v>
      </c>
      <c r="ET27">
        <v>255.21</v>
      </c>
      <c r="EU27">
        <v>50.32</v>
      </c>
      <c r="EV27">
        <v>1273.5899999999999</v>
      </c>
      <c r="EW27">
        <v>145.72</v>
      </c>
      <c r="EX27">
        <v>4.2300000000000004</v>
      </c>
      <c r="EY27">
        <v>0</v>
      </c>
      <c r="FQ27">
        <v>0</v>
      </c>
      <c r="FR27">
        <f t="shared" si="40"/>
        <v>0</v>
      </c>
      <c r="FS27">
        <v>0</v>
      </c>
      <c r="FT27" t="s">
        <v>21</v>
      </c>
      <c r="FU27" t="s">
        <v>22</v>
      </c>
      <c r="FX27">
        <v>106.2</v>
      </c>
      <c r="FY27">
        <v>53.55</v>
      </c>
      <c r="GA27" t="s">
        <v>6</v>
      </c>
      <c r="GD27">
        <v>0</v>
      </c>
      <c r="GF27">
        <v>1452579699</v>
      </c>
      <c r="GG27">
        <v>1</v>
      </c>
      <c r="GH27">
        <v>1</v>
      </c>
      <c r="GI27">
        <v>4</v>
      </c>
      <c r="GJ27">
        <v>0</v>
      </c>
      <c r="GK27">
        <f>ROUND(R27*(S12)/100,2)</f>
        <v>0</v>
      </c>
      <c r="GL27">
        <f t="shared" si="41"/>
        <v>0</v>
      </c>
      <c r="GM27">
        <f t="shared" si="42"/>
        <v>2479.6799999999998</v>
      </c>
      <c r="GN27">
        <f t="shared" si="43"/>
        <v>2479.6799999999998</v>
      </c>
      <c r="GO27">
        <f t="shared" si="44"/>
        <v>0</v>
      </c>
      <c r="GP27">
        <f t="shared" si="45"/>
        <v>0</v>
      </c>
      <c r="GR27">
        <v>0</v>
      </c>
      <c r="GS27">
        <v>3</v>
      </c>
      <c r="GT27">
        <v>0</v>
      </c>
      <c r="GU27" t="s">
        <v>6</v>
      </c>
      <c r="GV27">
        <f t="shared" si="46"/>
        <v>0</v>
      </c>
      <c r="GW27">
        <v>1</v>
      </c>
      <c r="GX27">
        <f t="shared" si="47"/>
        <v>0</v>
      </c>
      <c r="HA27">
        <v>0</v>
      </c>
      <c r="HB27">
        <v>0</v>
      </c>
      <c r="HC27">
        <f t="shared" si="48"/>
        <v>0</v>
      </c>
      <c r="IK27">
        <v>0</v>
      </c>
    </row>
    <row r="28" spans="1:255" x14ac:dyDescent="0.2">
      <c r="A28" s="2">
        <v>18</v>
      </c>
      <c r="B28" s="2">
        <v>1</v>
      </c>
      <c r="C28" s="2">
        <v>15</v>
      </c>
      <c r="D28" s="2"/>
      <c r="E28" s="2" t="s">
        <v>32</v>
      </c>
      <c r="F28" s="2" t="s">
        <v>33</v>
      </c>
      <c r="G28" s="2" t="s">
        <v>34</v>
      </c>
      <c r="H28" s="2" t="s">
        <v>35</v>
      </c>
      <c r="I28" s="2">
        <f>I26*J28</f>
        <v>3.24</v>
      </c>
      <c r="J28" s="2">
        <v>100.00000000000001</v>
      </c>
      <c r="K28" s="2"/>
      <c r="L28" s="2"/>
      <c r="M28" s="2"/>
      <c r="N28" s="2"/>
      <c r="O28" s="2">
        <f t="shared" si="14"/>
        <v>8277.33</v>
      </c>
      <c r="P28" s="2">
        <f t="shared" si="15"/>
        <v>8277.33</v>
      </c>
      <c r="Q28" s="2">
        <f t="shared" si="16"/>
        <v>0</v>
      </c>
      <c r="R28" s="2">
        <f t="shared" si="17"/>
        <v>0</v>
      </c>
      <c r="S28" s="2">
        <f t="shared" si="18"/>
        <v>0</v>
      </c>
      <c r="T28" s="2">
        <f t="shared" si="19"/>
        <v>0</v>
      </c>
      <c r="U28" s="2">
        <f t="shared" si="20"/>
        <v>0</v>
      </c>
      <c r="V28" s="2">
        <f t="shared" si="21"/>
        <v>0</v>
      </c>
      <c r="W28" s="2">
        <f t="shared" si="22"/>
        <v>0</v>
      </c>
      <c r="X28" s="2">
        <f t="shared" si="23"/>
        <v>0</v>
      </c>
      <c r="Y28" s="2">
        <f t="shared" si="24"/>
        <v>0</v>
      </c>
      <c r="Z28" s="2"/>
      <c r="AA28" s="2">
        <v>16784195</v>
      </c>
      <c r="AB28" s="2">
        <f t="shared" si="25"/>
        <v>2554.73</v>
      </c>
      <c r="AC28" s="2">
        <f t="shared" si="26"/>
        <v>2554.73</v>
      </c>
      <c r="AD28" s="2">
        <f>ROUND((((ET28)-(EU28))+AE28),2)</f>
        <v>0</v>
      </c>
      <c r="AE28" s="2">
        <f>ROUND((EU28),2)</f>
        <v>0</v>
      </c>
      <c r="AF28" s="2">
        <f>ROUND((EV28),2)</f>
        <v>0</v>
      </c>
      <c r="AG28" s="2">
        <f t="shared" si="27"/>
        <v>0</v>
      </c>
      <c r="AH28" s="2">
        <f>(EW28)</f>
        <v>0</v>
      </c>
      <c r="AI28" s="2">
        <f>(EX28)</f>
        <v>0</v>
      </c>
      <c r="AJ28" s="2">
        <f t="shared" si="28"/>
        <v>0</v>
      </c>
      <c r="AK28" s="2">
        <v>2554.73</v>
      </c>
      <c r="AL28" s="2">
        <v>2554.73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106</v>
      </c>
      <c r="AU28" s="2">
        <v>54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6</v>
      </c>
      <c r="BE28" s="2" t="s">
        <v>6</v>
      </c>
      <c r="BF28" s="2" t="s">
        <v>6</v>
      </c>
      <c r="BG28" s="2" t="s">
        <v>6</v>
      </c>
      <c r="BH28" s="2">
        <v>3</v>
      </c>
      <c r="BI28" s="2">
        <v>1</v>
      </c>
      <c r="BJ28" s="2" t="s">
        <v>36</v>
      </c>
      <c r="BK28" s="2"/>
      <c r="BL28" s="2"/>
      <c r="BM28" s="2">
        <v>10001</v>
      </c>
      <c r="BN28" s="2">
        <v>0</v>
      </c>
      <c r="BO28" s="2" t="s">
        <v>6</v>
      </c>
      <c r="BP28" s="2">
        <v>0</v>
      </c>
      <c r="BQ28" s="2">
        <v>2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6</v>
      </c>
      <c r="BZ28" s="2">
        <v>118</v>
      </c>
      <c r="CA28" s="2">
        <v>63</v>
      </c>
      <c r="CB28" s="2"/>
      <c r="CC28" s="2"/>
      <c r="CD28" s="2"/>
      <c r="CE28" s="2">
        <v>0</v>
      </c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6</v>
      </c>
      <c r="CO28" s="2">
        <v>0</v>
      </c>
      <c r="CP28" s="2">
        <f t="shared" si="29"/>
        <v>8277.33</v>
      </c>
      <c r="CQ28" s="2">
        <f t="shared" si="30"/>
        <v>2554.73</v>
      </c>
      <c r="CR28" s="2">
        <f t="shared" si="31"/>
        <v>0</v>
      </c>
      <c r="CS28" s="2">
        <f t="shared" si="32"/>
        <v>0</v>
      </c>
      <c r="CT28" s="2">
        <f t="shared" si="33"/>
        <v>0</v>
      </c>
      <c r="CU28" s="2">
        <f t="shared" si="34"/>
        <v>0</v>
      </c>
      <c r="CV28" s="2">
        <f t="shared" si="35"/>
        <v>0</v>
      </c>
      <c r="CW28" s="2">
        <f t="shared" si="36"/>
        <v>0</v>
      </c>
      <c r="CX28" s="2">
        <f t="shared" si="37"/>
        <v>0</v>
      </c>
      <c r="CY28" s="2">
        <f t="shared" si="38"/>
        <v>0</v>
      </c>
      <c r="CZ28" s="2">
        <f t="shared" si="39"/>
        <v>0</v>
      </c>
      <c r="DA28" s="2"/>
      <c r="DB28" s="2"/>
      <c r="DC28" s="2" t="s">
        <v>6</v>
      </c>
      <c r="DD28" s="2" t="s">
        <v>6</v>
      </c>
      <c r="DE28" s="2" t="s">
        <v>6</v>
      </c>
      <c r="DF28" s="2" t="s">
        <v>6</v>
      </c>
      <c r="DG28" s="2" t="s">
        <v>6</v>
      </c>
      <c r="DH28" s="2" t="s">
        <v>6</v>
      </c>
      <c r="DI28" s="2" t="s">
        <v>6</v>
      </c>
      <c r="DJ28" s="2" t="s">
        <v>6</v>
      </c>
      <c r="DK28" s="2" t="s">
        <v>6</v>
      </c>
      <c r="DL28" s="2" t="s">
        <v>6</v>
      </c>
      <c r="DM28" s="2" t="s">
        <v>6</v>
      </c>
      <c r="DN28" s="2">
        <v>0</v>
      </c>
      <c r="DO28" s="2">
        <v>0</v>
      </c>
      <c r="DP28" s="2">
        <v>1</v>
      </c>
      <c r="DQ28" s="2">
        <v>1</v>
      </c>
      <c r="DR28" s="2"/>
      <c r="DS28" s="2"/>
      <c r="DT28" s="2"/>
      <c r="DU28" s="2">
        <v>1005</v>
      </c>
      <c r="DV28" s="2" t="s">
        <v>35</v>
      </c>
      <c r="DW28" s="2" t="s">
        <v>35</v>
      </c>
      <c r="DX28" s="2">
        <v>1</v>
      </c>
      <c r="DY28" s="2"/>
      <c r="DZ28" s="2"/>
      <c r="EA28" s="2"/>
      <c r="EB28" s="2"/>
      <c r="EC28" s="2"/>
      <c r="ED28" s="2"/>
      <c r="EE28" s="2">
        <v>16510487</v>
      </c>
      <c r="EF28" s="2">
        <v>2</v>
      </c>
      <c r="EG28" s="2" t="s">
        <v>18</v>
      </c>
      <c r="EH28" s="2">
        <v>0</v>
      </c>
      <c r="EI28" s="2" t="s">
        <v>6</v>
      </c>
      <c r="EJ28" s="2">
        <v>1</v>
      </c>
      <c r="EK28" s="2">
        <v>10001</v>
      </c>
      <c r="EL28" s="2" t="s">
        <v>29</v>
      </c>
      <c r="EM28" s="2" t="s">
        <v>30</v>
      </c>
      <c r="EN28" s="2"/>
      <c r="EO28" s="2" t="s">
        <v>6</v>
      </c>
      <c r="EP28" s="2"/>
      <c r="EQ28" s="2">
        <v>0</v>
      </c>
      <c r="ER28" s="2">
        <v>2554.73</v>
      </c>
      <c r="ES28" s="2">
        <v>2554.73</v>
      </c>
      <c r="ET28" s="2">
        <v>0</v>
      </c>
      <c r="EU28" s="2">
        <v>0</v>
      </c>
      <c r="EV28" s="2">
        <v>0</v>
      </c>
      <c r="EW28" s="2">
        <v>0</v>
      </c>
      <c r="EX28" s="2">
        <v>0</v>
      </c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si="40"/>
        <v>0</v>
      </c>
      <c r="FS28" s="2">
        <v>0</v>
      </c>
      <c r="FT28" s="2" t="s">
        <v>21</v>
      </c>
      <c r="FU28" s="2" t="s">
        <v>22</v>
      </c>
      <c r="FV28" s="2"/>
      <c r="FW28" s="2"/>
      <c r="FX28" s="2">
        <v>106.2</v>
      </c>
      <c r="FY28" s="2">
        <v>53.55</v>
      </c>
      <c r="FZ28" s="2"/>
      <c r="GA28" s="2" t="s">
        <v>6</v>
      </c>
      <c r="GB28" s="2"/>
      <c r="GC28" s="2"/>
      <c r="GD28" s="2">
        <v>0</v>
      </c>
      <c r="GE28" s="2"/>
      <c r="GF28" s="2">
        <v>-1297984833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0</v>
      </c>
      <c r="GL28" s="2">
        <f t="shared" si="41"/>
        <v>0</v>
      </c>
      <c r="GM28" s="2">
        <f t="shared" si="42"/>
        <v>8277.33</v>
      </c>
      <c r="GN28" s="2">
        <f t="shared" si="43"/>
        <v>8277.33</v>
      </c>
      <c r="GO28" s="2">
        <f t="shared" si="44"/>
        <v>0</v>
      </c>
      <c r="GP28" s="2">
        <f t="shared" si="45"/>
        <v>0</v>
      </c>
      <c r="GQ28" s="2"/>
      <c r="GR28" s="2">
        <v>0</v>
      </c>
      <c r="GS28" s="2">
        <v>3</v>
      </c>
      <c r="GT28" s="2">
        <v>0</v>
      </c>
      <c r="GU28" s="2" t="s">
        <v>6</v>
      </c>
      <c r="GV28" s="2">
        <f t="shared" si="46"/>
        <v>0</v>
      </c>
      <c r="GW28" s="2">
        <v>1</v>
      </c>
      <c r="GX28" s="2">
        <f t="shared" si="47"/>
        <v>0</v>
      </c>
      <c r="GY28" s="2"/>
      <c r="GZ28" s="2"/>
      <c r="HA28" s="2">
        <v>0</v>
      </c>
      <c r="HB28" s="2">
        <v>0</v>
      </c>
      <c r="HC28" s="2">
        <f t="shared" si="48"/>
        <v>0</v>
      </c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18</v>
      </c>
      <c r="B29">
        <v>1</v>
      </c>
      <c r="C29">
        <v>26</v>
      </c>
      <c r="E29" t="s">
        <v>32</v>
      </c>
      <c r="F29" t="s">
        <v>33</v>
      </c>
      <c r="G29" t="s">
        <v>34</v>
      </c>
      <c r="H29" t="s">
        <v>35</v>
      </c>
      <c r="I29">
        <f>I27*J29</f>
        <v>3.24</v>
      </c>
      <c r="J29">
        <v>100.00000000000001</v>
      </c>
      <c r="O29">
        <f t="shared" si="14"/>
        <v>50574.46</v>
      </c>
      <c r="P29">
        <f t="shared" si="15"/>
        <v>50574.46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16784196</v>
      </c>
      <c r="AB29">
        <f t="shared" si="25"/>
        <v>2554.73</v>
      </c>
      <c r="AC29">
        <f t="shared" si="26"/>
        <v>2554.73</v>
      </c>
      <c r="AD29">
        <f>ROUND((((ET29)-(EU29))+AE29),2)</f>
        <v>0</v>
      </c>
      <c r="AE29">
        <f>ROUND((EU29),2)</f>
        <v>0</v>
      </c>
      <c r="AF29">
        <f>ROUND((EV29),2)</f>
        <v>0</v>
      </c>
      <c r="AG29">
        <f t="shared" si="27"/>
        <v>0</v>
      </c>
      <c r="AH29">
        <f>(EW29)</f>
        <v>0</v>
      </c>
      <c r="AI29">
        <f>(EX29)</f>
        <v>0</v>
      </c>
      <c r="AJ29">
        <f t="shared" si="28"/>
        <v>0</v>
      </c>
      <c r="AK29">
        <v>2554.73</v>
      </c>
      <c r="AL29">
        <v>2554.73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106</v>
      </c>
      <c r="AU29">
        <v>54</v>
      </c>
      <c r="AV29">
        <v>1</v>
      </c>
      <c r="AW29">
        <v>1</v>
      </c>
      <c r="AZ29">
        <v>6.11</v>
      </c>
      <c r="BA29">
        <v>1</v>
      </c>
      <c r="BB29">
        <v>1</v>
      </c>
      <c r="BC29">
        <v>6.11</v>
      </c>
      <c r="BD29" t="s">
        <v>6</v>
      </c>
      <c r="BE29" t="s">
        <v>6</v>
      </c>
      <c r="BF29" t="s">
        <v>6</v>
      </c>
      <c r="BG29" t="s">
        <v>6</v>
      </c>
      <c r="BH29">
        <v>3</v>
      </c>
      <c r="BI29">
        <v>1</v>
      </c>
      <c r="BJ29" t="s">
        <v>36</v>
      </c>
      <c r="BM29">
        <v>10001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118</v>
      </c>
      <c r="CA29">
        <v>63</v>
      </c>
      <c r="CE29">
        <v>0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29"/>
        <v>50574.46</v>
      </c>
      <c r="CQ29">
        <f t="shared" si="30"/>
        <v>15609.400300000001</v>
      </c>
      <c r="CR29">
        <f t="shared" si="31"/>
        <v>0</v>
      </c>
      <c r="CS29">
        <f t="shared" si="32"/>
        <v>0</v>
      </c>
      <c r="CT29">
        <f t="shared" si="33"/>
        <v>0</v>
      </c>
      <c r="CU29">
        <f t="shared" si="34"/>
        <v>0</v>
      </c>
      <c r="CV29">
        <f t="shared" si="35"/>
        <v>0</v>
      </c>
      <c r="CW29">
        <f t="shared" si="36"/>
        <v>0</v>
      </c>
      <c r="CX29">
        <f t="shared" si="37"/>
        <v>0</v>
      </c>
      <c r="CY29">
        <f t="shared" si="38"/>
        <v>0</v>
      </c>
      <c r="CZ29">
        <f t="shared" si="39"/>
        <v>0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35</v>
      </c>
      <c r="DW29" t="s">
        <v>35</v>
      </c>
      <c r="DX29">
        <v>1</v>
      </c>
      <c r="EE29">
        <v>16510487</v>
      </c>
      <c r="EF29">
        <v>2</v>
      </c>
      <c r="EG29" t="s">
        <v>18</v>
      </c>
      <c r="EH29">
        <v>0</v>
      </c>
      <c r="EI29" t="s">
        <v>6</v>
      </c>
      <c r="EJ29">
        <v>1</v>
      </c>
      <c r="EK29">
        <v>10001</v>
      </c>
      <c r="EL29" t="s">
        <v>29</v>
      </c>
      <c r="EM29" t="s">
        <v>30</v>
      </c>
      <c r="EO29" t="s">
        <v>6</v>
      </c>
      <c r="EQ29">
        <v>0</v>
      </c>
      <c r="ER29">
        <v>2554.73</v>
      </c>
      <c r="ES29">
        <v>2554.73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40"/>
        <v>0</v>
      </c>
      <c r="FS29">
        <v>0</v>
      </c>
      <c r="FT29" t="s">
        <v>21</v>
      </c>
      <c r="FU29" t="s">
        <v>22</v>
      </c>
      <c r="FX29">
        <v>106.2</v>
      </c>
      <c r="FY29">
        <v>53.55</v>
      </c>
      <c r="GA29" t="s">
        <v>6</v>
      </c>
      <c r="GD29">
        <v>0</v>
      </c>
      <c r="GF29">
        <v>-1297984833</v>
      </c>
      <c r="GG29">
        <v>1</v>
      </c>
      <c r="GH29">
        <v>1</v>
      </c>
      <c r="GI29">
        <v>4</v>
      </c>
      <c r="GJ29">
        <v>0</v>
      </c>
      <c r="GK29">
        <f>ROUND(R29*(S12)/100,2)</f>
        <v>0</v>
      </c>
      <c r="GL29">
        <f t="shared" si="41"/>
        <v>0</v>
      </c>
      <c r="GM29">
        <f t="shared" si="42"/>
        <v>50574.46</v>
      </c>
      <c r="GN29">
        <f t="shared" si="43"/>
        <v>50574.46</v>
      </c>
      <c r="GO29">
        <f t="shared" si="44"/>
        <v>0</v>
      </c>
      <c r="GP29">
        <f t="shared" si="45"/>
        <v>0</v>
      </c>
      <c r="GR29">
        <v>0</v>
      </c>
      <c r="GS29">
        <v>3</v>
      </c>
      <c r="GT29">
        <v>0</v>
      </c>
      <c r="GU29" t="s">
        <v>6</v>
      </c>
      <c r="GV29">
        <f t="shared" si="46"/>
        <v>0</v>
      </c>
      <c r="GW29">
        <v>1</v>
      </c>
      <c r="GX29">
        <f t="shared" si="47"/>
        <v>0</v>
      </c>
      <c r="HA29">
        <v>0</v>
      </c>
      <c r="HB29">
        <v>0</v>
      </c>
      <c r="HC29">
        <f t="shared" si="48"/>
        <v>0</v>
      </c>
      <c r="IK29">
        <v>0</v>
      </c>
    </row>
    <row r="30" spans="1:255" x14ac:dyDescent="0.2">
      <c r="A30" s="2">
        <v>17</v>
      </c>
      <c r="B30" s="2">
        <v>1</v>
      </c>
      <c r="C30" s="2">
        <f>ROW(SmtRes!A35)</f>
        <v>35</v>
      </c>
      <c r="D30" s="2">
        <f>ROW(EtalonRes!A35)</f>
        <v>35</v>
      </c>
      <c r="E30" s="2" t="s">
        <v>37</v>
      </c>
      <c r="F30" s="2" t="s">
        <v>38</v>
      </c>
      <c r="G30" s="2" t="s">
        <v>39</v>
      </c>
      <c r="H30" s="2" t="s">
        <v>40</v>
      </c>
      <c r="I30" s="2">
        <f>ROUND(1.6/100,9)</f>
        <v>1.6E-2</v>
      </c>
      <c r="J30" s="2">
        <v>0</v>
      </c>
      <c r="K30" s="2"/>
      <c r="L30" s="2"/>
      <c r="M30" s="2"/>
      <c r="N30" s="2"/>
      <c r="O30" s="2">
        <f t="shared" si="14"/>
        <v>104.23</v>
      </c>
      <c r="P30" s="2">
        <f t="shared" si="15"/>
        <v>100.43</v>
      </c>
      <c r="Q30" s="2">
        <f t="shared" si="16"/>
        <v>0.44</v>
      </c>
      <c r="R30" s="2">
        <f t="shared" si="17"/>
        <v>0.09</v>
      </c>
      <c r="S30" s="2">
        <f t="shared" si="18"/>
        <v>3.36</v>
      </c>
      <c r="T30" s="2">
        <f t="shared" si="19"/>
        <v>0</v>
      </c>
      <c r="U30" s="2">
        <f t="shared" si="20"/>
        <v>0.39339199999999996</v>
      </c>
      <c r="V30" s="2">
        <f t="shared" si="21"/>
        <v>7.4000000000000003E-3</v>
      </c>
      <c r="W30" s="2">
        <f t="shared" si="22"/>
        <v>0</v>
      </c>
      <c r="X30" s="2">
        <f t="shared" si="23"/>
        <v>3.66</v>
      </c>
      <c r="Y30" s="2">
        <f t="shared" si="24"/>
        <v>1.86</v>
      </c>
      <c r="Z30" s="2"/>
      <c r="AA30" s="2">
        <v>16784195</v>
      </c>
      <c r="AB30" s="2">
        <f t="shared" si="25"/>
        <v>6514.01</v>
      </c>
      <c r="AC30" s="2">
        <f t="shared" si="26"/>
        <v>6276.9</v>
      </c>
      <c r="AD30" s="2">
        <f>ROUND(((((ET30*1.25))-((EU30*1.25)))+AE30),2)</f>
        <v>27.38</v>
      </c>
      <c r="AE30" s="2">
        <f>ROUND(((EU30*1.25)),2)</f>
        <v>5.54</v>
      </c>
      <c r="AF30" s="2">
        <f>ROUND(((EV30*1.15)),2)</f>
        <v>209.73</v>
      </c>
      <c r="AG30" s="2">
        <f t="shared" si="27"/>
        <v>0</v>
      </c>
      <c r="AH30" s="2">
        <f>((EW30*1.15))</f>
        <v>24.586999999999996</v>
      </c>
      <c r="AI30" s="2">
        <f>((EX30*1.25))</f>
        <v>0.46250000000000002</v>
      </c>
      <c r="AJ30" s="2">
        <f t="shared" si="28"/>
        <v>0</v>
      </c>
      <c r="AK30" s="2">
        <v>6481.17</v>
      </c>
      <c r="AL30" s="2">
        <v>6276.9</v>
      </c>
      <c r="AM30" s="2">
        <v>21.9</v>
      </c>
      <c r="AN30" s="2">
        <v>4.43</v>
      </c>
      <c r="AO30" s="2">
        <v>182.37</v>
      </c>
      <c r="AP30" s="2">
        <v>0</v>
      </c>
      <c r="AQ30" s="2">
        <v>21.38</v>
      </c>
      <c r="AR30" s="2">
        <v>0.37</v>
      </c>
      <c r="AS30" s="2">
        <v>0</v>
      </c>
      <c r="AT30" s="2">
        <v>106</v>
      </c>
      <c r="AU30" s="2">
        <v>54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6</v>
      </c>
      <c r="BE30" s="2" t="s">
        <v>6</v>
      </c>
      <c r="BF30" s="2" t="s">
        <v>6</v>
      </c>
      <c r="BG30" s="2" t="s">
        <v>6</v>
      </c>
      <c r="BH30" s="2">
        <v>0</v>
      </c>
      <c r="BI30" s="2">
        <v>1</v>
      </c>
      <c r="BJ30" s="2" t="s">
        <v>41</v>
      </c>
      <c r="BK30" s="2"/>
      <c r="BL30" s="2"/>
      <c r="BM30" s="2">
        <v>10001</v>
      </c>
      <c r="BN30" s="2">
        <v>0</v>
      </c>
      <c r="BO30" s="2" t="s">
        <v>6</v>
      </c>
      <c r="BP30" s="2">
        <v>0</v>
      </c>
      <c r="BQ30" s="2">
        <v>2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6</v>
      </c>
      <c r="BZ30" s="2">
        <v>118</v>
      </c>
      <c r="CA30" s="2">
        <v>63</v>
      </c>
      <c r="CB30" s="2"/>
      <c r="CC30" s="2"/>
      <c r="CD30" s="2"/>
      <c r="CE30" s="2">
        <v>0</v>
      </c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824</v>
      </c>
      <c r="CO30" s="2">
        <v>0</v>
      </c>
      <c r="CP30" s="2">
        <f t="shared" si="29"/>
        <v>104.23</v>
      </c>
      <c r="CQ30" s="2">
        <f t="shared" si="30"/>
        <v>6276.9</v>
      </c>
      <c r="CR30" s="2">
        <f t="shared" si="31"/>
        <v>27.38</v>
      </c>
      <c r="CS30" s="2">
        <f t="shared" si="32"/>
        <v>5.54</v>
      </c>
      <c r="CT30" s="2">
        <f t="shared" si="33"/>
        <v>209.73</v>
      </c>
      <c r="CU30" s="2">
        <f t="shared" si="34"/>
        <v>0</v>
      </c>
      <c r="CV30" s="2">
        <f t="shared" si="35"/>
        <v>24.586999999999996</v>
      </c>
      <c r="CW30" s="2">
        <f t="shared" si="36"/>
        <v>0.46250000000000002</v>
      </c>
      <c r="CX30" s="2">
        <f t="shared" si="37"/>
        <v>0</v>
      </c>
      <c r="CY30" s="2">
        <f t="shared" si="38"/>
        <v>3.657</v>
      </c>
      <c r="CZ30" s="2">
        <f t="shared" si="39"/>
        <v>1.8629999999999998</v>
      </c>
      <c r="DA30" s="2"/>
      <c r="DB30" s="2"/>
      <c r="DC30" s="2" t="s">
        <v>6</v>
      </c>
      <c r="DD30" s="2" t="s">
        <v>6</v>
      </c>
      <c r="DE30" s="2" t="s">
        <v>27</v>
      </c>
      <c r="DF30" s="2" t="s">
        <v>27</v>
      </c>
      <c r="DG30" s="2" t="s">
        <v>28</v>
      </c>
      <c r="DH30" s="2" t="s">
        <v>6</v>
      </c>
      <c r="DI30" s="2" t="s">
        <v>28</v>
      </c>
      <c r="DJ30" s="2" t="s">
        <v>27</v>
      </c>
      <c r="DK30" s="2" t="s">
        <v>6</v>
      </c>
      <c r="DL30" s="2" t="s">
        <v>6</v>
      </c>
      <c r="DM30" s="2" t="s">
        <v>6</v>
      </c>
      <c r="DN30" s="2">
        <v>0</v>
      </c>
      <c r="DO30" s="2">
        <v>0</v>
      </c>
      <c r="DP30" s="2">
        <v>1</v>
      </c>
      <c r="DQ30" s="2">
        <v>1</v>
      </c>
      <c r="DR30" s="2"/>
      <c r="DS30" s="2"/>
      <c r="DT30" s="2"/>
      <c r="DU30" s="2">
        <v>1003</v>
      </c>
      <c r="DV30" s="2" t="s">
        <v>40</v>
      </c>
      <c r="DW30" s="2" t="s">
        <v>40</v>
      </c>
      <c r="DX30" s="2">
        <v>100</v>
      </c>
      <c r="DY30" s="2"/>
      <c r="DZ30" s="2"/>
      <c r="EA30" s="2"/>
      <c r="EB30" s="2"/>
      <c r="EC30" s="2"/>
      <c r="ED30" s="2"/>
      <c r="EE30" s="2">
        <v>16510487</v>
      </c>
      <c r="EF30" s="2">
        <v>2</v>
      </c>
      <c r="EG30" s="2" t="s">
        <v>18</v>
      </c>
      <c r="EH30" s="2">
        <v>0</v>
      </c>
      <c r="EI30" s="2" t="s">
        <v>6</v>
      </c>
      <c r="EJ30" s="2">
        <v>1</v>
      </c>
      <c r="EK30" s="2">
        <v>10001</v>
      </c>
      <c r="EL30" s="2" t="s">
        <v>29</v>
      </c>
      <c r="EM30" s="2" t="s">
        <v>30</v>
      </c>
      <c r="EN30" s="2"/>
      <c r="EO30" s="2" t="s">
        <v>31</v>
      </c>
      <c r="EP30" s="2"/>
      <c r="EQ30" s="2">
        <v>131072</v>
      </c>
      <c r="ER30" s="2">
        <v>6481.17</v>
      </c>
      <c r="ES30" s="2">
        <v>6276.9</v>
      </c>
      <c r="ET30" s="2">
        <v>21.9</v>
      </c>
      <c r="EU30" s="2">
        <v>4.43</v>
      </c>
      <c r="EV30" s="2">
        <v>182.37</v>
      </c>
      <c r="EW30" s="2">
        <v>21.38</v>
      </c>
      <c r="EX30" s="2">
        <v>0.37</v>
      </c>
      <c r="EY30" s="2">
        <v>0</v>
      </c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0"/>
        <v>0</v>
      </c>
      <c r="FS30" s="2">
        <v>0</v>
      </c>
      <c r="FT30" s="2" t="s">
        <v>21</v>
      </c>
      <c r="FU30" s="2" t="s">
        <v>22</v>
      </c>
      <c r="FV30" s="2"/>
      <c r="FW30" s="2"/>
      <c r="FX30" s="2">
        <v>106.2</v>
      </c>
      <c r="FY30" s="2">
        <v>53.55</v>
      </c>
      <c r="FZ30" s="2"/>
      <c r="GA30" s="2" t="s">
        <v>6</v>
      </c>
      <c r="GB30" s="2"/>
      <c r="GC30" s="2"/>
      <c r="GD30" s="2">
        <v>0</v>
      </c>
      <c r="GE30" s="2"/>
      <c r="GF30" s="2">
        <v>-1968498593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1"/>
        <v>0</v>
      </c>
      <c r="GM30" s="2">
        <f t="shared" si="42"/>
        <v>109.75</v>
      </c>
      <c r="GN30" s="2">
        <f t="shared" si="43"/>
        <v>109.75</v>
      </c>
      <c r="GO30" s="2">
        <f t="shared" si="44"/>
        <v>0</v>
      </c>
      <c r="GP30" s="2">
        <f t="shared" si="45"/>
        <v>0</v>
      </c>
      <c r="GQ30" s="2"/>
      <c r="GR30" s="2">
        <v>0</v>
      </c>
      <c r="GS30" s="2">
        <v>3</v>
      </c>
      <c r="GT30" s="2">
        <v>0</v>
      </c>
      <c r="GU30" s="2" t="s">
        <v>6</v>
      </c>
      <c r="GV30" s="2">
        <f t="shared" si="46"/>
        <v>0</v>
      </c>
      <c r="GW30" s="2">
        <v>1</v>
      </c>
      <c r="GX30" s="2">
        <f t="shared" si="47"/>
        <v>0</v>
      </c>
      <c r="GY30" s="2"/>
      <c r="GZ30" s="2"/>
      <c r="HA30" s="2">
        <v>0</v>
      </c>
      <c r="HB30" s="2">
        <v>0</v>
      </c>
      <c r="HC30" s="2">
        <f t="shared" si="48"/>
        <v>0</v>
      </c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17</v>
      </c>
      <c r="B31">
        <v>1</v>
      </c>
      <c r="C31">
        <f>ROW(SmtRes!A42)</f>
        <v>42</v>
      </c>
      <c r="D31">
        <f>ROW(EtalonRes!A42)</f>
        <v>42</v>
      </c>
      <c r="E31" t="s">
        <v>37</v>
      </c>
      <c r="F31" t="s">
        <v>38</v>
      </c>
      <c r="G31" t="s">
        <v>39</v>
      </c>
      <c r="H31" t="s">
        <v>40</v>
      </c>
      <c r="I31">
        <f>ROUND(1.6/100,9)</f>
        <v>1.6E-2</v>
      </c>
      <c r="J31">
        <v>0</v>
      </c>
      <c r="O31">
        <f t="shared" si="14"/>
        <v>636.80999999999995</v>
      </c>
      <c r="P31">
        <f t="shared" si="15"/>
        <v>613.63</v>
      </c>
      <c r="Q31">
        <f t="shared" si="16"/>
        <v>2.68</v>
      </c>
      <c r="R31">
        <f t="shared" si="17"/>
        <v>0.54</v>
      </c>
      <c r="S31">
        <f t="shared" si="18"/>
        <v>20.5</v>
      </c>
      <c r="T31">
        <f t="shared" si="19"/>
        <v>0</v>
      </c>
      <c r="U31">
        <f t="shared" si="20"/>
        <v>0.39339199999999996</v>
      </c>
      <c r="V31">
        <f t="shared" si="21"/>
        <v>7.4000000000000003E-3</v>
      </c>
      <c r="W31">
        <f t="shared" si="22"/>
        <v>0</v>
      </c>
      <c r="X31">
        <f t="shared" si="23"/>
        <v>22.3</v>
      </c>
      <c r="Y31">
        <f t="shared" si="24"/>
        <v>11.36</v>
      </c>
      <c r="AA31">
        <v>16784196</v>
      </c>
      <c r="AB31">
        <f t="shared" si="25"/>
        <v>6514.01</v>
      </c>
      <c r="AC31">
        <f t="shared" si="26"/>
        <v>6276.9</v>
      </c>
      <c r="AD31">
        <f>ROUND(((((ET31*1.25))-((EU31*1.25)))+AE31),2)</f>
        <v>27.38</v>
      </c>
      <c r="AE31">
        <f>ROUND(((EU31*1.25)),2)</f>
        <v>5.54</v>
      </c>
      <c r="AF31">
        <f>ROUND(((EV31*1.15)),2)</f>
        <v>209.73</v>
      </c>
      <c r="AG31">
        <f t="shared" si="27"/>
        <v>0</v>
      </c>
      <c r="AH31">
        <f>((EW31*1.15))</f>
        <v>24.586999999999996</v>
      </c>
      <c r="AI31">
        <f>((EX31*1.25))</f>
        <v>0.46250000000000002</v>
      </c>
      <c r="AJ31">
        <f t="shared" si="28"/>
        <v>0</v>
      </c>
      <c r="AK31">
        <v>6481.17</v>
      </c>
      <c r="AL31">
        <v>6276.9</v>
      </c>
      <c r="AM31">
        <v>21.9</v>
      </c>
      <c r="AN31">
        <v>4.43</v>
      </c>
      <c r="AO31">
        <v>182.37</v>
      </c>
      <c r="AP31">
        <v>0</v>
      </c>
      <c r="AQ31">
        <v>21.38</v>
      </c>
      <c r="AR31">
        <v>0.37</v>
      </c>
      <c r="AS31">
        <v>0</v>
      </c>
      <c r="AT31">
        <v>106</v>
      </c>
      <c r="AU31">
        <v>54</v>
      </c>
      <c r="AV31">
        <v>1</v>
      </c>
      <c r="AW31">
        <v>1</v>
      </c>
      <c r="AZ31">
        <v>6.11</v>
      </c>
      <c r="BA31">
        <v>6.11</v>
      </c>
      <c r="BB31">
        <v>6.11</v>
      </c>
      <c r="BC31">
        <v>6.11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41</v>
      </c>
      <c r="BM31">
        <v>10001</v>
      </c>
      <c r="BN31">
        <v>0</v>
      </c>
      <c r="BO31" t="s">
        <v>6</v>
      </c>
      <c r="BP31">
        <v>0</v>
      </c>
      <c r="BQ31">
        <v>2</v>
      </c>
      <c r="BR31">
        <v>0</v>
      </c>
      <c r="BS31">
        <v>6.11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118</v>
      </c>
      <c r="CA31">
        <v>63</v>
      </c>
      <c r="CE31">
        <v>0</v>
      </c>
      <c r="CF31">
        <v>0</v>
      </c>
      <c r="CG31">
        <v>0</v>
      </c>
      <c r="CM31">
        <v>0</v>
      </c>
      <c r="CN31" t="s">
        <v>824</v>
      </c>
      <c r="CO31">
        <v>0</v>
      </c>
      <c r="CP31">
        <f t="shared" si="29"/>
        <v>636.80999999999995</v>
      </c>
      <c r="CQ31">
        <f t="shared" si="30"/>
        <v>38351.858999999997</v>
      </c>
      <c r="CR31">
        <f t="shared" si="31"/>
        <v>167.29179999999999</v>
      </c>
      <c r="CS31">
        <f t="shared" si="32"/>
        <v>33.849400000000003</v>
      </c>
      <c r="CT31">
        <f t="shared" si="33"/>
        <v>1281.4503</v>
      </c>
      <c r="CU31">
        <f t="shared" si="34"/>
        <v>0</v>
      </c>
      <c r="CV31">
        <f t="shared" si="35"/>
        <v>24.586999999999996</v>
      </c>
      <c r="CW31">
        <f t="shared" si="36"/>
        <v>0.46250000000000002</v>
      </c>
      <c r="CX31">
        <f t="shared" si="37"/>
        <v>0</v>
      </c>
      <c r="CY31">
        <f t="shared" si="38"/>
        <v>22.302399999999999</v>
      </c>
      <c r="CZ31">
        <f t="shared" si="39"/>
        <v>11.361599999999999</v>
      </c>
      <c r="DC31" t="s">
        <v>6</v>
      </c>
      <c r="DD31" t="s">
        <v>6</v>
      </c>
      <c r="DE31" t="s">
        <v>27</v>
      </c>
      <c r="DF31" t="s">
        <v>27</v>
      </c>
      <c r="DG31" t="s">
        <v>28</v>
      </c>
      <c r="DH31" t="s">
        <v>6</v>
      </c>
      <c r="DI31" t="s">
        <v>28</v>
      </c>
      <c r="DJ31" t="s">
        <v>27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1003</v>
      </c>
      <c r="DV31" t="s">
        <v>40</v>
      </c>
      <c r="DW31" t="s">
        <v>40</v>
      </c>
      <c r="DX31">
        <v>100</v>
      </c>
      <c r="EE31">
        <v>16510487</v>
      </c>
      <c r="EF31">
        <v>2</v>
      </c>
      <c r="EG31" t="s">
        <v>18</v>
      </c>
      <c r="EH31">
        <v>0</v>
      </c>
      <c r="EI31" t="s">
        <v>6</v>
      </c>
      <c r="EJ31">
        <v>1</v>
      </c>
      <c r="EK31">
        <v>10001</v>
      </c>
      <c r="EL31" t="s">
        <v>29</v>
      </c>
      <c r="EM31" t="s">
        <v>30</v>
      </c>
      <c r="EO31" t="s">
        <v>31</v>
      </c>
      <c r="EQ31">
        <v>131072</v>
      </c>
      <c r="ER31">
        <v>6481.17</v>
      </c>
      <c r="ES31">
        <v>6276.9</v>
      </c>
      <c r="ET31">
        <v>21.9</v>
      </c>
      <c r="EU31">
        <v>4.43</v>
      </c>
      <c r="EV31">
        <v>182.37</v>
      </c>
      <c r="EW31">
        <v>21.38</v>
      </c>
      <c r="EX31">
        <v>0.37</v>
      </c>
      <c r="EY31">
        <v>0</v>
      </c>
      <c r="FQ31">
        <v>0</v>
      </c>
      <c r="FR31">
        <f t="shared" si="40"/>
        <v>0</v>
      </c>
      <c r="FS31">
        <v>0</v>
      </c>
      <c r="FT31" t="s">
        <v>21</v>
      </c>
      <c r="FU31" t="s">
        <v>22</v>
      </c>
      <c r="FX31">
        <v>106.2</v>
      </c>
      <c r="FY31">
        <v>53.55</v>
      </c>
      <c r="GA31" t="s">
        <v>6</v>
      </c>
      <c r="GD31">
        <v>0</v>
      </c>
      <c r="GF31">
        <v>-1968498593</v>
      </c>
      <c r="GG31">
        <v>1</v>
      </c>
      <c r="GH31">
        <v>1</v>
      </c>
      <c r="GI31">
        <v>4</v>
      </c>
      <c r="GJ31">
        <v>0</v>
      </c>
      <c r="GK31">
        <f>ROUND(R31*(S12)/100,2)</f>
        <v>0</v>
      </c>
      <c r="GL31">
        <f t="shared" si="41"/>
        <v>0</v>
      </c>
      <c r="GM31">
        <f t="shared" si="42"/>
        <v>670.47</v>
      </c>
      <c r="GN31">
        <f t="shared" si="43"/>
        <v>670.47</v>
      </c>
      <c r="GO31">
        <f t="shared" si="44"/>
        <v>0</v>
      </c>
      <c r="GP31">
        <f t="shared" si="45"/>
        <v>0</v>
      </c>
      <c r="GR31">
        <v>0</v>
      </c>
      <c r="GS31">
        <v>3</v>
      </c>
      <c r="GT31">
        <v>0</v>
      </c>
      <c r="GU31" t="s">
        <v>6</v>
      </c>
      <c r="GV31">
        <f t="shared" si="46"/>
        <v>0</v>
      </c>
      <c r="GW31">
        <v>1</v>
      </c>
      <c r="GX31">
        <f t="shared" si="47"/>
        <v>0</v>
      </c>
      <c r="HA31">
        <v>0</v>
      </c>
      <c r="HB31">
        <v>0</v>
      </c>
      <c r="HC31">
        <f t="shared" si="48"/>
        <v>0</v>
      </c>
      <c r="IK31">
        <v>0</v>
      </c>
    </row>
    <row r="32" spans="1:255" x14ac:dyDescent="0.2">
      <c r="A32" s="2">
        <v>18</v>
      </c>
      <c r="B32" s="2">
        <v>1</v>
      </c>
      <c r="C32" s="2">
        <v>33</v>
      </c>
      <c r="D32" s="2"/>
      <c r="E32" s="2" t="s">
        <v>42</v>
      </c>
      <c r="F32" s="2" t="s">
        <v>43</v>
      </c>
      <c r="G32" s="2" t="s">
        <v>44</v>
      </c>
      <c r="H32" s="2" t="s">
        <v>45</v>
      </c>
      <c r="I32" s="2">
        <f>I30*J32</f>
        <v>1.6</v>
      </c>
      <c r="J32" s="2">
        <v>100</v>
      </c>
      <c r="K32" s="2"/>
      <c r="L32" s="2"/>
      <c r="M32" s="2"/>
      <c r="N32" s="2"/>
      <c r="O32" s="2">
        <f t="shared" si="14"/>
        <v>51.87</v>
      </c>
      <c r="P32" s="2">
        <f t="shared" si="15"/>
        <v>51.87</v>
      </c>
      <c r="Q32" s="2">
        <f t="shared" si="16"/>
        <v>0</v>
      </c>
      <c r="R32" s="2">
        <f t="shared" si="17"/>
        <v>0</v>
      </c>
      <c r="S32" s="2">
        <f t="shared" si="18"/>
        <v>0</v>
      </c>
      <c r="T32" s="2">
        <f t="shared" si="19"/>
        <v>0</v>
      </c>
      <c r="U32" s="2">
        <f t="shared" si="20"/>
        <v>0</v>
      </c>
      <c r="V32" s="2">
        <f t="shared" si="21"/>
        <v>0</v>
      </c>
      <c r="W32" s="2">
        <f t="shared" si="22"/>
        <v>0</v>
      </c>
      <c r="X32" s="2">
        <f t="shared" si="23"/>
        <v>0</v>
      </c>
      <c r="Y32" s="2">
        <f t="shared" si="24"/>
        <v>0</v>
      </c>
      <c r="Z32" s="2"/>
      <c r="AA32" s="2">
        <v>16784195</v>
      </c>
      <c r="AB32" s="2">
        <f t="shared" si="25"/>
        <v>32.42</v>
      </c>
      <c r="AC32" s="2">
        <f t="shared" si="26"/>
        <v>32.42</v>
      </c>
      <c r="AD32" s="2">
        <f>ROUND((((ET32)-(EU32))+AE32),2)</f>
        <v>0</v>
      </c>
      <c r="AE32" s="2">
        <f>ROUND((EU32),2)</f>
        <v>0</v>
      </c>
      <c r="AF32" s="2">
        <f>ROUND((EV32),2)</f>
        <v>0</v>
      </c>
      <c r="AG32" s="2">
        <f t="shared" si="27"/>
        <v>0</v>
      </c>
      <c r="AH32" s="2">
        <f>(EW32)</f>
        <v>0</v>
      </c>
      <c r="AI32" s="2">
        <f>(EX32)</f>
        <v>0</v>
      </c>
      <c r="AJ32" s="2">
        <f t="shared" si="28"/>
        <v>0</v>
      </c>
      <c r="AK32" s="2">
        <v>32.42</v>
      </c>
      <c r="AL32" s="2">
        <v>32.42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106</v>
      </c>
      <c r="AU32" s="2">
        <v>54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3</v>
      </c>
      <c r="BI32" s="2">
        <v>1</v>
      </c>
      <c r="BJ32" s="2" t="s">
        <v>46</v>
      </c>
      <c r="BK32" s="2"/>
      <c r="BL32" s="2"/>
      <c r="BM32" s="2">
        <v>10001</v>
      </c>
      <c r="BN32" s="2">
        <v>0</v>
      </c>
      <c r="BO32" s="2" t="s">
        <v>6</v>
      </c>
      <c r="BP32" s="2">
        <v>0</v>
      </c>
      <c r="BQ32" s="2">
        <v>2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118</v>
      </c>
      <c r="CA32" s="2">
        <v>63</v>
      </c>
      <c r="CB32" s="2"/>
      <c r="CC32" s="2"/>
      <c r="CD32" s="2"/>
      <c r="CE32" s="2">
        <v>0</v>
      </c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6</v>
      </c>
      <c r="CO32" s="2">
        <v>0</v>
      </c>
      <c r="CP32" s="2">
        <f t="shared" si="29"/>
        <v>51.87</v>
      </c>
      <c r="CQ32" s="2">
        <f t="shared" si="30"/>
        <v>32.42</v>
      </c>
      <c r="CR32" s="2">
        <f t="shared" si="31"/>
        <v>0</v>
      </c>
      <c r="CS32" s="2">
        <f t="shared" si="32"/>
        <v>0</v>
      </c>
      <c r="CT32" s="2">
        <f t="shared" si="33"/>
        <v>0</v>
      </c>
      <c r="CU32" s="2">
        <f t="shared" si="34"/>
        <v>0</v>
      </c>
      <c r="CV32" s="2">
        <f t="shared" si="35"/>
        <v>0</v>
      </c>
      <c r="CW32" s="2">
        <f t="shared" si="36"/>
        <v>0</v>
      </c>
      <c r="CX32" s="2">
        <f t="shared" si="37"/>
        <v>0</v>
      </c>
      <c r="CY32" s="2">
        <f t="shared" si="38"/>
        <v>0</v>
      </c>
      <c r="CZ32" s="2">
        <f t="shared" si="39"/>
        <v>0</v>
      </c>
      <c r="DA32" s="2"/>
      <c r="DB32" s="2"/>
      <c r="DC32" s="2" t="s">
        <v>6</v>
      </c>
      <c r="DD32" s="2" t="s">
        <v>6</v>
      </c>
      <c r="DE32" s="2" t="s">
        <v>6</v>
      </c>
      <c r="DF32" s="2" t="s">
        <v>6</v>
      </c>
      <c r="DG32" s="2" t="s">
        <v>6</v>
      </c>
      <c r="DH32" s="2" t="s">
        <v>6</v>
      </c>
      <c r="DI32" s="2" t="s">
        <v>6</v>
      </c>
      <c r="DJ32" s="2" t="s">
        <v>6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1003</v>
      </c>
      <c r="DV32" s="2" t="s">
        <v>45</v>
      </c>
      <c r="DW32" s="2" t="s">
        <v>45</v>
      </c>
      <c r="DX32" s="2">
        <v>1</v>
      </c>
      <c r="DY32" s="2"/>
      <c r="DZ32" s="2"/>
      <c r="EA32" s="2"/>
      <c r="EB32" s="2"/>
      <c r="EC32" s="2"/>
      <c r="ED32" s="2"/>
      <c r="EE32" s="2">
        <v>16510487</v>
      </c>
      <c r="EF32" s="2">
        <v>2</v>
      </c>
      <c r="EG32" s="2" t="s">
        <v>18</v>
      </c>
      <c r="EH32" s="2">
        <v>0</v>
      </c>
      <c r="EI32" s="2" t="s">
        <v>6</v>
      </c>
      <c r="EJ32" s="2">
        <v>1</v>
      </c>
      <c r="EK32" s="2">
        <v>10001</v>
      </c>
      <c r="EL32" s="2" t="s">
        <v>29</v>
      </c>
      <c r="EM32" s="2" t="s">
        <v>30</v>
      </c>
      <c r="EN32" s="2"/>
      <c r="EO32" s="2" t="s">
        <v>6</v>
      </c>
      <c r="EP32" s="2"/>
      <c r="EQ32" s="2">
        <v>0</v>
      </c>
      <c r="ER32" s="2">
        <v>32.42</v>
      </c>
      <c r="ES32" s="2">
        <v>32.42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0"/>
        <v>0</v>
      </c>
      <c r="FS32" s="2">
        <v>0</v>
      </c>
      <c r="FT32" s="2" t="s">
        <v>21</v>
      </c>
      <c r="FU32" s="2" t="s">
        <v>22</v>
      </c>
      <c r="FV32" s="2"/>
      <c r="FW32" s="2"/>
      <c r="FX32" s="2">
        <v>106.2</v>
      </c>
      <c r="FY32" s="2">
        <v>53.55</v>
      </c>
      <c r="FZ32" s="2"/>
      <c r="GA32" s="2" t="s">
        <v>6</v>
      </c>
      <c r="GB32" s="2"/>
      <c r="GC32" s="2"/>
      <c r="GD32" s="2">
        <v>0</v>
      </c>
      <c r="GE32" s="2"/>
      <c r="GF32" s="2">
        <v>-504550248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1"/>
        <v>0</v>
      </c>
      <c r="GM32" s="2">
        <f t="shared" si="42"/>
        <v>51.87</v>
      </c>
      <c r="GN32" s="2">
        <f t="shared" si="43"/>
        <v>51.87</v>
      </c>
      <c r="GO32" s="2">
        <f t="shared" si="44"/>
        <v>0</v>
      </c>
      <c r="GP32" s="2">
        <f t="shared" si="45"/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si="46"/>
        <v>0</v>
      </c>
      <c r="GW32" s="2">
        <v>1</v>
      </c>
      <c r="GX32" s="2">
        <f t="shared" si="47"/>
        <v>0</v>
      </c>
      <c r="GY32" s="2"/>
      <c r="GZ32" s="2"/>
      <c r="HA32" s="2">
        <v>0</v>
      </c>
      <c r="HB32" s="2">
        <v>0</v>
      </c>
      <c r="HC32" s="2">
        <f t="shared" si="48"/>
        <v>0</v>
      </c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18</v>
      </c>
      <c r="B33">
        <v>1</v>
      </c>
      <c r="C33">
        <v>40</v>
      </c>
      <c r="E33" t="s">
        <v>42</v>
      </c>
      <c r="F33" t="s">
        <v>43</v>
      </c>
      <c r="G33" t="s">
        <v>44</v>
      </c>
      <c r="H33" t="s">
        <v>45</v>
      </c>
      <c r="I33">
        <f>I31*J33</f>
        <v>1.6</v>
      </c>
      <c r="J33">
        <v>100</v>
      </c>
      <c r="O33">
        <f t="shared" si="14"/>
        <v>316.94</v>
      </c>
      <c r="P33">
        <f t="shared" si="15"/>
        <v>316.94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16784196</v>
      </c>
      <c r="AB33">
        <f t="shared" si="25"/>
        <v>32.42</v>
      </c>
      <c r="AC33">
        <f t="shared" si="26"/>
        <v>32.42</v>
      </c>
      <c r="AD33">
        <f>ROUND((((ET33)-(EU33))+AE33),2)</f>
        <v>0</v>
      </c>
      <c r="AE33">
        <f>ROUND((EU33),2)</f>
        <v>0</v>
      </c>
      <c r="AF33">
        <f>ROUND((EV33),2)</f>
        <v>0</v>
      </c>
      <c r="AG33">
        <f t="shared" si="27"/>
        <v>0</v>
      </c>
      <c r="AH33">
        <f>(EW33)</f>
        <v>0</v>
      </c>
      <c r="AI33">
        <f>(EX33)</f>
        <v>0</v>
      </c>
      <c r="AJ33">
        <f t="shared" si="28"/>
        <v>0</v>
      </c>
      <c r="AK33">
        <v>32.42</v>
      </c>
      <c r="AL33">
        <v>32.42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106</v>
      </c>
      <c r="AU33">
        <v>54</v>
      </c>
      <c r="AV33">
        <v>1</v>
      </c>
      <c r="AW33">
        <v>1</v>
      </c>
      <c r="AZ33">
        <v>6.11</v>
      </c>
      <c r="BA33">
        <v>1</v>
      </c>
      <c r="BB33">
        <v>1</v>
      </c>
      <c r="BC33">
        <v>6.11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46</v>
      </c>
      <c r="BM33">
        <v>10001</v>
      </c>
      <c r="BN33">
        <v>0</v>
      </c>
      <c r="BO33" t="s">
        <v>6</v>
      </c>
      <c r="BP33">
        <v>0</v>
      </c>
      <c r="BQ33">
        <v>2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118</v>
      </c>
      <c r="CA33">
        <v>63</v>
      </c>
      <c r="CE33">
        <v>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29"/>
        <v>316.94</v>
      </c>
      <c r="CQ33">
        <f t="shared" si="30"/>
        <v>198.08620000000002</v>
      </c>
      <c r="CR33">
        <f t="shared" si="31"/>
        <v>0</v>
      </c>
      <c r="CS33">
        <f t="shared" si="32"/>
        <v>0</v>
      </c>
      <c r="CT33">
        <f t="shared" si="33"/>
        <v>0</v>
      </c>
      <c r="CU33">
        <f t="shared" si="34"/>
        <v>0</v>
      </c>
      <c r="CV33">
        <f t="shared" si="35"/>
        <v>0</v>
      </c>
      <c r="CW33">
        <f t="shared" si="36"/>
        <v>0</v>
      </c>
      <c r="CX33">
        <f t="shared" si="37"/>
        <v>0</v>
      </c>
      <c r="CY33">
        <f t="shared" si="38"/>
        <v>0</v>
      </c>
      <c r="CZ33">
        <f t="shared" si="39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1003</v>
      </c>
      <c r="DV33" t="s">
        <v>45</v>
      </c>
      <c r="DW33" t="s">
        <v>45</v>
      </c>
      <c r="DX33">
        <v>1</v>
      </c>
      <c r="EE33">
        <v>16510487</v>
      </c>
      <c r="EF33">
        <v>2</v>
      </c>
      <c r="EG33" t="s">
        <v>18</v>
      </c>
      <c r="EH33">
        <v>0</v>
      </c>
      <c r="EI33" t="s">
        <v>6</v>
      </c>
      <c r="EJ33">
        <v>1</v>
      </c>
      <c r="EK33">
        <v>10001</v>
      </c>
      <c r="EL33" t="s">
        <v>29</v>
      </c>
      <c r="EM33" t="s">
        <v>30</v>
      </c>
      <c r="EO33" t="s">
        <v>6</v>
      </c>
      <c r="EQ33">
        <v>0</v>
      </c>
      <c r="ER33">
        <v>32.42</v>
      </c>
      <c r="ES33">
        <v>32.42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0"/>
        <v>0</v>
      </c>
      <c r="FS33">
        <v>0</v>
      </c>
      <c r="FT33" t="s">
        <v>21</v>
      </c>
      <c r="FU33" t="s">
        <v>22</v>
      </c>
      <c r="FX33">
        <v>106.2</v>
      </c>
      <c r="FY33">
        <v>53.55</v>
      </c>
      <c r="GA33" t="s">
        <v>6</v>
      </c>
      <c r="GD33">
        <v>0</v>
      </c>
      <c r="GF33">
        <v>-504550248</v>
      </c>
      <c r="GG33">
        <v>1</v>
      </c>
      <c r="GH33">
        <v>1</v>
      </c>
      <c r="GI33">
        <v>4</v>
      </c>
      <c r="GJ33">
        <v>0</v>
      </c>
      <c r="GK33">
        <f>ROUND(R33*(S12)/100,2)</f>
        <v>0</v>
      </c>
      <c r="GL33">
        <f t="shared" si="41"/>
        <v>0</v>
      </c>
      <c r="GM33">
        <f t="shared" si="42"/>
        <v>316.94</v>
      </c>
      <c r="GN33">
        <f t="shared" si="43"/>
        <v>316.94</v>
      </c>
      <c r="GO33">
        <f t="shared" si="44"/>
        <v>0</v>
      </c>
      <c r="GP33">
        <f t="shared" si="45"/>
        <v>0</v>
      </c>
      <c r="GR33">
        <v>0</v>
      </c>
      <c r="GS33">
        <v>3</v>
      </c>
      <c r="GT33">
        <v>0</v>
      </c>
      <c r="GU33" t="s">
        <v>6</v>
      </c>
      <c r="GV33">
        <f t="shared" si="46"/>
        <v>0</v>
      </c>
      <c r="GW33">
        <v>1</v>
      </c>
      <c r="GX33">
        <f t="shared" si="47"/>
        <v>0</v>
      </c>
      <c r="HA33">
        <v>0</v>
      </c>
      <c r="HB33">
        <v>0</v>
      </c>
      <c r="HC33">
        <f t="shared" si="48"/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ROW(SmtRes!A50)</f>
        <v>50</v>
      </c>
      <c r="D34" s="2">
        <f>ROW(EtalonRes!A50)</f>
        <v>50</v>
      </c>
      <c r="E34" s="2" t="s">
        <v>47</v>
      </c>
      <c r="F34" s="2" t="s">
        <v>48</v>
      </c>
      <c r="G34" s="2" t="s">
        <v>49</v>
      </c>
      <c r="H34" s="2" t="s">
        <v>16</v>
      </c>
      <c r="I34" s="2">
        <f>ROUND(1.23/100,9)</f>
        <v>1.23E-2</v>
      </c>
      <c r="J34" s="2">
        <v>0</v>
      </c>
      <c r="K34" s="2"/>
      <c r="L34" s="2"/>
      <c r="M34" s="2"/>
      <c r="N34" s="2"/>
      <c r="O34" s="2">
        <f t="shared" si="14"/>
        <v>22.16</v>
      </c>
      <c r="P34" s="2">
        <f t="shared" si="15"/>
        <v>0</v>
      </c>
      <c r="Q34" s="2">
        <f t="shared" si="16"/>
        <v>0.54</v>
      </c>
      <c r="R34" s="2">
        <f t="shared" si="17"/>
        <v>0.11</v>
      </c>
      <c r="S34" s="2">
        <f t="shared" si="18"/>
        <v>21.62</v>
      </c>
      <c r="T34" s="2">
        <f t="shared" si="19"/>
        <v>0</v>
      </c>
      <c r="U34" s="2">
        <f t="shared" si="20"/>
        <v>2.3547181500000001</v>
      </c>
      <c r="V34" s="2">
        <f t="shared" si="21"/>
        <v>8.9175000000000001E-3</v>
      </c>
      <c r="W34" s="2">
        <f t="shared" si="22"/>
        <v>0</v>
      </c>
      <c r="X34" s="2">
        <f t="shared" si="23"/>
        <v>20.64</v>
      </c>
      <c r="Y34" s="2">
        <f t="shared" si="24"/>
        <v>10.210000000000001</v>
      </c>
      <c r="Z34" s="2"/>
      <c r="AA34" s="2">
        <v>16784195</v>
      </c>
      <c r="AB34" s="2">
        <f t="shared" si="25"/>
        <v>1801.98</v>
      </c>
      <c r="AC34" s="2">
        <f t="shared" si="26"/>
        <v>0.36</v>
      </c>
      <c r="AD34" s="2">
        <f>ROUND(((((ET34*1.25))-((EU34*1.25)))+AE34),2)</f>
        <v>44.2</v>
      </c>
      <c r="AE34" s="2">
        <f>ROUND(((EU34*1.25)),2)</f>
        <v>8.6</v>
      </c>
      <c r="AF34" s="2">
        <f>ROUND(((EV34*1.15)),2)</f>
        <v>1757.42</v>
      </c>
      <c r="AG34" s="2">
        <f t="shared" si="27"/>
        <v>0</v>
      </c>
      <c r="AH34" s="2">
        <f>((EW34*1.15))</f>
        <v>191.44049999999999</v>
      </c>
      <c r="AI34" s="2">
        <f>((EX34*1.25))</f>
        <v>0.72499999999999998</v>
      </c>
      <c r="AJ34" s="2">
        <f t="shared" si="28"/>
        <v>0</v>
      </c>
      <c r="AK34" s="2">
        <v>1563.91</v>
      </c>
      <c r="AL34" s="2">
        <v>0.36</v>
      </c>
      <c r="AM34" s="2">
        <v>35.36</v>
      </c>
      <c r="AN34" s="2">
        <v>6.88</v>
      </c>
      <c r="AO34" s="2">
        <v>1528.19</v>
      </c>
      <c r="AP34" s="2">
        <v>0</v>
      </c>
      <c r="AQ34" s="2">
        <v>166.47</v>
      </c>
      <c r="AR34" s="2">
        <v>0.57999999999999996</v>
      </c>
      <c r="AS34" s="2">
        <v>0</v>
      </c>
      <c r="AT34" s="2">
        <v>95</v>
      </c>
      <c r="AU34" s="2">
        <v>47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0</v>
      </c>
      <c r="BI34" s="2">
        <v>1</v>
      </c>
      <c r="BJ34" s="2" t="s">
        <v>50</v>
      </c>
      <c r="BK34" s="2"/>
      <c r="BL34" s="2"/>
      <c r="BM34" s="2">
        <v>15001</v>
      </c>
      <c r="BN34" s="2">
        <v>0</v>
      </c>
      <c r="BO34" s="2" t="s">
        <v>6</v>
      </c>
      <c r="BP34" s="2">
        <v>0</v>
      </c>
      <c r="BQ34" s="2">
        <v>2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105</v>
      </c>
      <c r="CA34" s="2">
        <v>55</v>
      </c>
      <c r="CB34" s="2"/>
      <c r="CC34" s="2"/>
      <c r="CD34" s="2"/>
      <c r="CE34" s="2">
        <v>0</v>
      </c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824</v>
      </c>
      <c r="CO34" s="2">
        <v>0</v>
      </c>
      <c r="CP34" s="2">
        <f t="shared" si="29"/>
        <v>22.16</v>
      </c>
      <c r="CQ34" s="2">
        <f t="shared" si="30"/>
        <v>0.36</v>
      </c>
      <c r="CR34" s="2">
        <f t="shared" si="31"/>
        <v>44.2</v>
      </c>
      <c r="CS34" s="2">
        <f t="shared" si="32"/>
        <v>8.6</v>
      </c>
      <c r="CT34" s="2">
        <f t="shared" si="33"/>
        <v>1757.42</v>
      </c>
      <c r="CU34" s="2">
        <f t="shared" si="34"/>
        <v>0</v>
      </c>
      <c r="CV34" s="2">
        <f t="shared" si="35"/>
        <v>191.44049999999999</v>
      </c>
      <c r="CW34" s="2">
        <f t="shared" si="36"/>
        <v>0.72499999999999998</v>
      </c>
      <c r="CX34" s="2">
        <f t="shared" si="37"/>
        <v>0</v>
      </c>
      <c r="CY34" s="2">
        <f t="shared" si="38"/>
        <v>20.6435</v>
      </c>
      <c r="CZ34" s="2">
        <f t="shared" si="39"/>
        <v>10.213100000000001</v>
      </c>
      <c r="DA34" s="2"/>
      <c r="DB34" s="2"/>
      <c r="DC34" s="2" t="s">
        <v>6</v>
      </c>
      <c r="DD34" s="2" t="s">
        <v>6</v>
      </c>
      <c r="DE34" s="2" t="s">
        <v>27</v>
      </c>
      <c r="DF34" s="2" t="s">
        <v>27</v>
      </c>
      <c r="DG34" s="2" t="s">
        <v>28</v>
      </c>
      <c r="DH34" s="2" t="s">
        <v>6</v>
      </c>
      <c r="DI34" s="2" t="s">
        <v>28</v>
      </c>
      <c r="DJ34" s="2" t="s">
        <v>27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1005</v>
      </c>
      <c r="DV34" s="2" t="s">
        <v>16</v>
      </c>
      <c r="DW34" s="2" t="s">
        <v>16</v>
      </c>
      <c r="DX34" s="2">
        <v>100</v>
      </c>
      <c r="DY34" s="2"/>
      <c r="DZ34" s="2"/>
      <c r="EA34" s="2"/>
      <c r="EB34" s="2"/>
      <c r="EC34" s="2"/>
      <c r="ED34" s="2"/>
      <c r="EE34" s="2">
        <v>16510513</v>
      </c>
      <c r="EF34" s="2">
        <v>2</v>
      </c>
      <c r="EG34" s="2" t="s">
        <v>18</v>
      </c>
      <c r="EH34" s="2">
        <v>0</v>
      </c>
      <c r="EI34" s="2" t="s">
        <v>6</v>
      </c>
      <c r="EJ34" s="2">
        <v>1</v>
      </c>
      <c r="EK34" s="2">
        <v>15001</v>
      </c>
      <c r="EL34" s="2" t="s">
        <v>51</v>
      </c>
      <c r="EM34" s="2" t="s">
        <v>52</v>
      </c>
      <c r="EN34" s="2"/>
      <c r="EO34" s="2" t="s">
        <v>31</v>
      </c>
      <c r="EP34" s="2"/>
      <c r="EQ34" s="2">
        <v>131072</v>
      </c>
      <c r="ER34" s="2">
        <v>1563.91</v>
      </c>
      <c r="ES34" s="2">
        <v>0.36</v>
      </c>
      <c r="ET34" s="2">
        <v>35.36</v>
      </c>
      <c r="EU34" s="2">
        <v>6.88</v>
      </c>
      <c r="EV34" s="2">
        <v>1528.19</v>
      </c>
      <c r="EW34" s="2">
        <v>166.47</v>
      </c>
      <c r="EX34" s="2">
        <v>0.57999999999999996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0"/>
        <v>0</v>
      </c>
      <c r="FS34" s="2">
        <v>0</v>
      </c>
      <c r="FT34" s="2" t="s">
        <v>21</v>
      </c>
      <c r="FU34" s="2" t="s">
        <v>22</v>
      </c>
      <c r="FV34" s="2"/>
      <c r="FW34" s="2"/>
      <c r="FX34" s="2">
        <v>94.5</v>
      </c>
      <c r="FY34" s="2">
        <v>46.75</v>
      </c>
      <c r="FZ34" s="2"/>
      <c r="GA34" s="2" t="s">
        <v>6</v>
      </c>
      <c r="GB34" s="2"/>
      <c r="GC34" s="2"/>
      <c r="GD34" s="2">
        <v>0</v>
      </c>
      <c r="GE34" s="2"/>
      <c r="GF34" s="2">
        <v>251333065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41"/>
        <v>0</v>
      </c>
      <c r="GM34" s="2">
        <f t="shared" si="42"/>
        <v>53.01</v>
      </c>
      <c r="GN34" s="2">
        <f t="shared" si="43"/>
        <v>53.01</v>
      </c>
      <c r="GO34" s="2">
        <f t="shared" si="44"/>
        <v>0</v>
      </c>
      <c r="GP34" s="2">
        <f t="shared" si="45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46"/>
        <v>0</v>
      </c>
      <c r="GW34" s="2">
        <v>1</v>
      </c>
      <c r="GX34" s="2">
        <f t="shared" si="47"/>
        <v>0</v>
      </c>
      <c r="GY34" s="2"/>
      <c r="GZ34" s="2"/>
      <c r="HA34" s="2">
        <v>0</v>
      </c>
      <c r="HB34" s="2">
        <v>0</v>
      </c>
      <c r="HC34" s="2">
        <f t="shared" si="48"/>
        <v>0</v>
      </c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ROW(SmtRes!A58)</f>
        <v>58</v>
      </c>
      <c r="D35">
        <f>ROW(EtalonRes!A58)</f>
        <v>58</v>
      </c>
      <c r="E35" t="s">
        <v>47</v>
      </c>
      <c r="F35" t="s">
        <v>48</v>
      </c>
      <c r="G35" t="s">
        <v>49</v>
      </c>
      <c r="H35" t="s">
        <v>16</v>
      </c>
      <c r="I35">
        <f>ROUND(1.23/100,9)</f>
        <v>1.23E-2</v>
      </c>
      <c r="J35">
        <v>0</v>
      </c>
      <c r="O35">
        <f t="shared" si="14"/>
        <v>135.43</v>
      </c>
      <c r="P35">
        <f t="shared" si="15"/>
        <v>0.03</v>
      </c>
      <c r="Q35">
        <f t="shared" si="16"/>
        <v>3.32</v>
      </c>
      <c r="R35">
        <f t="shared" si="17"/>
        <v>0.65</v>
      </c>
      <c r="S35">
        <f t="shared" si="18"/>
        <v>132.08000000000001</v>
      </c>
      <c r="T35">
        <f t="shared" si="19"/>
        <v>0</v>
      </c>
      <c r="U35">
        <f t="shared" si="20"/>
        <v>2.3547181500000001</v>
      </c>
      <c r="V35">
        <f t="shared" si="21"/>
        <v>8.9175000000000001E-3</v>
      </c>
      <c r="W35">
        <f t="shared" si="22"/>
        <v>0</v>
      </c>
      <c r="X35">
        <f t="shared" si="23"/>
        <v>126.09</v>
      </c>
      <c r="Y35">
        <f t="shared" si="24"/>
        <v>62.38</v>
      </c>
      <c r="AA35">
        <v>16784196</v>
      </c>
      <c r="AB35">
        <f t="shared" si="25"/>
        <v>1801.98</v>
      </c>
      <c r="AC35">
        <f t="shared" si="26"/>
        <v>0.36</v>
      </c>
      <c r="AD35">
        <f>ROUND(((((ET35*1.25))-((EU35*1.25)))+AE35),2)</f>
        <v>44.2</v>
      </c>
      <c r="AE35">
        <f>ROUND(((EU35*1.25)),2)</f>
        <v>8.6</v>
      </c>
      <c r="AF35">
        <f>ROUND(((EV35*1.15)),2)</f>
        <v>1757.42</v>
      </c>
      <c r="AG35">
        <f t="shared" si="27"/>
        <v>0</v>
      </c>
      <c r="AH35">
        <f>((EW35*1.15))</f>
        <v>191.44049999999999</v>
      </c>
      <c r="AI35">
        <f>((EX35*1.25))</f>
        <v>0.72499999999999998</v>
      </c>
      <c r="AJ35">
        <f t="shared" si="28"/>
        <v>0</v>
      </c>
      <c r="AK35">
        <v>1563.91</v>
      </c>
      <c r="AL35">
        <v>0.36</v>
      </c>
      <c r="AM35">
        <v>35.36</v>
      </c>
      <c r="AN35">
        <v>6.88</v>
      </c>
      <c r="AO35">
        <v>1528.19</v>
      </c>
      <c r="AP35">
        <v>0</v>
      </c>
      <c r="AQ35">
        <v>166.47</v>
      </c>
      <c r="AR35">
        <v>0.57999999999999996</v>
      </c>
      <c r="AS35">
        <v>0</v>
      </c>
      <c r="AT35">
        <v>95</v>
      </c>
      <c r="AU35">
        <v>47</v>
      </c>
      <c r="AV35">
        <v>1</v>
      </c>
      <c r="AW35">
        <v>1</v>
      </c>
      <c r="AZ35">
        <v>6.11</v>
      </c>
      <c r="BA35">
        <v>6.11</v>
      </c>
      <c r="BB35">
        <v>6.11</v>
      </c>
      <c r="BC35">
        <v>6.11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50</v>
      </c>
      <c r="BM35">
        <v>15001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6.11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105</v>
      </c>
      <c r="CA35">
        <v>55</v>
      </c>
      <c r="CE35">
        <v>0</v>
      </c>
      <c r="CF35">
        <v>0</v>
      </c>
      <c r="CG35">
        <v>0</v>
      </c>
      <c r="CM35">
        <v>0</v>
      </c>
      <c r="CN35" t="s">
        <v>824</v>
      </c>
      <c r="CO35">
        <v>0</v>
      </c>
      <c r="CP35">
        <f t="shared" si="29"/>
        <v>135.43</v>
      </c>
      <c r="CQ35">
        <f t="shared" si="30"/>
        <v>2.1996000000000002</v>
      </c>
      <c r="CR35">
        <f t="shared" si="31"/>
        <v>270.06200000000001</v>
      </c>
      <c r="CS35">
        <f t="shared" si="32"/>
        <v>52.545999999999999</v>
      </c>
      <c r="CT35">
        <f t="shared" si="33"/>
        <v>10737.836200000002</v>
      </c>
      <c r="CU35">
        <f t="shared" si="34"/>
        <v>0</v>
      </c>
      <c r="CV35">
        <f t="shared" si="35"/>
        <v>191.44049999999999</v>
      </c>
      <c r="CW35">
        <f t="shared" si="36"/>
        <v>0.72499999999999998</v>
      </c>
      <c r="CX35">
        <f t="shared" si="37"/>
        <v>0</v>
      </c>
      <c r="CY35">
        <f t="shared" si="38"/>
        <v>126.09350000000002</v>
      </c>
      <c r="CZ35">
        <f t="shared" si="39"/>
        <v>62.383100000000013</v>
      </c>
      <c r="DC35" t="s">
        <v>6</v>
      </c>
      <c r="DD35" t="s">
        <v>6</v>
      </c>
      <c r="DE35" t="s">
        <v>27</v>
      </c>
      <c r="DF35" t="s">
        <v>27</v>
      </c>
      <c r="DG35" t="s">
        <v>28</v>
      </c>
      <c r="DH35" t="s">
        <v>6</v>
      </c>
      <c r="DI35" t="s">
        <v>28</v>
      </c>
      <c r="DJ35" t="s">
        <v>27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16</v>
      </c>
      <c r="DW35" t="s">
        <v>16</v>
      </c>
      <c r="DX35">
        <v>100</v>
      </c>
      <c r="EE35">
        <v>16510513</v>
      </c>
      <c r="EF35">
        <v>2</v>
      </c>
      <c r="EG35" t="s">
        <v>18</v>
      </c>
      <c r="EH35">
        <v>0</v>
      </c>
      <c r="EI35" t="s">
        <v>6</v>
      </c>
      <c r="EJ35">
        <v>1</v>
      </c>
      <c r="EK35">
        <v>15001</v>
      </c>
      <c r="EL35" t="s">
        <v>51</v>
      </c>
      <c r="EM35" t="s">
        <v>52</v>
      </c>
      <c r="EO35" t="s">
        <v>31</v>
      </c>
      <c r="EQ35">
        <v>131072</v>
      </c>
      <c r="ER35">
        <v>1563.91</v>
      </c>
      <c r="ES35">
        <v>0.36</v>
      </c>
      <c r="ET35">
        <v>35.36</v>
      </c>
      <c r="EU35">
        <v>6.88</v>
      </c>
      <c r="EV35">
        <v>1528.19</v>
      </c>
      <c r="EW35">
        <v>166.47</v>
      </c>
      <c r="EX35">
        <v>0.57999999999999996</v>
      </c>
      <c r="EY35">
        <v>0</v>
      </c>
      <c r="FQ35">
        <v>0</v>
      </c>
      <c r="FR35">
        <f t="shared" si="40"/>
        <v>0</v>
      </c>
      <c r="FS35">
        <v>0</v>
      </c>
      <c r="FT35" t="s">
        <v>21</v>
      </c>
      <c r="FU35" t="s">
        <v>22</v>
      </c>
      <c r="FX35">
        <v>94.5</v>
      </c>
      <c r="FY35">
        <v>46.75</v>
      </c>
      <c r="GA35" t="s">
        <v>6</v>
      </c>
      <c r="GD35">
        <v>0</v>
      </c>
      <c r="GF35">
        <v>251333065</v>
      </c>
      <c r="GG35">
        <v>1</v>
      </c>
      <c r="GH35">
        <v>1</v>
      </c>
      <c r="GI35">
        <v>4</v>
      </c>
      <c r="GJ35">
        <v>0</v>
      </c>
      <c r="GK35">
        <f>ROUND(R35*(S12)/100,2)</f>
        <v>0</v>
      </c>
      <c r="GL35">
        <f t="shared" si="41"/>
        <v>0</v>
      </c>
      <c r="GM35">
        <f t="shared" si="42"/>
        <v>323.89999999999998</v>
      </c>
      <c r="GN35">
        <f t="shared" si="43"/>
        <v>323.89999999999998</v>
      </c>
      <c r="GO35">
        <f t="shared" si="44"/>
        <v>0</v>
      </c>
      <c r="GP35">
        <f t="shared" si="45"/>
        <v>0</v>
      </c>
      <c r="GR35">
        <v>0</v>
      </c>
      <c r="GS35">
        <v>3</v>
      </c>
      <c r="GT35">
        <v>0</v>
      </c>
      <c r="GU35" t="s">
        <v>6</v>
      </c>
      <c r="GV35">
        <f t="shared" si="46"/>
        <v>0</v>
      </c>
      <c r="GW35">
        <v>1</v>
      </c>
      <c r="GX35">
        <f t="shared" si="47"/>
        <v>0</v>
      </c>
      <c r="HA35">
        <v>0</v>
      </c>
      <c r="HB35">
        <v>0</v>
      </c>
      <c r="HC35">
        <f t="shared" si="48"/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48</v>
      </c>
      <c r="D36" s="2"/>
      <c r="E36" s="2" t="s">
        <v>53</v>
      </c>
      <c r="F36" s="2" t="s">
        <v>54</v>
      </c>
      <c r="G36" s="2" t="s">
        <v>55</v>
      </c>
      <c r="H36" s="2" t="s">
        <v>35</v>
      </c>
      <c r="I36" s="2">
        <f>I34*J36</f>
        <v>1.2915000000000001</v>
      </c>
      <c r="J36" s="2">
        <v>105</v>
      </c>
      <c r="K36" s="2"/>
      <c r="L36" s="2"/>
      <c r="M36" s="2"/>
      <c r="N36" s="2"/>
      <c r="O36" s="2">
        <f t="shared" si="14"/>
        <v>76.41</v>
      </c>
      <c r="P36" s="2">
        <f t="shared" si="15"/>
        <v>76.41</v>
      </c>
      <c r="Q36" s="2">
        <f t="shared" si="16"/>
        <v>0</v>
      </c>
      <c r="R36" s="2">
        <f t="shared" si="17"/>
        <v>0</v>
      </c>
      <c r="S36" s="2">
        <f t="shared" si="18"/>
        <v>0</v>
      </c>
      <c r="T36" s="2">
        <f t="shared" si="19"/>
        <v>0</v>
      </c>
      <c r="U36" s="2">
        <f t="shared" si="20"/>
        <v>0</v>
      </c>
      <c r="V36" s="2">
        <f t="shared" si="21"/>
        <v>0</v>
      </c>
      <c r="W36" s="2">
        <f t="shared" si="22"/>
        <v>0</v>
      </c>
      <c r="X36" s="2">
        <f t="shared" si="23"/>
        <v>0</v>
      </c>
      <c r="Y36" s="2">
        <f t="shared" si="24"/>
        <v>0</v>
      </c>
      <c r="Z36" s="2"/>
      <c r="AA36" s="2">
        <v>16784195</v>
      </c>
      <c r="AB36" s="2">
        <f t="shared" si="25"/>
        <v>59.16</v>
      </c>
      <c r="AC36" s="2">
        <f t="shared" si="26"/>
        <v>59.16</v>
      </c>
      <c r="AD36" s="2">
        <f t="shared" ref="AD36:AD41" si="49">ROUND((((ET36)-(EU36))+AE36),2)</f>
        <v>0</v>
      </c>
      <c r="AE36" s="2">
        <f t="shared" ref="AE36:AF41" si="50">ROUND((EU36),2)</f>
        <v>0</v>
      </c>
      <c r="AF36" s="2">
        <f t="shared" si="50"/>
        <v>0</v>
      </c>
      <c r="AG36" s="2">
        <f t="shared" si="27"/>
        <v>0</v>
      </c>
      <c r="AH36" s="2">
        <f t="shared" ref="AH36:AI41" si="51">(EW36)</f>
        <v>0</v>
      </c>
      <c r="AI36" s="2">
        <f t="shared" si="51"/>
        <v>0</v>
      </c>
      <c r="AJ36" s="2">
        <f t="shared" si="28"/>
        <v>0</v>
      </c>
      <c r="AK36" s="2">
        <v>59.16</v>
      </c>
      <c r="AL36" s="2">
        <v>59.16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95</v>
      </c>
      <c r="AU36" s="2">
        <v>47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3</v>
      </c>
      <c r="BI36" s="2">
        <v>1</v>
      </c>
      <c r="BJ36" s="2" t="s">
        <v>56</v>
      </c>
      <c r="BK36" s="2"/>
      <c r="BL36" s="2"/>
      <c r="BM36" s="2">
        <v>15001</v>
      </c>
      <c r="BN36" s="2">
        <v>0</v>
      </c>
      <c r="BO36" s="2" t="s">
        <v>6</v>
      </c>
      <c r="BP36" s="2">
        <v>0</v>
      </c>
      <c r="BQ36" s="2">
        <v>2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105</v>
      </c>
      <c r="CA36" s="2">
        <v>55</v>
      </c>
      <c r="CB36" s="2"/>
      <c r="CC36" s="2"/>
      <c r="CD36" s="2"/>
      <c r="CE36" s="2">
        <v>0</v>
      </c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6</v>
      </c>
      <c r="CO36" s="2">
        <v>0</v>
      </c>
      <c r="CP36" s="2">
        <f t="shared" si="29"/>
        <v>76.41</v>
      </c>
      <c r="CQ36" s="2">
        <f t="shared" si="30"/>
        <v>59.16</v>
      </c>
      <c r="CR36" s="2">
        <f t="shared" si="31"/>
        <v>0</v>
      </c>
      <c r="CS36" s="2">
        <f t="shared" si="32"/>
        <v>0</v>
      </c>
      <c r="CT36" s="2">
        <f t="shared" si="33"/>
        <v>0</v>
      </c>
      <c r="CU36" s="2">
        <f t="shared" si="34"/>
        <v>0</v>
      </c>
      <c r="CV36" s="2">
        <f t="shared" si="35"/>
        <v>0</v>
      </c>
      <c r="CW36" s="2">
        <f t="shared" si="36"/>
        <v>0</v>
      </c>
      <c r="CX36" s="2">
        <f t="shared" si="37"/>
        <v>0</v>
      </c>
      <c r="CY36" s="2">
        <f t="shared" si="38"/>
        <v>0</v>
      </c>
      <c r="CZ36" s="2">
        <f t="shared" si="39"/>
        <v>0</v>
      </c>
      <c r="DA36" s="2"/>
      <c r="DB36" s="2"/>
      <c r="DC36" s="2" t="s">
        <v>6</v>
      </c>
      <c r="DD36" s="2" t="s">
        <v>6</v>
      </c>
      <c r="DE36" s="2" t="s">
        <v>6</v>
      </c>
      <c r="DF36" s="2" t="s">
        <v>6</v>
      </c>
      <c r="DG36" s="2" t="s">
        <v>6</v>
      </c>
      <c r="DH36" s="2" t="s">
        <v>6</v>
      </c>
      <c r="DI36" s="2" t="s">
        <v>6</v>
      </c>
      <c r="DJ36" s="2" t="s">
        <v>6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1005</v>
      </c>
      <c r="DV36" s="2" t="s">
        <v>35</v>
      </c>
      <c r="DW36" s="2" t="s">
        <v>35</v>
      </c>
      <c r="DX36" s="2">
        <v>1</v>
      </c>
      <c r="DY36" s="2"/>
      <c r="DZ36" s="2"/>
      <c r="EA36" s="2"/>
      <c r="EB36" s="2"/>
      <c r="EC36" s="2"/>
      <c r="ED36" s="2"/>
      <c r="EE36" s="2">
        <v>16510513</v>
      </c>
      <c r="EF36" s="2">
        <v>2</v>
      </c>
      <c r="EG36" s="2" t="s">
        <v>18</v>
      </c>
      <c r="EH36" s="2">
        <v>0</v>
      </c>
      <c r="EI36" s="2" t="s">
        <v>6</v>
      </c>
      <c r="EJ36" s="2">
        <v>1</v>
      </c>
      <c r="EK36" s="2">
        <v>15001</v>
      </c>
      <c r="EL36" s="2" t="s">
        <v>51</v>
      </c>
      <c r="EM36" s="2" t="s">
        <v>52</v>
      </c>
      <c r="EN36" s="2"/>
      <c r="EO36" s="2" t="s">
        <v>6</v>
      </c>
      <c r="EP36" s="2"/>
      <c r="EQ36" s="2">
        <v>0</v>
      </c>
      <c r="ER36" s="2">
        <v>59.16</v>
      </c>
      <c r="ES36" s="2">
        <v>59.16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0"/>
        <v>0</v>
      </c>
      <c r="FS36" s="2">
        <v>0</v>
      </c>
      <c r="FT36" s="2" t="s">
        <v>21</v>
      </c>
      <c r="FU36" s="2" t="s">
        <v>22</v>
      </c>
      <c r="FV36" s="2"/>
      <c r="FW36" s="2"/>
      <c r="FX36" s="2">
        <v>94.5</v>
      </c>
      <c r="FY36" s="2">
        <v>46.75</v>
      </c>
      <c r="FZ36" s="2"/>
      <c r="GA36" s="2" t="s">
        <v>6</v>
      </c>
      <c r="GB36" s="2"/>
      <c r="GC36" s="2"/>
      <c r="GD36" s="2">
        <v>0</v>
      </c>
      <c r="GE36" s="2"/>
      <c r="GF36" s="2">
        <v>-724546537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1"/>
        <v>0</v>
      </c>
      <c r="GM36" s="2">
        <f t="shared" si="42"/>
        <v>76.41</v>
      </c>
      <c r="GN36" s="2">
        <f t="shared" si="43"/>
        <v>76.41</v>
      </c>
      <c r="GO36" s="2">
        <f t="shared" si="44"/>
        <v>0</v>
      </c>
      <c r="GP36" s="2">
        <f t="shared" si="45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46"/>
        <v>0</v>
      </c>
      <c r="GW36" s="2">
        <v>1</v>
      </c>
      <c r="GX36" s="2">
        <f t="shared" si="47"/>
        <v>0</v>
      </c>
      <c r="GY36" s="2"/>
      <c r="GZ36" s="2"/>
      <c r="HA36" s="2">
        <v>0</v>
      </c>
      <c r="HB36" s="2">
        <v>0</v>
      </c>
      <c r="HC36" s="2">
        <f t="shared" si="48"/>
        <v>0</v>
      </c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56</v>
      </c>
      <c r="E37" t="s">
        <v>53</v>
      </c>
      <c r="F37" t="s">
        <v>54</v>
      </c>
      <c r="G37" t="s">
        <v>55</v>
      </c>
      <c r="H37" t="s">
        <v>35</v>
      </c>
      <c r="I37">
        <f>I35*J37</f>
        <v>1.2915000000000001</v>
      </c>
      <c r="J37">
        <v>105</v>
      </c>
      <c r="O37">
        <f t="shared" si="14"/>
        <v>466.84</v>
      </c>
      <c r="P37">
        <f t="shared" si="15"/>
        <v>466.84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16784196</v>
      </c>
      <c r="AB37">
        <f t="shared" si="25"/>
        <v>59.16</v>
      </c>
      <c r="AC37">
        <f t="shared" si="26"/>
        <v>59.16</v>
      </c>
      <c r="AD37">
        <f t="shared" si="49"/>
        <v>0</v>
      </c>
      <c r="AE37">
        <f t="shared" si="50"/>
        <v>0</v>
      </c>
      <c r="AF37">
        <f t="shared" si="50"/>
        <v>0</v>
      </c>
      <c r="AG37">
        <f t="shared" si="27"/>
        <v>0</v>
      </c>
      <c r="AH37">
        <f t="shared" si="51"/>
        <v>0</v>
      </c>
      <c r="AI37">
        <f t="shared" si="51"/>
        <v>0</v>
      </c>
      <c r="AJ37">
        <f t="shared" si="28"/>
        <v>0</v>
      </c>
      <c r="AK37">
        <v>59.16</v>
      </c>
      <c r="AL37">
        <v>59.16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95</v>
      </c>
      <c r="AU37">
        <v>47</v>
      </c>
      <c r="AV37">
        <v>1</v>
      </c>
      <c r="AW37">
        <v>1</v>
      </c>
      <c r="AZ37">
        <v>6.11</v>
      </c>
      <c r="BA37">
        <v>1</v>
      </c>
      <c r="BB37">
        <v>1</v>
      </c>
      <c r="BC37">
        <v>6.11</v>
      </c>
      <c r="BD37" t="s">
        <v>6</v>
      </c>
      <c r="BE37" t="s">
        <v>6</v>
      </c>
      <c r="BF37" t="s">
        <v>6</v>
      </c>
      <c r="BG37" t="s">
        <v>6</v>
      </c>
      <c r="BH37">
        <v>3</v>
      </c>
      <c r="BI37">
        <v>1</v>
      </c>
      <c r="BJ37" t="s">
        <v>56</v>
      </c>
      <c r="BM37">
        <v>15001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105</v>
      </c>
      <c r="CA37">
        <v>55</v>
      </c>
      <c r="CE37">
        <v>0</v>
      </c>
      <c r="CF37">
        <v>0</v>
      </c>
      <c r="CG37">
        <v>0</v>
      </c>
      <c r="CM37">
        <v>0</v>
      </c>
      <c r="CN37" t="s">
        <v>6</v>
      </c>
      <c r="CO37">
        <v>0</v>
      </c>
      <c r="CP37">
        <f t="shared" si="29"/>
        <v>466.84</v>
      </c>
      <c r="CQ37">
        <f t="shared" si="30"/>
        <v>361.4676</v>
      </c>
      <c r="CR37">
        <f t="shared" si="31"/>
        <v>0</v>
      </c>
      <c r="CS37">
        <f t="shared" si="32"/>
        <v>0</v>
      </c>
      <c r="CT37">
        <f t="shared" si="33"/>
        <v>0</v>
      </c>
      <c r="CU37">
        <f t="shared" si="34"/>
        <v>0</v>
      </c>
      <c r="CV37">
        <f t="shared" si="35"/>
        <v>0</v>
      </c>
      <c r="CW37">
        <f t="shared" si="36"/>
        <v>0</v>
      </c>
      <c r="CX37">
        <f t="shared" si="37"/>
        <v>0</v>
      </c>
      <c r="CY37">
        <f t="shared" si="38"/>
        <v>0</v>
      </c>
      <c r="CZ37">
        <f t="shared" si="39"/>
        <v>0</v>
      </c>
      <c r="DC37" t="s">
        <v>6</v>
      </c>
      <c r="DD37" t="s">
        <v>6</v>
      </c>
      <c r="DE37" t="s">
        <v>6</v>
      </c>
      <c r="DF37" t="s">
        <v>6</v>
      </c>
      <c r="DG37" t="s">
        <v>6</v>
      </c>
      <c r="DH37" t="s">
        <v>6</v>
      </c>
      <c r="DI37" t="s">
        <v>6</v>
      </c>
      <c r="DJ37" t="s">
        <v>6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35</v>
      </c>
      <c r="DW37" t="s">
        <v>35</v>
      </c>
      <c r="DX37">
        <v>1</v>
      </c>
      <c r="EE37">
        <v>16510513</v>
      </c>
      <c r="EF37">
        <v>2</v>
      </c>
      <c r="EG37" t="s">
        <v>18</v>
      </c>
      <c r="EH37">
        <v>0</v>
      </c>
      <c r="EI37" t="s">
        <v>6</v>
      </c>
      <c r="EJ37">
        <v>1</v>
      </c>
      <c r="EK37">
        <v>15001</v>
      </c>
      <c r="EL37" t="s">
        <v>51</v>
      </c>
      <c r="EM37" t="s">
        <v>52</v>
      </c>
      <c r="EO37" t="s">
        <v>6</v>
      </c>
      <c r="EQ37">
        <v>0</v>
      </c>
      <c r="ER37">
        <v>59.16</v>
      </c>
      <c r="ES37">
        <v>59.16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0"/>
        <v>0</v>
      </c>
      <c r="FS37">
        <v>0</v>
      </c>
      <c r="FT37" t="s">
        <v>21</v>
      </c>
      <c r="FU37" t="s">
        <v>22</v>
      </c>
      <c r="FX37">
        <v>94.5</v>
      </c>
      <c r="FY37">
        <v>46.75</v>
      </c>
      <c r="GA37" t="s">
        <v>6</v>
      </c>
      <c r="GD37">
        <v>0</v>
      </c>
      <c r="GF37">
        <v>-724546537</v>
      </c>
      <c r="GG37">
        <v>1</v>
      </c>
      <c r="GH37">
        <v>1</v>
      </c>
      <c r="GI37">
        <v>4</v>
      </c>
      <c r="GJ37">
        <v>0</v>
      </c>
      <c r="GK37">
        <f>ROUND(R37*(S12)/100,2)</f>
        <v>0</v>
      </c>
      <c r="GL37">
        <f t="shared" si="41"/>
        <v>0</v>
      </c>
      <c r="GM37">
        <f t="shared" si="42"/>
        <v>466.84</v>
      </c>
      <c r="GN37">
        <f t="shared" si="43"/>
        <v>466.84</v>
      </c>
      <c r="GO37">
        <f t="shared" si="44"/>
        <v>0</v>
      </c>
      <c r="GP37">
        <f t="shared" si="45"/>
        <v>0</v>
      </c>
      <c r="GR37">
        <v>0</v>
      </c>
      <c r="GS37">
        <v>3</v>
      </c>
      <c r="GT37">
        <v>0</v>
      </c>
      <c r="GU37" t="s">
        <v>6</v>
      </c>
      <c r="GV37">
        <f t="shared" si="46"/>
        <v>0</v>
      </c>
      <c r="GW37">
        <v>1</v>
      </c>
      <c r="GX37">
        <f t="shared" si="47"/>
        <v>0</v>
      </c>
      <c r="HA37">
        <v>0</v>
      </c>
      <c r="HB37">
        <v>0</v>
      </c>
      <c r="HC37">
        <f t="shared" si="48"/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49</v>
      </c>
      <c r="D38" s="2"/>
      <c r="E38" s="2" t="s">
        <v>57</v>
      </c>
      <c r="F38" s="2" t="s">
        <v>58</v>
      </c>
      <c r="G38" s="2" t="s">
        <v>59</v>
      </c>
      <c r="H38" s="2" t="s">
        <v>60</v>
      </c>
      <c r="I38" s="2">
        <f>I34*J38</f>
        <v>0.36899999999999999</v>
      </c>
      <c r="J38" s="2">
        <v>30</v>
      </c>
      <c r="K38" s="2"/>
      <c r="L38" s="2"/>
      <c r="M38" s="2"/>
      <c r="N38" s="2"/>
      <c r="O38" s="2">
        <f t="shared" si="14"/>
        <v>9.43</v>
      </c>
      <c r="P38" s="2">
        <f t="shared" si="15"/>
        <v>9.43</v>
      </c>
      <c r="Q38" s="2">
        <f t="shared" si="16"/>
        <v>0</v>
      </c>
      <c r="R38" s="2">
        <f t="shared" si="17"/>
        <v>0</v>
      </c>
      <c r="S38" s="2">
        <f t="shared" si="18"/>
        <v>0</v>
      </c>
      <c r="T38" s="2">
        <f t="shared" si="19"/>
        <v>0</v>
      </c>
      <c r="U38" s="2">
        <f t="shared" si="20"/>
        <v>0</v>
      </c>
      <c r="V38" s="2">
        <f t="shared" si="21"/>
        <v>0</v>
      </c>
      <c r="W38" s="2">
        <f t="shared" si="22"/>
        <v>0</v>
      </c>
      <c r="X38" s="2">
        <f t="shared" si="23"/>
        <v>0</v>
      </c>
      <c r="Y38" s="2">
        <f t="shared" si="24"/>
        <v>0</v>
      </c>
      <c r="Z38" s="2"/>
      <c r="AA38" s="2">
        <v>16784195</v>
      </c>
      <c r="AB38" s="2">
        <f t="shared" si="25"/>
        <v>25.56</v>
      </c>
      <c r="AC38" s="2">
        <f t="shared" si="26"/>
        <v>25.56</v>
      </c>
      <c r="AD38" s="2">
        <f t="shared" si="49"/>
        <v>0</v>
      </c>
      <c r="AE38" s="2">
        <f t="shared" si="50"/>
        <v>0</v>
      </c>
      <c r="AF38" s="2">
        <f t="shared" si="50"/>
        <v>0</v>
      </c>
      <c r="AG38" s="2">
        <f t="shared" si="27"/>
        <v>0</v>
      </c>
      <c r="AH38" s="2">
        <f t="shared" si="51"/>
        <v>0</v>
      </c>
      <c r="AI38" s="2">
        <f t="shared" si="51"/>
        <v>0</v>
      </c>
      <c r="AJ38" s="2">
        <f t="shared" si="28"/>
        <v>0</v>
      </c>
      <c r="AK38" s="2">
        <v>25.56</v>
      </c>
      <c r="AL38" s="2">
        <v>25.56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95</v>
      </c>
      <c r="AU38" s="2">
        <v>47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61</v>
      </c>
      <c r="BK38" s="2"/>
      <c r="BL38" s="2"/>
      <c r="BM38" s="2">
        <v>15001</v>
      </c>
      <c r="BN38" s="2">
        <v>0</v>
      </c>
      <c r="BO38" s="2" t="s">
        <v>6</v>
      </c>
      <c r="BP38" s="2">
        <v>0</v>
      </c>
      <c r="BQ38" s="2">
        <v>2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105</v>
      </c>
      <c r="CA38" s="2">
        <v>55</v>
      </c>
      <c r="CB38" s="2"/>
      <c r="CC38" s="2"/>
      <c r="CD38" s="2"/>
      <c r="CE38" s="2">
        <v>0</v>
      </c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29"/>
        <v>9.43</v>
      </c>
      <c r="CQ38" s="2">
        <f t="shared" si="30"/>
        <v>25.56</v>
      </c>
      <c r="CR38" s="2">
        <f t="shared" si="31"/>
        <v>0</v>
      </c>
      <c r="CS38" s="2">
        <f t="shared" si="32"/>
        <v>0</v>
      </c>
      <c r="CT38" s="2">
        <f t="shared" si="33"/>
        <v>0</v>
      </c>
      <c r="CU38" s="2">
        <f t="shared" si="34"/>
        <v>0</v>
      </c>
      <c r="CV38" s="2">
        <f t="shared" si="35"/>
        <v>0</v>
      </c>
      <c r="CW38" s="2">
        <f t="shared" si="36"/>
        <v>0</v>
      </c>
      <c r="CX38" s="2">
        <f t="shared" si="37"/>
        <v>0</v>
      </c>
      <c r="CY38" s="2">
        <f t="shared" si="38"/>
        <v>0</v>
      </c>
      <c r="CZ38" s="2">
        <f t="shared" si="39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60</v>
      </c>
      <c r="DW38" s="2" t="s">
        <v>60</v>
      </c>
      <c r="DX38" s="2">
        <v>1</v>
      </c>
      <c r="DY38" s="2"/>
      <c r="DZ38" s="2"/>
      <c r="EA38" s="2"/>
      <c r="EB38" s="2"/>
      <c r="EC38" s="2"/>
      <c r="ED38" s="2"/>
      <c r="EE38" s="2">
        <v>16510513</v>
      </c>
      <c r="EF38" s="2">
        <v>2</v>
      </c>
      <c r="EG38" s="2" t="s">
        <v>18</v>
      </c>
      <c r="EH38" s="2">
        <v>0</v>
      </c>
      <c r="EI38" s="2" t="s">
        <v>6</v>
      </c>
      <c r="EJ38" s="2">
        <v>1</v>
      </c>
      <c r="EK38" s="2">
        <v>15001</v>
      </c>
      <c r="EL38" s="2" t="s">
        <v>51</v>
      </c>
      <c r="EM38" s="2" t="s">
        <v>52</v>
      </c>
      <c r="EN38" s="2"/>
      <c r="EO38" s="2" t="s">
        <v>6</v>
      </c>
      <c r="EP38" s="2"/>
      <c r="EQ38" s="2">
        <v>0</v>
      </c>
      <c r="ER38" s="2">
        <v>25.56</v>
      </c>
      <c r="ES38" s="2">
        <v>25.56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0"/>
        <v>0</v>
      </c>
      <c r="FS38" s="2">
        <v>0</v>
      </c>
      <c r="FT38" s="2" t="s">
        <v>21</v>
      </c>
      <c r="FU38" s="2" t="s">
        <v>22</v>
      </c>
      <c r="FV38" s="2"/>
      <c r="FW38" s="2"/>
      <c r="FX38" s="2">
        <v>94.5</v>
      </c>
      <c r="FY38" s="2">
        <v>46.75</v>
      </c>
      <c r="FZ38" s="2"/>
      <c r="GA38" s="2" t="s">
        <v>6</v>
      </c>
      <c r="GB38" s="2"/>
      <c r="GC38" s="2"/>
      <c r="GD38" s="2">
        <v>0</v>
      </c>
      <c r="GE38" s="2"/>
      <c r="GF38" s="2">
        <v>-89726692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41"/>
        <v>0</v>
      </c>
      <c r="GM38" s="2">
        <f t="shared" si="42"/>
        <v>9.43</v>
      </c>
      <c r="GN38" s="2">
        <f t="shared" si="43"/>
        <v>9.43</v>
      </c>
      <c r="GO38" s="2">
        <f t="shared" si="44"/>
        <v>0</v>
      </c>
      <c r="GP38" s="2">
        <f t="shared" si="45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46"/>
        <v>0</v>
      </c>
      <c r="GW38" s="2">
        <v>1</v>
      </c>
      <c r="GX38" s="2">
        <f t="shared" si="47"/>
        <v>0</v>
      </c>
      <c r="GY38" s="2"/>
      <c r="GZ38" s="2"/>
      <c r="HA38" s="2">
        <v>0</v>
      </c>
      <c r="HB38" s="2">
        <v>0</v>
      </c>
      <c r="HC38" s="2">
        <f t="shared" si="48"/>
        <v>0</v>
      </c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57</v>
      </c>
      <c r="E39" t="s">
        <v>57</v>
      </c>
      <c r="F39" t="s">
        <v>58</v>
      </c>
      <c r="G39" t="s">
        <v>59</v>
      </c>
      <c r="H39" t="s">
        <v>60</v>
      </c>
      <c r="I39">
        <f>I35*J39</f>
        <v>0.36899999999999999</v>
      </c>
      <c r="J39">
        <v>30</v>
      </c>
      <c r="O39">
        <f t="shared" si="14"/>
        <v>57.63</v>
      </c>
      <c r="P39">
        <f t="shared" si="15"/>
        <v>57.63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16784196</v>
      </c>
      <c r="AB39">
        <f t="shared" si="25"/>
        <v>25.56</v>
      </c>
      <c r="AC39">
        <f t="shared" si="26"/>
        <v>25.56</v>
      </c>
      <c r="AD39">
        <f t="shared" si="49"/>
        <v>0</v>
      </c>
      <c r="AE39">
        <f t="shared" si="50"/>
        <v>0</v>
      </c>
      <c r="AF39">
        <f t="shared" si="50"/>
        <v>0</v>
      </c>
      <c r="AG39">
        <f t="shared" si="27"/>
        <v>0</v>
      </c>
      <c r="AH39">
        <f t="shared" si="51"/>
        <v>0</v>
      </c>
      <c r="AI39">
        <f t="shared" si="51"/>
        <v>0</v>
      </c>
      <c r="AJ39">
        <f t="shared" si="28"/>
        <v>0</v>
      </c>
      <c r="AK39">
        <v>25.56</v>
      </c>
      <c r="AL39">
        <v>25.56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95</v>
      </c>
      <c r="AU39">
        <v>47</v>
      </c>
      <c r="AV39">
        <v>1</v>
      </c>
      <c r="AW39">
        <v>1</v>
      </c>
      <c r="AZ39">
        <v>6.11</v>
      </c>
      <c r="BA39">
        <v>1</v>
      </c>
      <c r="BB39">
        <v>1</v>
      </c>
      <c r="BC39">
        <v>6.11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61</v>
      </c>
      <c r="BM39">
        <v>15001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105</v>
      </c>
      <c r="CA39">
        <v>55</v>
      </c>
      <c r="CE39">
        <v>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29"/>
        <v>57.63</v>
      </c>
      <c r="CQ39">
        <f t="shared" si="30"/>
        <v>156.17160000000001</v>
      </c>
      <c r="CR39">
        <f t="shared" si="31"/>
        <v>0</v>
      </c>
      <c r="CS39">
        <f t="shared" si="32"/>
        <v>0</v>
      </c>
      <c r="CT39">
        <f t="shared" si="33"/>
        <v>0</v>
      </c>
      <c r="CU39">
        <f t="shared" si="34"/>
        <v>0</v>
      </c>
      <c r="CV39">
        <f t="shared" si="35"/>
        <v>0</v>
      </c>
      <c r="CW39">
        <f t="shared" si="36"/>
        <v>0</v>
      </c>
      <c r="CX39">
        <f t="shared" si="37"/>
        <v>0</v>
      </c>
      <c r="CY39">
        <f t="shared" si="38"/>
        <v>0</v>
      </c>
      <c r="CZ39">
        <f t="shared" si="39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60</v>
      </c>
      <c r="DW39" t="s">
        <v>60</v>
      </c>
      <c r="DX39">
        <v>1</v>
      </c>
      <c r="EE39">
        <v>16510513</v>
      </c>
      <c r="EF39">
        <v>2</v>
      </c>
      <c r="EG39" t="s">
        <v>18</v>
      </c>
      <c r="EH39">
        <v>0</v>
      </c>
      <c r="EI39" t="s">
        <v>6</v>
      </c>
      <c r="EJ39">
        <v>1</v>
      </c>
      <c r="EK39">
        <v>15001</v>
      </c>
      <c r="EL39" t="s">
        <v>51</v>
      </c>
      <c r="EM39" t="s">
        <v>52</v>
      </c>
      <c r="EO39" t="s">
        <v>6</v>
      </c>
      <c r="EQ39">
        <v>0</v>
      </c>
      <c r="ER39">
        <v>25.56</v>
      </c>
      <c r="ES39">
        <v>25.56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0"/>
        <v>0</v>
      </c>
      <c r="FS39">
        <v>0</v>
      </c>
      <c r="FT39" t="s">
        <v>21</v>
      </c>
      <c r="FU39" t="s">
        <v>22</v>
      </c>
      <c r="FX39">
        <v>94.5</v>
      </c>
      <c r="FY39">
        <v>46.75</v>
      </c>
      <c r="GA39" t="s">
        <v>6</v>
      </c>
      <c r="GD39">
        <v>0</v>
      </c>
      <c r="GF39">
        <v>-89726692</v>
      </c>
      <c r="GG39">
        <v>1</v>
      </c>
      <c r="GH39">
        <v>1</v>
      </c>
      <c r="GI39">
        <v>4</v>
      </c>
      <c r="GJ39">
        <v>0</v>
      </c>
      <c r="GK39">
        <f>ROUND(R39*(S12)/100,2)</f>
        <v>0</v>
      </c>
      <c r="GL39">
        <f t="shared" si="41"/>
        <v>0</v>
      </c>
      <c r="GM39">
        <f t="shared" si="42"/>
        <v>57.63</v>
      </c>
      <c r="GN39">
        <f t="shared" si="43"/>
        <v>57.63</v>
      </c>
      <c r="GO39">
        <f t="shared" si="44"/>
        <v>0</v>
      </c>
      <c r="GP39">
        <f t="shared" si="45"/>
        <v>0</v>
      </c>
      <c r="GR39">
        <v>0</v>
      </c>
      <c r="GS39">
        <v>3</v>
      </c>
      <c r="GT39">
        <v>0</v>
      </c>
      <c r="GU39" t="s">
        <v>6</v>
      </c>
      <c r="GV39">
        <f t="shared" si="46"/>
        <v>0</v>
      </c>
      <c r="GW39">
        <v>1</v>
      </c>
      <c r="GX39">
        <f t="shared" si="47"/>
        <v>0</v>
      </c>
      <c r="HA39">
        <v>0</v>
      </c>
      <c r="HB39">
        <v>0</v>
      </c>
      <c r="HC39">
        <f t="shared" si="48"/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50</v>
      </c>
      <c r="D40" s="2"/>
      <c r="E40" s="2" t="s">
        <v>62</v>
      </c>
      <c r="F40" s="2" t="s">
        <v>63</v>
      </c>
      <c r="G40" s="2" t="s">
        <v>64</v>
      </c>
      <c r="H40" s="2" t="s">
        <v>65</v>
      </c>
      <c r="I40" s="2">
        <f>I34*J40</f>
        <v>1.0899999999999999E-4</v>
      </c>
      <c r="J40" s="2">
        <v>8.8617886178861786E-3</v>
      </c>
      <c r="K40" s="2"/>
      <c r="L40" s="2"/>
      <c r="M40" s="2"/>
      <c r="N40" s="2"/>
      <c r="O40" s="2">
        <f t="shared" si="14"/>
        <v>2</v>
      </c>
      <c r="P40" s="2">
        <f t="shared" si="15"/>
        <v>2</v>
      </c>
      <c r="Q40" s="2">
        <f t="shared" si="16"/>
        <v>0</v>
      </c>
      <c r="R40" s="2">
        <f t="shared" si="17"/>
        <v>0</v>
      </c>
      <c r="S40" s="2">
        <f t="shared" si="18"/>
        <v>0</v>
      </c>
      <c r="T40" s="2">
        <f t="shared" si="19"/>
        <v>0</v>
      </c>
      <c r="U40" s="2">
        <f t="shared" si="20"/>
        <v>0</v>
      </c>
      <c r="V40" s="2">
        <f t="shared" si="21"/>
        <v>0</v>
      </c>
      <c r="W40" s="2">
        <f t="shared" si="22"/>
        <v>0</v>
      </c>
      <c r="X40" s="2">
        <f t="shared" si="23"/>
        <v>0</v>
      </c>
      <c r="Y40" s="2">
        <f t="shared" si="24"/>
        <v>0</v>
      </c>
      <c r="Z40" s="2"/>
      <c r="AA40" s="2">
        <v>16784195</v>
      </c>
      <c r="AB40" s="2">
        <f t="shared" si="25"/>
        <v>18390.16</v>
      </c>
      <c r="AC40" s="2">
        <f t="shared" si="26"/>
        <v>18390.16</v>
      </c>
      <c r="AD40" s="2">
        <f t="shared" si="49"/>
        <v>0</v>
      </c>
      <c r="AE40" s="2">
        <f t="shared" si="50"/>
        <v>0</v>
      </c>
      <c r="AF40" s="2">
        <f t="shared" si="50"/>
        <v>0</v>
      </c>
      <c r="AG40" s="2">
        <f t="shared" si="27"/>
        <v>0</v>
      </c>
      <c r="AH40" s="2">
        <f t="shared" si="51"/>
        <v>0</v>
      </c>
      <c r="AI40" s="2">
        <f t="shared" si="51"/>
        <v>0</v>
      </c>
      <c r="AJ40" s="2">
        <f t="shared" si="28"/>
        <v>0</v>
      </c>
      <c r="AK40" s="2">
        <v>18390.16</v>
      </c>
      <c r="AL40" s="2">
        <v>18390.16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95</v>
      </c>
      <c r="AU40" s="2">
        <v>47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3</v>
      </c>
      <c r="BI40" s="2">
        <v>1</v>
      </c>
      <c r="BJ40" s="2" t="s">
        <v>66</v>
      </c>
      <c r="BK40" s="2"/>
      <c r="BL40" s="2"/>
      <c r="BM40" s="2">
        <v>15001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105</v>
      </c>
      <c r="CA40" s="2">
        <v>55</v>
      </c>
      <c r="CB40" s="2"/>
      <c r="CC40" s="2"/>
      <c r="CD40" s="2"/>
      <c r="CE40" s="2">
        <v>0</v>
      </c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6</v>
      </c>
      <c r="CO40" s="2">
        <v>0</v>
      </c>
      <c r="CP40" s="2">
        <f t="shared" si="29"/>
        <v>2</v>
      </c>
      <c r="CQ40" s="2">
        <f t="shared" si="30"/>
        <v>18390.16</v>
      </c>
      <c r="CR40" s="2">
        <f t="shared" si="31"/>
        <v>0</v>
      </c>
      <c r="CS40" s="2">
        <f t="shared" si="32"/>
        <v>0</v>
      </c>
      <c r="CT40" s="2">
        <f t="shared" si="33"/>
        <v>0</v>
      </c>
      <c r="CU40" s="2">
        <f t="shared" si="34"/>
        <v>0</v>
      </c>
      <c r="CV40" s="2">
        <f t="shared" si="35"/>
        <v>0</v>
      </c>
      <c r="CW40" s="2">
        <f t="shared" si="36"/>
        <v>0</v>
      </c>
      <c r="CX40" s="2">
        <f t="shared" si="37"/>
        <v>0</v>
      </c>
      <c r="CY40" s="2">
        <f t="shared" si="38"/>
        <v>0</v>
      </c>
      <c r="CZ40" s="2">
        <f t="shared" si="39"/>
        <v>0</v>
      </c>
      <c r="DA40" s="2"/>
      <c r="DB40" s="2"/>
      <c r="DC40" s="2" t="s">
        <v>6</v>
      </c>
      <c r="DD40" s="2" t="s">
        <v>6</v>
      </c>
      <c r="DE40" s="2" t="s">
        <v>6</v>
      </c>
      <c r="DF40" s="2" t="s">
        <v>6</v>
      </c>
      <c r="DG40" s="2" t="s">
        <v>6</v>
      </c>
      <c r="DH40" s="2" t="s">
        <v>6</v>
      </c>
      <c r="DI40" s="2" t="s">
        <v>6</v>
      </c>
      <c r="DJ40" s="2" t="s">
        <v>6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1009</v>
      </c>
      <c r="DV40" s="2" t="s">
        <v>65</v>
      </c>
      <c r="DW40" s="2" t="s">
        <v>65</v>
      </c>
      <c r="DX40" s="2">
        <v>1000</v>
      </c>
      <c r="DY40" s="2"/>
      <c r="DZ40" s="2"/>
      <c r="EA40" s="2"/>
      <c r="EB40" s="2"/>
      <c r="EC40" s="2"/>
      <c r="ED40" s="2"/>
      <c r="EE40" s="2">
        <v>16510513</v>
      </c>
      <c r="EF40" s="2">
        <v>2</v>
      </c>
      <c r="EG40" s="2" t="s">
        <v>18</v>
      </c>
      <c r="EH40" s="2">
        <v>0</v>
      </c>
      <c r="EI40" s="2" t="s">
        <v>6</v>
      </c>
      <c r="EJ40" s="2">
        <v>1</v>
      </c>
      <c r="EK40" s="2">
        <v>15001</v>
      </c>
      <c r="EL40" s="2" t="s">
        <v>51</v>
      </c>
      <c r="EM40" s="2" t="s">
        <v>52</v>
      </c>
      <c r="EN40" s="2"/>
      <c r="EO40" s="2" t="s">
        <v>6</v>
      </c>
      <c r="EP40" s="2"/>
      <c r="EQ40" s="2">
        <v>0</v>
      </c>
      <c r="ER40" s="2">
        <v>18390.16</v>
      </c>
      <c r="ES40" s="2">
        <v>18390.16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0"/>
        <v>0</v>
      </c>
      <c r="FS40" s="2">
        <v>0</v>
      </c>
      <c r="FT40" s="2" t="s">
        <v>21</v>
      </c>
      <c r="FU40" s="2" t="s">
        <v>22</v>
      </c>
      <c r="FV40" s="2"/>
      <c r="FW40" s="2"/>
      <c r="FX40" s="2">
        <v>94.5</v>
      </c>
      <c r="FY40" s="2">
        <v>46.75</v>
      </c>
      <c r="FZ40" s="2"/>
      <c r="GA40" s="2" t="s">
        <v>6</v>
      </c>
      <c r="GB40" s="2"/>
      <c r="GC40" s="2"/>
      <c r="GD40" s="2">
        <v>0</v>
      </c>
      <c r="GE40" s="2"/>
      <c r="GF40" s="2">
        <v>-1919714308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1"/>
        <v>0</v>
      </c>
      <c r="GM40" s="2">
        <f t="shared" si="42"/>
        <v>2</v>
      </c>
      <c r="GN40" s="2">
        <f t="shared" si="43"/>
        <v>2</v>
      </c>
      <c r="GO40" s="2">
        <f t="shared" si="44"/>
        <v>0</v>
      </c>
      <c r="GP40" s="2">
        <f t="shared" si="45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46"/>
        <v>0</v>
      </c>
      <c r="GW40" s="2">
        <v>1</v>
      </c>
      <c r="GX40" s="2">
        <f t="shared" si="47"/>
        <v>0</v>
      </c>
      <c r="GY40" s="2"/>
      <c r="GZ40" s="2"/>
      <c r="HA40" s="2">
        <v>0</v>
      </c>
      <c r="HB40" s="2">
        <v>0</v>
      </c>
      <c r="HC40" s="2">
        <f t="shared" si="48"/>
        <v>0</v>
      </c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58</v>
      </c>
      <c r="E41" t="s">
        <v>62</v>
      </c>
      <c r="F41" t="s">
        <v>63</v>
      </c>
      <c r="G41" t="s">
        <v>64</v>
      </c>
      <c r="H41" t="s">
        <v>65</v>
      </c>
      <c r="I41">
        <f>I35*J41</f>
        <v>1.0899999999999999E-4</v>
      </c>
      <c r="J41">
        <v>8.8617886178861786E-3</v>
      </c>
      <c r="O41">
        <f t="shared" si="14"/>
        <v>12.25</v>
      </c>
      <c r="P41">
        <f t="shared" si="15"/>
        <v>12.25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16784196</v>
      </c>
      <c r="AB41">
        <f t="shared" si="25"/>
        <v>18390.16</v>
      </c>
      <c r="AC41">
        <f t="shared" si="26"/>
        <v>18390.16</v>
      </c>
      <c r="AD41">
        <f t="shared" si="49"/>
        <v>0</v>
      </c>
      <c r="AE41">
        <f t="shared" si="50"/>
        <v>0</v>
      </c>
      <c r="AF41">
        <f t="shared" si="50"/>
        <v>0</v>
      </c>
      <c r="AG41">
        <f t="shared" si="27"/>
        <v>0</v>
      </c>
      <c r="AH41">
        <f t="shared" si="51"/>
        <v>0</v>
      </c>
      <c r="AI41">
        <f t="shared" si="51"/>
        <v>0</v>
      </c>
      <c r="AJ41">
        <f t="shared" si="28"/>
        <v>0</v>
      </c>
      <c r="AK41">
        <v>18390.16</v>
      </c>
      <c r="AL41">
        <v>18390.16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95</v>
      </c>
      <c r="AU41">
        <v>47</v>
      </c>
      <c r="AV41">
        <v>1</v>
      </c>
      <c r="AW41">
        <v>1</v>
      </c>
      <c r="AZ41">
        <v>6.11</v>
      </c>
      <c r="BA41">
        <v>1</v>
      </c>
      <c r="BB41">
        <v>1</v>
      </c>
      <c r="BC41">
        <v>6.11</v>
      </c>
      <c r="BD41" t="s">
        <v>6</v>
      </c>
      <c r="BE41" t="s">
        <v>6</v>
      </c>
      <c r="BF41" t="s">
        <v>6</v>
      </c>
      <c r="BG41" t="s">
        <v>6</v>
      </c>
      <c r="BH41">
        <v>3</v>
      </c>
      <c r="BI41">
        <v>1</v>
      </c>
      <c r="BJ41" t="s">
        <v>66</v>
      </c>
      <c r="BM41">
        <v>15001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105</v>
      </c>
      <c r="CA41">
        <v>55</v>
      </c>
      <c r="CE41">
        <v>0</v>
      </c>
      <c r="CF41">
        <v>0</v>
      </c>
      <c r="CG41">
        <v>0</v>
      </c>
      <c r="CM41">
        <v>0</v>
      </c>
      <c r="CN41" t="s">
        <v>6</v>
      </c>
      <c r="CO41">
        <v>0</v>
      </c>
      <c r="CP41">
        <f t="shared" si="29"/>
        <v>12.25</v>
      </c>
      <c r="CQ41">
        <f t="shared" si="30"/>
        <v>112363.87760000001</v>
      </c>
      <c r="CR41">
        <f t="shared" si="31"/>
        <v>0</v>
      </c>
      <c r="CS41">
        <f t="shared" si="32"/>
        <v>0</v>
      </c>
      <c r="CT41">
        <f t="shared" si="33"/>
        <v>0</v>
      </c>
      <c r="CU41">
        <f t="shared" si="34"/>
        <v>0</v>
      </c>
      <c r="CV41">
        <f t="shared" si="35"/>
        <v>0</v>
      </c>
      <c r="CW41">
        <f t="shared" si="36"/>
        <v>0</v>
      </c>
      <c r="CX41">
        <f t="shared" si="37"/>
        <v>0</v>
      </c>
      <c r="CY41">
        <f t="shared" si="38"/>
        <v>0</v>
      </c>
      <c r="CZ41">
        <f t="shared" si="39"/>
        <v>0</v>
      </c>
      <c r="DC41" t="s">
        <v>6</v>
      </c>
      <c r="DD41" t="s">
        <v>6</v>
      </c>
      <c r="DE41" t="s">
        <v>6</v>
      </c>
      <c r="DF41" t="s">
        <v>6</v>
      </c>
      <c r="DG41" t="s">
        <v>6</v>
      </c>
      <c r="DH41" t="s">
        <v>6</v>
      </c>
      <c r="DI41" t="s">
        <v>6</v>
      </c>
      <c r="DJ41" t="s">
        <v>6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1009</v>
      </c>
      <c r="DV41" t="s">
        <v>65</v>
      </c>
      <c r="DW41" t="s">
        <v>65</v>
      </c>
      <c r="DX41">
        <v>1000</v>
      </c>
      <c r="EE41">
        <v>16510513</v>
      </c>
      <c r="EF41">
        <v>2</v>
      </c>
      <c r="EG41" t="s">
        <v>18</v>
      </c>
      <c r="EH41">
        <v>0</v>
      </c>
      <c r="EI41" t="s">
        <v>6</v>
      </c>
      <c r="EJ41">
        <v>1</v>
      </c>
      <c r="EK41">
        <v>15001</v>
      </c>
      <c r="EL41" t="s">
        <v>51</v>
      </c>
      <c r="EM41" t="s">
        <v>52</v>
      </c>
      <c r="EO41" t="s">
        <v>6</v>
      </c>
      <c r="EQ41">
        <v>0</v>
      </c>
      <c r="ER41">
        <v>18390.16</v>
      </c>
      <c r="ES41">
        <v>18390.16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0"/>
        <v>0</v>
      </c>
      <c r="FS41">
        <v>0</v>
      </c>
      <c r="FT41" t="s">
        <v>21</v>
      </c>
      <c r="FU41" t="s">
        <v>22</v>
      </c>
      <c r="FX41">
        <v>94.5</v>
      </c>
      <c r="FY41">
        <v>46.75</v>
      </c>
      <c r="GA41" t="s">
        <v>6</v>
      </c>
      <c r="GD41">
        <v>0</v>
      </c>
      <c r="GF41">
        <v>-1919714308</v>
      </c>
      <c r="GG41">
        <v>1</v>
      </c>
      <c r="GH41">
        <v>1</v>
      </c>
      <c r="GI41">
        <v>4</v>
      </c>
      <c r="GJ41">
        <v>0</v>
      </c>
      <c r="GK41">
        <f>ROUND(R41*(S12)/100,2)</f>
        <v>0</v>
      </c>
      <c r="GL41">
        <f t="shared" si="41"/>
        <v>0</v>
      </c>
      <c r="GM41">
        <f t="shared" si="42"/>
        <v>12.25</v>
      </c>
      <c r="GN41">
        <f t="shared" si="43"/>
        <v>12.25</v>
      </c>
      <c r="GO41">
        <f t="shared" si="44"/>
        <v>0</v>
      </c>
      <c r="GP41">
        <f t="shared" si="45"/>
        <v>0</v>
      </c>
      <c r="GR41">
        <v>0</v>
      </c>
      <c r="GS41">
        <v>3</v>
      </c>
      <c r="GT41">
        <v>0</v>
      </c>
      <c r="GU41" t="s">
        <v>6</v>
      </c>
      <c r="GV41">
        <f t="shared" si="46"/>
        <v>0</v>
      </c>
      <c r="GW41">
        <v>1</v>
      </c>
      <c r="GX41">
        <f t="shared" si="47"/>
        <v>0</v>
      </c>
      <c r="HA41">
        <v>0</v>
      </c>
      <c r="HB41">
        <v>0</v>
      </c>
      <c r="HC41">
        <f t="shared" si="48"/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ROW(SmtRes!A61)</f>
        <v>61</v>
      </c>
      <c r="D42" s="2">
        <f>ROW(EtalonRes!A61)</f>
        <v>61</v>
      </c>
      <c r="E42" s="2" t="s">
        <v>67</v>
      </c>
      <c r="F42" s="2" t="s">
        <v>68</v>
      </c>
      <c r="G42" s="2" t="s">
        <v>69</v>
      </c>
      <c r="H42" s="2" t="s">
        <v>40</v>
      </c>
      <c r="I42" s="2">
        <f>ROUND(6.15/100,9)</f>
        <v>6.1499999999999999E-2</v>
      </c>
      <c r="J42" s="2">
        <v>0</v>
      </c>
      <c r="K42" s="2"/>
      <c r="L42" s="2"/>
      <c r="M42" s="2"/>
      <c r="N42" s="2"/>
      <c r="O42" s="2">
        <f t="shared" si="14"/>
        <v>6.25</v>
      </c>
      <c r="P42" s="2">
        <f t="shared" si="15"/>
        <v>2.21</v>
      </c>
      <c r="Q42" s="2">
        <f t="shared" si="16"/>
        <v>0</v>
      </c>
      <c r="R42" s="2">
        <f t="shared" si="17"/>
        <v>0</v>
      </c>
      <c r="S42" s="2">
        <f t="shared" si="18"/>
        <v>4.04</v>
      </c>
      <c r="T42" s="2">
        <f t="shared" si="19"/>
        <v>0</v>
      </c>
      <c r="U42" s="2">
        <f t="shared" si="20"/>
        <v>0.47385749999999993</v>
      </c>
      <c r="V42" s="2">
        <f t="shared" si="21"/>
        <v>0</v>
      </c>
      <c r="W42" s="2">
        <f t="shared" si="22"/>
        <v>0</v>
      </c>
      <c r="X42" s="2">
        <f t="shared" si="23"/>
        <v>4.28</v>
      </c>
      <c r="Y42" s="2">
        <f t="shared" si="24"/>
        <v>2.1800000000000002</v>
      </c>
      <c r="Z42" s="2"/>
      <c r="AA42" s="2">
        <v>16784195</v>
      </c>
      <c r="AB42" s="2">
        <f t="shared" si="25"/>
        <v>101.72</v>
      </c>
      <c r="AC42" s="2">
        <f t="shared" si="26"/>
        <v>36</v>
      </c>
      <c r="AD42" s="2">
        <f>ROUND(((((ET42*1.25))-((EU42*1.25)))+AE42),2)</f>
        <v>0</v>
      </c>
      <c r="AE42" s="2">
        <f>ROUND(((EU42*1.25)),2)</f>
        <v>0</v>
      </c>
      <c r="AF42" s="2">
        <f>ROUND(((EV42*1.15)),2)</f>
        <v>65.72</v>
      </c>
      <c r="AG42" s="2">
        <f t="shared" si="27"/>
        <v>0</v>
      </c>
      <c r="AH42" s="2">
        <f>((EW42*1.15))</f>
        <v>7.7049999999999992</v>
      </c>
      <c r="AI42" s="2">
        <f>((EX42*1.25))</f>
        <v>0</v>
      </c>
      <c r="AJ42" s="2">
        <f t="shared" si="28"/>
        <v>0</v>
      </c>
      <c r="AK42" s="2">
        <v>93.15</v>
      </c>
      <c r="AL42" s="2">
        <v>36</v>
      </c>
      <c r="AM42" s="2">
        <v>0</v>
      </c>
      <c r="AN42" s="2">
        <v>0</v>
      </c>
      <c r="AO42" s="2">
        <v>57.15</v>
      </c>
      <c r="AP42" s="2">
        <v>0</v>
      </c>
      <c r="AQ42" s="2">
        <v>6.7</v>
      </c>
      <c r="AR42" s="2">
        <v>0</v>
      </c>
      <c r="AS42" s="2">
        <v>0</v>
      </c>
      <c r="AT42" s="2">
        <v>106</v>
      </c>
      <c r="AU42" s="2">
        <v>54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70</v>
      </c>
      <c r="BK42" s="2"/>
      <c r="BL42" s="2"/>
      <c r="BM42" s="2">
        <v>10001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118</v>
      </c>
      <c r="CA42" s="2">
        <v>63</v>
      </c>
      <c r="CB42" s="2"/>
      <c r="CC42" s="2"/>
      <c r="CD42" s="2"/>
      <c r="CE42" s="2">
        <v>0</v>
      </c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824</v>
      </c>
      <c r="CO42" s="2">
        <v>0</v>
      </c>
      <c r="CP42" s="2">
        <f t="shared" si="29"/>
        <v>6.25</v>
      </c>
      <c r="CQ42" s="2">
        <f t="shared" si="30"/>
        <v>36</v>
      </c>
      <c r="CR42" s="2">
        <f t="shared" si="31"/>
        <v>0</v>
      </c>
      <c r="CS42" s="2">
        <f t="shared" si="32"/>
        <v>0</v>
      </c>
      <c r="CT42" s="2">
        <f t="shared" si="33"/>
        <v>65.72</v>
      </c>
      <c r="CU42" s="2">
        <f t="shared" si="34"/>
        <v>0</v>
      </c>
      <c r="CV42" s="2">
        <f t="shared" si="35"/>
        <v>7.7049999999999992</v>
      </c>
      <c r="CW42" s="2">
        <f t="shared" si="36"/>
        <v>0</v>
      </c>
      <c r="CX42" s="2">
        <f t="shared" si="37"/>
        <v>0</v>
      </c>
      <c r="CY42" s="2">
        <f t="shared" si="38"/>
        <v>4.2824</v>
      </c>
      <c r="CZ42" s="2">
        <f t="shared" si="39"/>
        <v>2.1816</v>
      </c>
      <c r="DA42" s="2"/>
      <c r="DB42" s="2"/>
      <c r="DC42" s="2" t="s">
        <v>6</v>
      </c>
      <c r="DD42" s="2" t="s">
        <v>6</v>
      </c>
      <c r="DE42" s="2" t="s">
        <v>27</v>
      </c>
      <c r="DF42" s="2" t="s">
        <v>27</v>
      </c>
      <c r="DG42" s="2" t="s">
        <v>28</v>
      </c>
      <c r="DH42" s="2" t="s">
        <v>6</v>
      </c>
      <c r="DI42" s="2" t="s">
        <v>28</v>
      </c>
      <c r="DJ42" s="2" t="s">
        <v>27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1003</v>
      </c>
      <c r="DV42" s="2" t="s">
        <v>40</v>
      </c>
      <c r="DW42" s="2" t="s">
        <v>40</v>
      </c>
      <c r="DX42" s="2">
        <v>100</v>
      </c>
      <c r="DY42" s="2"/>
      <c r="DZ42" s="2"/>
      <c r="EA42" s="2"/>
      <c r="EB42" s="2"/>
      <c r="EC42" s="2"/>
      <c r="ED42" s="2"/>
      <c r="EE42" s="2">
        <v>16510487</v>
      </c>
      <c r="EF42" s="2">
        <v>2</v>
      </c>
      <c r="EG42" s="2" t="s">
        <v>18</v>
      </c>
      <c r="EH42" s="2">
        <v>0</v>
      </c>
      <c r="EI42" s="2" t="s">
        <v>6</v>
      </c>
      <c r="EJ42" s="2">
        <v>1</v>
      </c>
      <c r="EK42" s="2">
        <v>10001</v>
      </c>
      <c r="EL42" s="2" t="s">
        <v>29</v>
      </c>
      <c r="EM42" s="2" t="s">
        <v>30</v>
      </c>
      <c r="EN42" s="2"/>
      <c r="EO42" s="2" t="s">
        <v>31</v>
      </c>
      <c r="EP42" s="2"/>
      <c r="EQ42" s="2">
        <v>131072</v>
      </c>
      <c r="ER42" s="2">
        <v>93.15</v>
      </c>
      <c r="ES42" s="2">
        <v>36</v>
      </c>
      <c r="ET42" s="2">
        <v>0</v>
      </c>
      <c r="EU42" s="2">
        <v>0</v>
      </c>
      <c r="EV42" s="2">
        <v>57.15</v>
      </c>
      <c r="EW42" s="2">
        <v>6.7</v>
      </c>
      <c r="EX42" s="2">
        <v>0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0"/>
        <v>0</v>
      </c>
      <c r="FS42" s="2">
        <v>0</v>
      </c>
      <c r="FT42" s="2" t="s">
        <v>21</v>
      </c>
      <c r="FU42" s="2" t="s">
        <v>22</v>
      </c>
      <c r="FV42" s="2"/>
      <c r="FW42" s="2"/>
      <c r="FX42" s="2">
        <v>106.2</v>
      </c>
      <c r="FY42" s="2">
        <v>53.55</v>
      </c>
      <c r="FZ42" s="2"/>
      <c r="GA42" s="2" t="s">
        <v>6</v>
      </c>
      <c r="GB42" s="2"/>
      <c r="GC42" s="2"/>
      <c r="GD42" s="2">
        <v>0</v>
      </c>
      <c r="GE42" s="2"/>
      <c r="GF42" s="2">
        <v>-1862938563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41"/>
        <v>0</v>
      </c>
      <c r="GM42" s="2">
        <f t="shared" si="42"/>
        <v>12.71</v>
      </c>
      <c r="GN42" s="2">
        <f t="shared" si="43"/>
        <v>12.71</v>
      </c>
      <c r="GO42" s="2">
        <f t="shared" si="44"/>
        <v>0</v>
      </c>
      <c r="GP42" s="2">
        <f t="shared" si="45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46"/>
        <v>0</v>
      </c>
      <c r="GW42" s="2">
        <v>1</v>
      </c>
      <c r="GX42" s="2">
        <f t="shared" si="47"/>
        <v>0</v>
      </c>
      <c r="GY42" s="2"/>
      <c r="GZ42" s="2"/>
      <c r="HA42" s="2">
        <v>0</v>
      </c>
      <c r="HB42" s="2">
        <v>0</v>
      </c>
      <c r="HC42" s="2">
        <f t="shared" si="48"/>
        <v>0</v>
      </c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ROW(SmtRes!A64)</f>
        <v>64</v>
      </c>
      <c r="D43">
        <f>ROW(EtalonRes!A64)</f>
        <v>64</v>
      </c>
      <c r="E43" t="s">
        <v>67</v>
      </c>
      <c r="F43" t="s">
        <v>68</v>
      </c>
      <c r="G43" t="s">
        <v>69</v>
      </c>
      <c r="H43" t="s">
        <v>40</v>
      </c>
      <c r="I43">
        <f>ROUND(6.15/100,9)</f>
        <v>6.1499999999999999E-2</v>
      </c>
      <c r="J43">
        <v>0</v>
      </c>
      <c r="O43">
        <f t="shared" si="14"/>
        <v>38.229999999999997</v>
      </c>
      <c r="P43">
        <f t="shared" si="15"/>
        <v>13.53</v>
      </c>
      <c r="Q43">
        <f t="shared" si="16"/>
        <v>0</v>
      </c>
      <c r="R43">
        <f t="shared" si="17"/>
        <v>0</v>
      </c>
      <c r="S43">
        <f t="shared" si="18"/>
        <v>24.7</v>
      </c>
      <c r="T43">
        <f t="shared" si="19"/>
        <v>0</v>
      </c>
      <c r="U43">
        <f t="shared" si="20"/>
        <v>0.47385749999999993</v>
      </c>
      <c r="V43">
        <f t="shared" si="21"/>
        <v>0</v>
      </c>
      <c r="W43">
        <f t="shared" si="22"/>
        <v>0</v>
      </c>
      <c r="X43">
        <f t="shared" si="23"/>
        <v>26.18</v>
      </c>
      <c r="Y43">
        <f t="shared" si="24"/>
        <v>13.34</v>
      </c>
      <c r="AA43">
        <v>16784196</v>
      </c>
      <c r="AB43">
        <f t="shared" si="25"/>
        <v>101.72</v>
      </c>
      <c r="AC43">
        <f t="shared" si="26"/>
        <v>36</v>
      </c>
      <c r="AD43">
        <f>ROUND(((((ET43*1.25))-((EU43*1.25)))+AE43),2)</f>
        <v>0</v>
      </c>
      <c r="AE43">
        <f>ROUND(((EU43*1.25)),2)</f>
        <v>0</v>
      </c>
      <c r="AF43">
        <f>ROUND(((EV43*1.15)),2)</f>
        <v>65.72</v>
      </c>
      <c r="AG43">
        <f t="shared" si="27"/>
        <v>0</v>
      </c>
      <c r="AH43">
        <f>((EW43*1.15))</f>
        <v>7.7049999999999992</v>
      </c>
      <c r="AI43">
        <f>((EX43*1.25))</f>
        <v>0</v>
      </c>
      <c r="AJ43">
        <f t="shared" si="28"/>
        <v>0</v>
      </c>
      <c r="AK43">
        <v>93.15</v>
      </c>
      <c r="AL43">
        <v>36</v>
      </c>
      <c r="AM43">
        <v>0</v>
      </c>
      <c r="AN43">
        <v>0</v>
      </c>
      <c r="AO43">
        <v>57.15</v>
      </c>
      <c r="AP43">
        <v>0</v>
      </c>
      <c r="AQ43">
        <v>6.7</v>
      </c>
      <c r="AR43">
        <v>0</v>
      </c>
      <c r="AS43">
        <v>0</v>
      </c>
      <c r="AT43">
        <v>106</v>
      </c>
      <c r="AU43">
        <v>54</v>
      </c>
      <c r="AV43">
        <v>1</v>
      </c>
      <c r="AW43">
        <v>1</v>
      </c>
      <c r="AZ43">
        <v>6.11</v>
      </c>
      <c r="BA43">
        <v>6.11</v>
      </c>
      <c r="BB43">
        <v>6.11</v>
      </c>
      <c r="BC43">
        <v>6.11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70</v>
      </c>
      <c r="BM43">
        <v>10001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6.11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118</v>
      </c>
      <c r="CA43">
        <v>63</v>
      </c>
      <c r="CE43">
        <v>0</v>
      </c>
      <c r="CF43">
        <v>0</v>
      </c>
      <c r="CG43">
        <v>0</v>
      </c>
      <c r="CM43">
        <v>0</v>
      </c>
      <c r="CN43" t="s">
        <v>824</v>
      </c>
      <c r="CO43">
        <v>0</v>
      </c>
      <c r="CP43">
        <f t="shared" si="29"/>
        <v>38.229999999999997</v>
      </c>
      <c r="CQ43">
        <f t="shared" si="30"/>
        <v>219.96</v>
      </c>
      <c r="CR43">
        <f t="shared" si="31"/>
        <v>0</v>
      </c>
      <c r="CS43">
        <f t="shared" si="32"/>
        <v>0</v>
      </c>
      <c r="CT43">
        <f t="shared" si="33"/>
        <v>401.54920000000004</v>
      </c>
      <c r="CU43">
        <f t="shared" si="34"/>
        <v>0</v>
      </c>
      <c r="CV43">
        <f t="shared" si="35"/>
        <v>7.7049999999999992</v>
      </c>
      <c r="CW43">
        <f t="shared" si="36"/>
        <v>0</v>
      </c>
      <c r="CX43">
        <f t="shared" si="37"/>
        <v>0</v>
      </c>
      <c r="CY43">
        <f t="shared" si="38"/>
        <v>26.181999999999999</v>
      </c>
      <c r="CZ43">
        <f t="shared" si="39"/>
        <v>13.337999999999999</v>
      </c>
      <c r="DC43" t="s">
        <v>6</v>
      </c>
      <c r="DD43" t="s">
        <v>6</v>
      </c>
      <c r="DE43" t="s">
        <v>27</v>
      </c>
      <c r="DF43" t="s">
        <v>27</v>
      </c>
      <c r="DG43" t="s">
        <v>28</v>
      </c>
      <c r="DH43" t="s">
        <v>6</v>
      </c>
      <c r="DI43" t="s">
        <v>28</v>
      </c>
      <c r="DJ43" t="s">
        <v>27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1003</v>
      </c>
      <c r="DV43" t="s">
        <v>40</v>
      </c>
      <c r="DW43" t="s">
        <v>40</v>
      </c>
      <c r="DX43">
        <v>100</v>
      </c>
      <c r="EE43">
        <v>16510487</v>
      </c>
      <c r="EF43">
        <v>2</v>
      </c>
      <c r="EG43" t="s">
        <v>18</v>
      </c>
      <c r="EH43">
        <v>0</v>
      </c>
      <c r="EI43" t="s">
        <v>6</v>
      </c>
      <c r="EJ43">
        <v>1</v>
      </c>
      <c r="EK43">
        <v>10001</v>
      </c>
      <c r="EL43" t="s">
        <v>29</v>
      </c>
      <c r="EM43" t="s">
        <v>30</v>
      </c>
      <c r="EO43" t="s">
        <v>31</v>
      </c>
      <c r="EQ43">
        <v>131072</v>
      </c>
      <c r="ER43">
        <v>93.15</v>
      </c>
      <c r="ES43">
        <v>36</v>
      </c>
      <c r="ET43">
        <v>0</v>
      </c>
      <c r="EU43">
        <v>0</v>
      </c>
      <c r="EV43">
        <v>57.15</v>
      </c>
      <c r="EW43">
        <v>6.7</v>
      </c>
      <c r="EX43">
        <v>0</v>
      </c>
      <c r="EY43">
        <v>0</v>
      </c>
      <c r="FQ43">
        <v>0</v>
      </c>
      <c r="FR43">
        <f t="shared" si="40"/>
        <v>0</v>
      </c>
      <c r="FS43">
        <v>0</v>
      </c>
      <c r="FT43" t="s">
        <v>21</v>
      </c>
      <c r="FU43" t="s">
        <v>22</v>
      </c>
      <c r="FX43">
        <v>106.2</v>
      </c>
      <c r="FY43">
        <v>53.55</v>
      </c>
      <c r="GA43" t="s">
        <v>6</v>
      </c>
      <c r="GD43">
        <v>0</v>
      </c>
      <c r="GF43">
        <v>-1862938563</v>
      </c>
      <c r="GG43">
        <v>1</v>
      </c>
      <c r="GH43">
        <v>1</v>
      </c>
      <c r="GI43">
        <v>4</v>
      </c>
      <c r="GJ43">
        <v>0</v>
      </c>
      <c r="GK43">
        <f>ROUND(R43*(S12)/100,2)</f>
        <v>0</v>
      </c>
      <c r="GL43">
        <f t="shared" si="41"/>
        <v>0</v>
      </c>
      <c r="GM43">
        <f t="shared" si="42"/>
        <v>77.75</v>
      </c>
      <c r="GN43">
        <f t="shared" si="43"/>
        <v>77.75</v>
      </c>
      <c r="GO43">
        <f t="shared" si="44"/>
        <v>0</v>
      </c>
      <c r="GP43">
        <f t="shared" si="45"/>
        <v>0</v>
      </c>
      <c r="GR43">
        <v>0</v>
      </c>
      <c r="GS43">
        <v>3</v>
      </c>
      <c r="GT43">
        <v>0</v>
      </c>
      <c r="GU43" t="s">
        <v>6</v>
      </c>
      <c r="GV43">
        <f t="shared" si="46"/>
        <v>0</v>
      </c>
      <c r="GW43">
        <v>1</v>
      </c>
      <c r="GX43">
        <f t="shared" si="47"/>
        <v>0</v>
      </c>
      <c r="HA43">
        <v>0</v>
      </c>
      <c r="HB43">
        <v>0</v>
      </c>
      <c r="HC43">
        <f t="shared" si="48"/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60</v>
      </c>
      <c r="D44" s="2"/>
      <c r="E44" s="2" t="s">
        <v>71</v>
      </c>
      <c r="F44" s="2" t="s">
        <v>72</v>
      </c>
      <c r="G44" s="2" t="s">
        <v>73</v>
      </c>
      <c r="H44" s="2" t="s">
        <v>74</v>
      </c>
      <c r="I44" s="2">
        <f>I42*J44</f>
        <v>0.61499999999999999</v>
      </c>
      <c r="J44" s="2">
        <v>10</v>
      </c>
      <c r="K44" s="2"/>
      <c r="L44" s="2"/>
      <c r="M44" s="2"/>
      <c r="N44" s="2"/>
      <c r="O44" s="2">
        <f t="shared" si="14"/>
        <v>19.93</v>
      </c>
      <c r="P44" s="2">
        <f t="shared" si="15"/>
        <v>19.93</v>
      </c>
      <c r="Q44" s="2">
        <f t="shared" si="16"/>
        <v>0</v>
      </c>
      <c r="R44" s="2">
        <f t="shared" si="17"/>
        <v>0</v>
      </c>
      <c r="S44" s="2">
        <f t="shared" si="18"/>
        <v>0</v>
      </c>
      <c r="T44" s="2">
        <f t="shared" si="19"/>
        <v>0</v>
      </c>
      <c r="U44" s="2">
        <f t="shared" si="20"/>
        <v>0</v>
      </c>
      <c r="V44" s="2">
        <f t="shared" si="21"/>
        <v>0</v>
      </c>
      <c r="W44" s="2">
        <f t="shared" si="22"/>
        <v>0</v>
      </c>
      <c r="X44" s="2">
        <f t="shared" si="23"/>
        <v>0</v>
      </c>
      <c r="Y44" s="2">
        <f t="shared" si="24"/>
        <v>0</v>
      </c>
      <c r="Z44" s="2"/>
      <c r="AA44" s="2">
        <v>16784195</v>
      </c>
      <c r="AB44" s="2">
        <f t="shared" si="25"/>
        <v>32.4</v>
      </c>
      <c r="AC44" s="2">
        <f t="shared" si="26"/>
        <v>32.4</v>
      </c>
      <c r="AD44" s="2">
        <f>ROUND((((ET44)-(EU44))+AE44),2)</f>
        <v>0</v>
      </c>
      <c r="AE44" s="2">
        <f>ROUND((EU44),2)</f>
        <v>0</v>
      </c>
      <c r="AF44" s="2">
        <f>ROUND((EV44),2)</f>
        <v>0</v>
      </c>
      <c r="AG44" s="2">
        <f t="shared" si="27"/>
        <v>0</v>
      </c>
      <c r="AH44" s="2">
        <f>(EW44)</f>
        <v>0</v>
      </c>
      <c r="AI44" s="2">
        <f>(EX44)</f>
        <v>0</v>
      </c>
      <c r="AJ44" s="2">
        <f t="shared" si="28"/>
        <v>0</v>
      </c>
      <c r="AK44" s="2">
        <v>32.4</v>
      </c>
      <c r="AL44" s="2">
        <v>32.4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106</v>
      </c>
      <c r="AU44" s="2">
        <v>54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3</v>
      </c>
      <c r="BI44" s="2">
        <v>1</v>
      </c>
      <c r="BJ44" s="2" t="s">
        <v>75</v>
      </c>
      <c r="BK44" s="2"/>
      <c r="BL44" s="2"/>
      <c r="BM44" s="2">
        <v>10001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118</v>
      </c>
      <c r="CA44" s="2">
        <v>63</v>
      </c>
      <c r="CB44" s="2"/>
      <c r="CC44" s="2"/>
      <c r="CD44" s="2"/>
      <c r="CE44" s="2">
        <v>0</v>
      </c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6</v>
      </c>
      <c r="CO44" s="2">
        <v>0</v>
      </c>
      <c r="CP44" s="2">
        <f t="shared" si="29"/>
        <v>19.93</v>
      </c>
      <c r="CQ44" s="2">
        <f t="shared" si="30"/>
        <v>32.4</v>
      </c>
      <c r="CR44" s="2">
        <f t="shared" si="31"/>
        <v>0</v>
      </c>
      <c r="CS44" s="2">
        <f t="shared" si="32"/>
        <v>0</v>
      </c>
      <c r="CT44" s="2">
        <f t="shared" si="33"/>
        <v>0</v>
      </c>
      <c r="CU44" s="2">
        <f t="shared" si="34"/>
        <v>0</v>
      </c>
      <c r="CV44" s="2">
        <f t="shared" si="35"/>
        <v>0</v>
      </c>
      <c r="CW44" s="2">
        <f t="shared" si="36"/>
        <v>0</v>
      </c>
      <c r="CX44" s="2">
        <f t="shared" si="37"/>
        <v>0</v>
      </c>
      <c r="CY44" s="2">
        <f t="shared" si="38"/>
        <v>0</v>
      </c>
      <c r="CZ44" s="2">
        <f t="shared" si="39"/>
        <v>0</v>
      </c>
      <c r="DA44" s="2"/>
      <c r="DB44" s="2"/>
      <c r="DC44" s="2" t="s">
        <v>6</v>
      </c>
      <c r="DD44" s="2" t="s">
        <v>6</v>
      </c>
      <c r="DE44" s="2" t="s">
        <v>6</v>
      </c>
      <c r="DF44" s="2" t="s">
        <v>6</v>
      </c>
      <c r="DG44" s="2" t="s">
        <v>6</v>
      </c>
      <c r="DH44" s="2" t="s">
        <v>6</v>
      </c>
      <c r="DI44" s="2" t="s">
        <v>6</v>
      </c>
      <c r="DJ44" s="2" t="s">
        <v>6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1003</v>
      </c>
      <c r="DV44" s="2" t="s">
        <v>74</v>
      </c>
      <c r="DW44" s="2" t="s">
        <v>74</v>
      </c>
      <c r="DX44" s="2">
        <v>10</v>
      </c>
      <c r="DY44" s="2"/>
      <c r="DZ44" s="2"/>
      <c r="EA44" s="2"/>
      <c r="EB44" s="2"/>
      <c r="EC44" s="2"/>
      <c r="ED44" s="2"/>
      <c r="EE44" s="2">
        <v>16510487</v>
      </c>
      <c r="EF44" s="2">
        <v>2</v>
      </c>
      <c r="EG44" s="2" t="s">
        <v>18</v>
      </c>
      <c r="EH44" s="2">
        <v>0</v>
      </c>
      <c r="EI44" s="2" t="s">
        <v>6</v>
      </c>
      <c r="EJ44" s="2">
        <v>1</v>
      </c>
      <c r="EK44" s="2">
        <v>10001</v>
      </c>
      <c r="EL44" s="2" t="s">
        <v>29</v>
      </c>
      <c r="EM44" s="2" t="s">
        <v>30</v>
      </c>
      <c r="EN44" s="2"/>
      <c r="EO44" s="2" t="s">
        <v>6</v>
      </c>
      <c r="EP44" s="2"/>
      <c r="EQ44" s="2">
        <v>0</v>
      </c>
      <c r="ER44" s="2">
        <v>32.4</v>
      </c>
      <c r="ES44" s="2">
        <v>32.4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0"/>
        <v>0</v>
      </c>
      <c r="FS44" s="2">
        <v>0</v>
      </c>
      <c r="FT44" s="2" t="s">
        <v>21</v>
      </c>
      <c r="FU44" s="2" t="s">
        <v>22</v>
      </c>
      <c r="FV44" s="2"/>
      <c r="FW44" s="2"/>
      <c r="FX44" s="2">
        <v>106.2</v>
      </c>
      <c r="FY44" s="2">
        <v>53.55</v>
      </c>
      <c r="FZ44" s="2"/>
      <c r="GA44" s="2" t="s">
        <v>6</v>
      </c>
      <c r="GB44" s="2"/>
      <c r="GC44" s="2"/>
      <c r="GD44" s="2">
        <v>0</v>
      </c>
      <c r="GE44" s="2"/>
      <c r="GF44" s="2">
        <v>-125809932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1"/>
        <v>0</v>
      </c>
      <c r="GM44" s="2">
        <f t="shared" si="42"/>
        <v>19.93</v>
      </c>
      <c r="GN44" s="2">
        <f t="shared" si="43"/>
        <v>19.93</v>
      </c>
      <c r="GO44" s="2">
        <f t="shared" si="44"/>
        <v>0</v>
      </c>
      <c r="GP44" s="2">
        <f t="shared" si="45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46"/>
        <v>0</v>
      </c>
      <c r="GW44" s="2">
        <v>1</v>
      </c>
      <c r="GX44" s="2">
        <f t="shared" si="47"/>
        <v>0</v>
      </c>
      <c r="GY44" s="2"/>
      <c r="GZ44" s="2"/>
      <c r="HA44" s="2">
        <v>0</v>
      </c>
      <c r="HB44" s="2">
        <v>0</v>
      </c>
      <c r="HC44" s="2">
        <f t="shared" si="48"/>
        <v>0</v>
      </c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63</v>
      </c>
      <c r="E45" t="s">
        <v>71</v>
      </c>
      <c r="F45" t="s">
        <v>72</v>
      </c>
      <c r="G45" t="s">
        <v>73</v>
      </c>
      <c r="H45" t="s">
        <v>74</v>
      </c>
      <c r="I45">
        <f>I43*J45</f>
        <v>0.61499999999999999</v>
      </c>
      <c r="J45">
        <v>10</v>
      </c>
      <c r="O45">
        <f t="shared" si="14"/>
        <v>121.75</v>
      </c>
      <c r="P45">
        <f t="shared" si="15"/>
        <v>121.75</v>
      </c>
      <c r="Q45">
        <f t="shared" si="16"/>
        <v>0</v>
      </c>
      <c r="R45">
        <f t="shared" si="17"/>
        <v>0</v>
      </c>
      <c r="S45">
        <f t="shared" si="18"/>
        <v>0</v>
      </c>
      <c r="T45">
        <f t="shared" si="19"/>
        <v>0</v>
      </c>
      <c r="U45">
        <f t="shared" si="20"/>
        <v>0</v>
      </c>
      <c r="V45">
        <f t="shared" si="21"/>
        <v>0</v>
      </c>
      <c r="W45">
        <f t="shared" si="22"/>
        <v>0</v>
      </c>
      <c r="X45">
        <f t="shared" si="23"/>
        <v>0</v>
      </c>
      <c r="Y45">
        <f t="shared" si="24"/>
        <v>0</v>
      </c>
      <c r="AA45">
        <v>16784196</v>
      </c>
      <c r="AB45">
        <f t="shared" si="25"/>
        <v>32.4</v>
      </c>
      <c r="AC45">
        <f t="shared" si="26"/>
        <v>32.4</v>
      </c>
      <c r="AD45">
        <f>ROUND((((ET45)-(EU45))+AE45),2)</f>
        <v>0</v>
      </c>
      <c r="AE45">
        <f>ROUND((EU45),2)</f>
        <v>0</v>
      </c>
      <c r="AF45">
        <f>ROUND((EV45),2)</f>
        <v>0</v>
      </c>
      <c r="AG45">
        <f t="shared" si="27"/>
        <v>0</v>
      </c>
      <c r="AH45">
        <f>(EW45)</f>
        <v>0</v>
      </c>
      <c r="AI45">
        <f>(EX45)</f>
        <v>0</v>
      </c>
      <c r="AJ45">
        <f t="shared" si="28"/>
        <v>0</v>
      </c>
      <c r="AK45">
        <v>32.4</v>
      </c>
      <c r="AL45">
        <v>32.4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6.11</v>
      </c>
      <c r="BA45">
        <v>1</v>
      </c>
      <c r="BB45">
        <v>1</v>
      </c>
      <c r="BC45">
        <v>6.11</v>
      </c>
      <c r="BD45" t="s">
        <v>6</v>
      </c>
      <c r="BE45" t="s">
        <v>6</v>
      </c>
      <c r="BF45" t="s">
        <v>6</v>
      </c>
      <c r="BG45" t="s">
        <v>6</v>
      </c>
      <c r="BH45">
        <v>3</v>
      </c>
      <c r="BI45">
        <v>1</v>
      </c>
      <c r="BJ45" t="s">
        <v>75</v>
      </c>
      <c r="BM45">
        <v>10001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118</v>
      </c>
      <c r="CA45">
        <v>63</v>
      </c>
      <c r="CE45">
        <v>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29"/>
        <v>121.75</v>
      </c>
      <c r="CQ45">
        <f t="shared" si="30"/>
        <v>197.964</v>
      </c>
      <c r="CR45">
        <f t="shared" si="31"/>
        <v>0</v>
      </c>
      <c r="CS45">
        <f t="shared" si="32"/>
        <v>0</v>
      </c>
      <c r="CT45">
        <f t="shared" si="33"/>
        <v>0</v>
      </c>
      <c r="CU45">
        <f t="shared" si="34"/>
        <v>0</v>
      </c>
      <c r="CV45">
        <f t="shared" si="35"/>
        <v>0</v>
      </c>
      <c r="CW45">
        <f t="shared" si="36"/>
        <v>0</v>
      </c>
      <c r="CX45">
        <f t="shared" si="37"/>
        <v>0</v>
      </c>
      <c r="CY45">
        <f t="shared" si="38"/>
        <v>0</v>
      </c>
      <c r="CZ45">
        <f t="shared" si="39"/>
        <v>0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1003</v>
      </c>
      <c r="DV45" t="s">
        <v>74</v>
      </c>
      <c r="DW45" t="s">
        <v>74</v>
      </c>
      <c r="DX45">
        <v>10</v>
      </c>
      <c r="EE45">
        <v>16510487</v>
      </c>
      <c r="EF45">
        <v>2</v>
      </c>
      <c r="EG45" t="s">
        <v>18</v>
      </c>
      <c r="EH45">
        <v>0</v>
      </c>
      <c r="EI45" t="s">
        <v>6</v>
      </c>
      <c r="EJ45">
        <v>1</v>
      </c>
      <c r="EK45">
        <v>10001</v>
      </c>
      <c r="EL45" t="s">
        <v>29</v>
      </c>
      <c r="EM45" t="s">
        <v>30</v>
      </c>
      <c r="EO45" t="s">
        <v>6</v>
      </c>
      <c r="EQ45">
        <v>0</v>
      </c>
      <c r="ER45">
        <v>32.4</v>
      </c>
      <c r="ES45">
        <v>32.4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0"/>
        <v>0</v>
      </c>
      <c r="FS45">
        <v>0</v>
      </c>
      <c r="FT45" t="s">
        <v>21</v>
      </c>
      <c r="FU45" t="s">
        <v>22</v>
      </c>
      <c r="FX45">
        <v>106.2</v>
      </c>
      <c r="FY45">
        <v>53.55</v>
      </c>
      <c r="GA45" t="s">
        <v>6</v>
      </c>
      <c r="GD45">
        <v>0</v>
      </c>
      <c r="GF45">
        <v>-125809932</v>
      </c>
      <c r="GG45">
        <v>1</v>
      </c>
      <c r="GH45">
        <v>1</v>
      </c>
      <c r="GI45">
        <v>4</v>
      </c>
      <c r="GJ45">
        <v>0</v>
      </c>
      <c r="GK45">
        <f>ROUND(R45*(S12)/100,2)</f>
        <v>0</v>
      </c>
      <c r="GL45">
        <f t="shared" si="41"/>
        <v>0</v>
      </c>
      <c r="GM45">
        <f t="shared" si="42"/>
        <v>121.75</v>
      </c>
      <c r="GN45">
        <f t="shared" si="43"/>
        <v>121.75</v>
      </c>
      <c r="GO45">
        <f t="shared" si="44"/>
        <v>0</v>
      </c>
      <c r="GP45">
        <f t="shared" si="45"/>
        <v>0</v>
      </c>
      <c r="GR45">
        <v>0</v>
      </c>
      <c r="GS45">
        <v>3</v>
      </c>
      <c r="GT45">
        <v>0</v>
      </c>
      <c r="GU45" t="s">
        <v>6</v>
      </c>
      <c r="GV45">
        <f t="shared" si="46"/>
        <v>0</v>
      </c>
      <c r="GW45">
        <v>1</v>
      </c>
      <c r="GX45">
        <f t="shared" si="47"/>
        <v>0</v>
      </c>
      <c r="HA45">
        <v>0</v>
      </c>
      <c r="HB45">
        <v>0</v>
      </c>
      <c r="HC45">
        <f t="shared" si="48"/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ROW(SmtRes!A82)</f>
        <v>82</v>
      </c>
      <c r="D46" s="2">
        <f>ROW(EtalonRes!A83)</f>
        <v>83</v>
      </c>
      <c r="E46" s="2" t="s">
        <v>76</v>
      </c>
      <c r="F46" s="2" t="s">
        <v>77</v>
      </c>
      <c r="G46" s="2" t="s">
        <v>78</v>
      </c>
      <c r="H46" s="2" t="s">
        <v>65</v>
      </c>
      <c r="I46" s="2">
        <v>2.5000000000000001E-2</v>
      </c>
      <c r="J46" s="2">
        <v>0</v>
      </c>
      <c r="K46" s="2"/>
      <c r="L46" s="2"/>
      <c r="M46" s="2"/>
      <c r="N46" s="2"/>
      <c r="O46" s="2">
        <f t="shared" si="14"/>
        <v>9.7799999999999994</v>
      </c>
      <c r="P46" s="2">
        <f t="shared" si="15"/>
        <v>0</v>
      </c>
      <c r="Q46" s="2">
        <f t="shared" si="16"/>
        <v>2.2000000000000002</v>
      </c>
      <c r="R46" s="2">
        <f t="shared" si="17"/>
        <v>7.0000000000000007E-2</v>
      </c>
      <c r="S46" s="2">
        <f t="shared" si="18"/>
        <v>7.58</v>
      </c>
      <c r="T46" s="2">
        <f t="shared" si="19"/>
        <v>0</v>
      </c>
      <c r="U46" s="2">
        <f t="shared" si="20"/>
        <v>0.88882499999999998</v>
      </c>
      <c r="V46" s="2">
        <f t="shared" si="21"/>
        <v>5.4250000000000001E-3</v>
      </c>
      <c r="W46" s="2">
        <f t="shared" si="22"/>
        <v>0</v>
      </c>
      <c r="X46" s="2">
        <f t="shared" si="23"/>
        <v>6.2</v>
      </c>
      <c r="Y46" s="2">
        <f t="shared" si="24"/>
        <v>5.51</v>
      </c>
      <c r="Z46" s="2"/>
      <c r="AA46" s="2">
        <v>16784195</v>
      </c>
      <c r="AB46" s="2">
        <f t="shared" si="25"/>
        <v>391.33</v>
      </c>
      <c r="AC46" s="2">
        <f>ROUND(((ES46*0)),2)</f>
        <v>0</v>
      </c>
      <c r="AD46" s="2">
        <f>ROUND(((((ET46*0.7))-((EU46*0.7)))+AE46),2)</f>
        <v>88.06</v>
      </c>
      <c r="AE46" s="2">
        <f>ROUND(((EU46*0.7)),2)</f>
        <v>2.67</v>
      </c>
      <c r="AF46" s="2">
        <f>ROUND(((EV46*0.7)),2)</f>
        <v>303.27</v>
      </c>
      <c r="AG46" s="2">
        <f t="shared" si="27"/>
        <v>0</v>
      </c>
      <c r="AH46" s="2">
        <f>((EW46*0.7))</f>
        <v>35.552999999999997</v>
      </c>
      <c r="AI46" s="2">
        <f>((EX46*0.7))</f>
        <v>0.217</v>
      </c>
      <c r="AJ46" s="2">
        <f t="shared" si="28"/>
        <v>0</v>
      </c>
      <c r="AK46" s="2">
        <v>641</v>
      </c>
      <c r="AL46" s="2">
        <v>81.96</v>
      </c>
      <c r="AM46" s="2">
        <v>125.8</v>
      </c>
      <c r="AN46" s="2">
        <v>3.82</v>
      </c>
      <c r="AO46" s="2">
        <v>433.24</v>
      </c>
      <c r="AP46" s="2">
        <v>0</v>
      </c>
      <c r="AQ46" s="2">
        <v>50.79</v>
      </c>
      <c r="AR46" s="2">
        <v>0.31</v>
      </c>
      <c r="AS46" s="2">
        <v>0</v>
      </c>
      <c r="AT46" s="2">
        <v>81</v>
      </c>
      <c r="AU46" s="2">
        <v>72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79</v>
      </c>
      <c r="BK46" s="2"/>
      <c r="BL46" s="2"/>
      <c r="BM46" s="2">
        <v>9001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90</v>
      </c>
      <c r="CA46" s="2">
        <v>85</v>
      </c>
      <c r="CB46" s="2"/>
      <c r="CC46" s="2"/>
      <c r="CD46" s="2"/>
      <c r="CE46" s="2">
        <v>0</v>
      </c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80</v>
      </c>
      <c r="CO46" s="2">
        <v>0</v>
      </c>
      <c r="CP46" s="2">
        <f t="shared" si="29"/>
        <v>9.7800000000000011</v>
      </c>
      <c r="CQ46" s="2">
        <f t="shared" si="30"/>
        <v>0</v>
      </c>
      <c r="CR46" s="2">
        <f t="shared" si="31"/>
        <v>88.06</v>
      </c>
      <c r="CS46" s="2">
        <f t="shared" si="32"/>
        <v>2.67</v>
      </c>
      <c r="CT46" s="2">
        <f t="shared" si="33"/>
        <v>303.27</v>
      </c>
      <c r="CU46" s="2">
        <f t="shared" si="34"/>
        <v>0</v>
      </c>
      <c r="CV46" s="2">
        <f t="shared" si="35"/>
        <v>35.552999999999997</v>
      </c>
      <c r="CW46" s="2">
        <f t="shared" si="36"/>
        <v>0.217</v>
      </c>
      <c r="CX46" s="2">
        <f t="shared" si="37"/>
        <v>0</v>
      </c>
      <c r="CY46" s="2">
        <f t="shared" si="38"/>
        <v>6.1964999999999995</v>
      </c>
      <c r="CZ46" s="2">
        <f t="shared" si="39"/>
        <v>5.5080000000000009</v>
      </c>
      <c r="DA46" s="2"/>
      <c r="DB46" s="2"/>
      <c r="DC46" s="2" t="s">
        <v>6</v>
      </c>
      <c r="DD46" s="2" t="s">
        <v>81</v>
      </c>
      <c r="DE46" s="2" t="s">
        <v>82</v>
      </c>
      <c r="DF46" s="2" t="s">
        <v>82</v>
      </c>
      <c r="DG46" s="2" t="s">
        <v>82</v>
      </c>
      <c r="DH46" s="2" t="s">
        <v>6</v>
      </c>
      <c r="DI46" s="2" t="s">
        <v>82</v>
      </c>
      <c r="DJ46" s="2" t="s">
        <v>82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1009</v>
      </c>
      <c r="DV46" s="2" t="s">
        <v>65</v>
      </c>
      <c r="DW46" s="2" t="s">
        <v>65</v>
      </c>
      <c r="DX46" s="2">
        <v>1000</v>
      </c>
      <c r="DY46" s="2"/>
      <c r="DZ46" s="2"/>
      <c r="EA46" s="2"/>
      <c r="EB46" s="2"/>
      <c r="EC46" s="2"/>
      <c r="ED46" s="2"/>
      <c r="EE46" s="2">
        <v>16510486</v>
      </c>
      <c r="EF46" s="2">
        <v>2</v>
      </c>
      <c r="EG46" s="2" t="s">
        <v>18</v>
      </c>
      <c r="EH46" s="2">
        <v>0</v>
      </c>
      <c r="EI46" s="2" t="s">
        <v>6</v>
      </c>
      <c r="EJ46" s="2">
        <v>1</v>
      </c>
      <c r="EK46" s="2">
        <v>9001</v>
      </c>
      <c r="EL46" s="2" t="s">
        <v>83</v>
      </c>
      <c r="EM46" s="2" t="s">
        <v>84</v>
      </c>
      <c r="EN46" s="2"/>
      <c r="EO46" s="2" t="s">
        <v>85</v>
      </c>
      <c r="EP46" s="2"/>
      <c r="EQ46" s="2">
        <v>131072</v>
      </c>
      <c r="ER46" s="2">
        <v>641</v>
      </c>
      <c r="ES46" s="2">
        <v>81.96</v>
      </c>
      <c r="ET46" s="2">
        <v>125.8</v>
      </c>
      <c r="EU46" s="2">
        <v>3.82</v>
      </c>
      <c r="EV46" s="2">
        <v>433.24</v>
      </c>
      <c r="EW46" s="2">
        <v>50.79</v>
      </c>
      <c r="EX46" s="2">
        <v>0.31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0"/>
        <v>0</v>
      </c>
      <c r="FS46" s="2">
        <v>0</v>
      </c>
      <c r="FT46" s="2" t="s">
        <v>21</v>
      </c>
      <c r="FU46" s="2" t="s">
        <v>22</v>
      </c>
      <c r="FV46" s="2"/>
      <c r="FW46" s="2"/>
      <c r="FX46" s="2">
        <v>81</v>
      </c>
      <c r="FY46" s="2">
        <v>72.25</v>
      </c>
      <c r="FZ46" s="2"/>
      <c r="GA46" s="2" t="s">
        <v>6</v>
      </c>
      <c r="GB46" s="2"/>
      <c r="GC46" s="2"/>
      <c r="GD46" s="2">
        <v>0</v>
      </c>
      <c r="GE46" s="2"/>
      <c r="GF46" s="2">
        <v>1491610335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1"/>
        <v>0</v>
      </c>
      <c r="GM46" s="2">
        <f t="shared" si="42"/>
        <v>21.49</v>
      </c>
      <c r="GN46" s="2">
        <f t="shared" si="43"/>
        <v>21.49</v>
      </c>
      <c r="GO46" s="2">
        <f t="shared" si="44"/>
        <v>0</v>
      </c>
      <c r="GP46" s="2">
        <f t="shared" si="45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46"/>
        <v>0</v>
      </c>
      <c r="GW46" s="2">
        <v>1</v>
      </c>
      <c r="GX46" s="2">
        <f t="shared" si="47"/>
        <v>0</v>
      </c>
      <c r="GY46" s="2"/>
      <c r="GZ46" s="2"/>
      <c r="HA46" s="2">
        <v>0</v>
      </c>
      <c r="HB46" s="2">
        <v>0</v>
      </c>
      <c r="HC46" s="2">
        <f t="shared" si="48"/>
        <v>0</v>
      </c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ROW(SmtRes!A100)</f>
        <v>100</v>
      </c>
      <c r="D47">
        <f>ROW(EtalonRes!A102)</f>
        <v>102</v>
      </c>
      <c r="E47" t="s">
        <v>76</v>
      </c>
      <c r="F47" t="s">
        <v>77</v>
      </c>
      <c r="G47" t="s">
        <v>78</v>
      </c>
      <c r="H47" t="s">
        <v>65</v>
      </c>
      <c r="I47">
        <v>2.5000000000000001E-2</v>
      </c>
      <c r="J47">
        <v>0</v>
      </c>
      <c r="O47">
        <f t="shared" si="14"/>
        <v>59.77</v>
      </c>
      <c r="P47">
        <f t="shared" si="15"/>
        <v>0</v>
      </c>
      <c r="Q47">
        <f t="shared" si="16"/>
        <v>13.45</v>
      </c>
      <c r="R47">
        <f t="shared" si="17"/>
        <v>0.41</v>
      </c>
      <c r="S47">
        <f t="shared" si="18"/>
        <v>46.32</v>
      </c>
      <c r="T47">
        <f t="shared" si="19"/>
        <v>0</v>
      </c>
      <c r="U47">
        <f t="shared" si="20"/>
        <v>0.88882499999999998</v>
      </c>
      <c r="V47">
        <f t="shared" si="21"/>
        <v>5.4250000000000001E-3</v>
      </c>
      <c r="W47">
        <f t="shared" si="22"/>
        <v>0</v>
      </c>
      <c r="X47">
        <f t="shared" si="23"/>
        <v>37.85</v>
      </c>
      <c r="Y47">
        <f t="shared" si="24"/>
        <v>33.65</v>
      </c>
      <c r="AA47">
        <v>16784196</v>
      </c>
      <c r="AB47">
        <f t="shared" si="25"/>
        <v>391.33</v>
      </c>
      <c r="AC47">
        <f>ROUND(((ES47*0)),2)</f>
        <v>0</v>
      </c>
      <c r="AD47">
        <f>ROUND(((((ET47*0.7))-((EU47*0.7)))+AE47),2)</f>
        <v>88.06</v>
      </c>
      <c r="AE47">
        <f>ROUND(((EU47*0.7)),2)</f>
        <v>2.67</v>
      </c>
      <c r="AF47">
        <f>ROUND(((EV47*0.7)),2)</f>
        <v>303.27</v>
      </c>
      <c r="AG47">
        <f t="shared" si="27"/>
        <v>0</v>
      </c>
      <c r="AH47">
        <f>((EW47*0.7))</f>
        <v>35.552999999999997</v>
      </c>
      <c r="AI47">
        <f>((EX47*0.7))</f>
        <v>0.217</v>
      </c>
      <c r="AJ47">
        <f t="shared" si="28"/>
        <v>0</v>
      </c>
      <c r="AK47">
        <v>641</v>
      </c>
      <c r="AL47">
        <v>81.96</v>
      </c>
      <c r="AM47">
        <v>125.8</v>
      </c>
      <c r="AN47">
        <v>3.82</v>
      </c>
      <c r="AO47">
        <v>433.24</v>
      </c>
      <c r="AP47">
        <v>0</v>
      </c>
      <c r="AQ47">
        <v>50.79</v>
      </c>
      <c r="AR47">
        <v>0.31</v>
      </c>
      <c r="AS47">
        <v>0</v>
      </c>
      <c r="AT47">
        <v>81</v>
      </c>
      <c r="AU47">
        <v>72</v>
      </c>
      <c r="AV47">
        <v>1</v>
      </c>
      <c r="AW47">
        <v>1</v>
      </c>
      <c r="AZ47">
        <v>6.11</v>
      </c>
      <c r="BA47">
        <v>6.11</v>
      </c>
      <c r="BB47">
        <v>6.11</v>
      </c>
      <c r="BC47">
        <v>6.11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79</v>
      </c>
      <c r="BM47">
        <v>9001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6.11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90</v>
      </c>
      <c r="CA47">
        <v>85</v>
      </c>
      <c r="CE47">
        <v>0</v>
      </c>
      <c r="CF47">
        <v>0</v>
      </c>
      <c r="CG47">
        <v>0</v>
      </c>
      <c r="CM47">
        <v>0</v>
      </c>
      <c r="CN47" t="s">
        <v>80</v>
      </c>
      <c r="CO47">
        <v>0</v>
      </c>
      <c r="CP47">
        <f t="shared" si="29"/>
        <v>59.769999999999996</v>
      </c>
      <c r="CQ47">
        <f t="shared" si="30"/>
        <v>0</v>
      </c>
      <c r="CR47">
        <f t="shared" si="31"/>
        <v>538.04660000000001</v>
      </c>
      <c r="CS47">
        <f t="shared" si="32"/>
        <v>16.313700000000001</v>
      </c>
      <c r="CT47">
        <f t="shared" si="33"/>
        <v>1852.9797000000001</v>
      </c>
      <c r="CU47">
        <f t="shared" si="34"/>
        <v>0</v>
      </c>
      <c r="CV47">
        <f t="shared" si="35"/>
        <v>35.552999999999997</v>
      </c>
      <c r="CW47">
        <f t="shared" si="36"/>
        <v>0.217</v>
      </c>
      <c r="CX47">
        <f t="shared" si="37"/>
        <v>0</v>
      </c>
      <c r="CY47">
        <f t="shared" si="38"/>
        <v>37.851299999999995</v>
      </c>
      <c r="CZ47">
        <f t="shared" si="39"/>
        <v>33.645600000000002</v>
      </c>
      <c r="DC47" t="s">
        <v>6</v>
      </c>
      <c r="DD47" t="s">
        <v>81</v>
      </c>
      <c r="DE47" t="s">
        <v>82</v>
      </c>
      <c r="DF47" t="s">
        <v>82</v>
      </c>
      <c r="DG47" t="s">
        <v>82</v>
      </c>
      <c r="DH47" t="s">
        <v>6</v>
      </c>
      <c r="DI47" t="s">
        <v>82</v>
      </c>
      <c r="DJ47" t="s">
        <v>82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1009</v>
      </c>
      <c r="DV47" t="s">
        <v>65</v>
      </c>
      <c r="DW47" t="s">
        <v>65</v>
      </c>
      <c r="DX47">
        <v>1000</v>
      </c>
      <c r="EE47">
        <v>16510486</v>
      </c>
      <c r="EF47">
        <v>2</v>
      </c>
      <c r="EG47" t="s">
        <v>18</v>
      </c>
      <c r="EH47">
        <v>0</v>
      </c>
      <c r="EI47" t="s">
        <v>6</v>
      </c>
      <c r="EJ47">
        <v>1</v>
      </c>
      <c r="EK47">
        <v>9001</v>
      </c>
      <c r="EL47" t="s">
        <v>83</v>
      </c>
      <c r="EM47" t="s">
        <v>84</v>
      </c>
      <c r="EO47" t="s">
        <v>85</v>
      </c>
      <c r="EQ47">
        <v>131072</v>
      </c>
      <c r="ER47">
        <v>641</v>
      </c>
      <c r="ES47">
        <v>81.96</v>
      </c>
      <c r="ET47">
        <v>125.8</v>
      </c>
      <c r="EU47">
        <v>3.82</v>
      </c>
      <c r="EV47">
        <v>433.24</v>
      </c>
      <c r="EW47">
        <v>50.79</v>
      </c>
      <c r="EX47">
        <v>0.31</v>
      </c>
      <c r="EY47">
        <v>0</v>
      </c>
      <c r="FQ47">
        <v>0</v>
      </c>
      <c r="FR47">
        <f t="shared" si="40"/>
        <v>0</v>
      </c>
      <c r="FS47">
        <v>0</v>
      </c>
      <c r="FT47" t="s">
        <v>21</v>
      </c>
      <c r="FU47" t="s">
        <v>22</v>
      </c>
      <c r="FX47">
        <v>81</v>
      </c>
      <c r="FY47">
        <v>72.25</v>
      </c>
      <c r="GA47" t="s">
        <v>6</v>
      </c>
      <c r="GD47">
        <v>0</v>
      </c>
      <c r="GF47">
        <v>1491610335</v>
      </c>
      <c r="GG47">
        <v>1</v>
      </c>
      <c r="GH47">
        <v>1</v>
      </c>
      <c r="GI47">
        <v>4</v>
      </c>
      <c r="GJ47">
        <v>0</v>
      </c>
      <c r="GK47">
        <f>ROUND(R47*(S12)/100,2)</f>
        <v>0</v>
      </c>
      <c r="GL47">
        <f t="shared" si="41"/>
        <v>0</v>
      </c>
      <c r="GM47">
        <f t="shared" si="42"/>
        <v>131.27000000000001</v>
      </c>
      <c r="GN47">
        <f t="shared" si="43"/>
        <v>131.27000000000001</v>
      </c>
      <c r="GO47">
        <f t="shared" si="44"/>
        <v>0</v>
      </c>
      <c r="GP47">
        <f t="shared" si="45"/>
        <v>0</v>
      </c>
      <c r="GR47">
        <v>0</v>
      </c>
      <c r="GS47">
        <v>3</v>
      </c>
      <c r="GT47">
        <v>0</v>
      </c>
      <c r="GU47" t="s">
        <v>6</v>
      </c>
      <c r="GV47">
        <f t="shared" si="46"/>
        <v>0</v>
      </c>
      <c r="GW47">
        <v>1</v>
      </c>
      <c r="GX47">
        <f t="shared" si="47"/>
        <v>0</v>
      </c>
      <c r="HA47">
        <v>0</v>
      </c>
      <c r="HB47">
        <v>0</v>
      </c>
      <c r="HC47">
        <f t="shared" si="48"/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ROW(SmtRes!A108)</f>
        <v>108</v>
      </c>
      <c r="D48" s="2">
        <f>ROW(EtalonRes!A110)</f>
        <v>110</v>
      </c>
      <c r="E48" s="2" t="s">
        <v>86</v>
      </c>
      <c r="F48" s="2" t="s">
        <v>87</v>
      </c>
      <c r="G48" s="2" t="s">
        <v>88</v>
      </c>
      <c r="H48" s="2" t="s">
        <v>40</v>
      </c>
      <c r="I48" s="2">
        <f>ROUND(1.4/100,9)</f>
        <v>1.4E-2</v>
      </c>
      <c r="J48" s="2">
        <v>0</v>
      </c>
      <c r="K48" s="2"/>
      <c r="L48" s="2"/>
      <c r="M48" s="2"/>
      <c r="N48" s="2"/>
      <c r="O48" s="2">
        <f t="shared" si="14"/>
        <v>6.36</v>
      </c>
      <c r="P48" s="2">
        <f t="shared" si="15"/>
        <v>1.34</v>
      </c>
      <c r="Q48" s="2">
        <f t="shared" si="16"/>
        <v>7.0000000000000007E-2</v>
      </c>
      <c r="R48" s="2">
        <f t="shared" si="17"/>
        <v>0.02</v>
      </c>
      <c r="S48" s="2">
        <f t="shared" si="18"/>
        <v>4.95</v>
      </c>
      <c r="T48" s="2">
        <f t="shared" si="19"/>
        <v>0</v>
      </c>
      <c r="U48" s="2">
        <f t="shared" si="20"/>
        <v>0.57973999999999992</v>
      </c>
      <c r="V48" s="2">
        <f t="shared" si="21"/>
        <v>1.6800000000000001E-3</v>
      </c>
      <c r="W48" s="2">
        <f t="shared" si="22"/>
        <v>0</v>
      </c>
      <c r="X48" s="2">
        <f t="shared" si="23"/>
        <v>4.13</v>
      </c>
      <c r="Y48" s="2">
        <f t="shared" si="24"/>
        <v>3.23</v>
      </c>
      <c r="Z48" s="2"/>
      <c r="AA48" s="2">
        <v>16784195</v>
      </c>
      <c r="AB48" s="2">
        <f t="shared" si="25"/>
        <v>454.41</v>
      </c>
      <c r="AC48" s="2">
        <f t="shared" ref="AC48:AC79" si="52">ROUND((ES48),2)</f>
        <v>96.05</v>
      </c>
      <c r="AD48" s="2">
        <f t="shared" ref="AD48:AD53" si="53">ROUND((((ET48)-(EU48))+AE48),2)</f>
        <v>5.13</v>
      </c>
      <c r="AE48" s="2">
        <f t="shared" ref="AE48:AF53" si="54">ROUND((EU48),2)</f>
        <v>1.54</v>
      </c>
      <c r="AF48" s="2">
        <f t="shared" si="54"/>
        <v>353.23</v>
      </c>
      <c r="AG48" s="2">
        <f t="shared" si="27"/>
        <v>0</v>
      </c>
      <c r="AH48" s="2">
        <f t="shared" ref="AH48:AI53" si="55">(EW48)</f>
        <v>41.41</v>
      </c>
      <c r="AI48" s="2">
        <f t="shared" si="55"/>
        <v>0.12</v>
      </c>
      <c r="AJ48" s="2">
        <f t="shared" si="28"/>
        <v>0</v>
      </c>
      <c r="AK48" s="2">
        <v>454.41</v>
      </c>
      <c r="AL48" s="2">
        <v>96.05</v>
      </c>
      <c r="AM48" s="2">
        <v>5.13</v>
      </c>
      <c r="AN48" s="2">
        <v>1.54</v>
      </c>
      <c r="AO48" s="2">
        <v>353.23</v>
      </c>
      <c r="AP48" s="2">
        <v>0</v>
      </c>
      <c r="AQ48" s="2">
        <v>41.41</v>
      </c>
      <c r="AR48" s="2">
        <v>0.12</v>
      </c>
      <c r="AS48" s="2">
        <v>0</v>
      </c>
      <c r="AT48" s="2">
        <v>83</v>
      </c>
      <c r="AU48" s="2">
        <v>65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0</v>
      </c>
      <c r="BI48" s="2">
        <v>1</v>
      </c>
      <c r="BJ48" s="2" t="s">
        <v>89</v>
      </c>
      <c r="BK48" s="2"/>
      <c r="BL48" s="2"/>
      <c r="BM48" s="2">
        <v>58001</v>
      </c>
      <c r="BN48" s="2">
        <v>0</v>
      </c>
      <c r="BO48" s="2" t="s">
        <v>6</v>
      </c>
      <c r="BP48" s="2">
        <v>0</v>
      </c>
      <c r="BQ48" s="2">
        <v>6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83</v>
      </c>
      <c r="CA48" s="2">
        <v>65</v>
      </c>
      <c r="CB48" s="2"/>
      <c r="CC48" s="2"/>
      <c r="CD48" s="2"/>
      <c r="CE48" s="2">
        <v>0</v>
      </c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6</v>
      </c>
      <c r="CO48" s="2">
        <v>0</v>
      </c>
      <c r="CP48" s="2">
        <f t="shared" si="29"/>
        <v>6.36</v>
      </c>
      <c r="CQ48" s="2">
        <f t="shared" si="30"/>
        <v>96.05</v>
      </c>
      <c r="CR48" s="2">
        <f t="shared" si="31"/>
        <v>5.13</v>
      </c>
      <c r="CS48" s="2">
        <f t="shared" si="32"/>
        <v>1.54</v>
      </c>
      <c r="CT48" s="2">
        <f t="shared" si="33"/>
        <v>353.23</v>
      </c>
      <c r="CU48" s="2">
        <f t="shared" si="34"/>
        <v>0</v>
      </c>
      <c r="CV48" s="2">
        <f t="shared" si="35"/>
        <v>41.41</v>
      </c>
      <c r="CW48" s="2">
        <f t="shared" si="36"/>
        <v>0.12</v>
      </c>
      <c r="CX48" s="2">
        <f t="shared" si="37"/>
        <v>0</v>
      </c>
      <c r="CY48" s="2">
        <f t="shared" si="38"/>
        <v>4.1250999999999998</v>
      </c>
      <c r="CZ48" s="2">
        <f t="shared" si="39"/>
        <v>3.2305000000000001</v>
      </c>
      <c r="DA48" s="2"/>
      <c r="DB48" s="2"/>
      <c r="DC48" s="2" t="s">
        <v>6</v>
      </c>
      <c r="DD48" s="2" t="s">
        <v>6</v>
      </c>
      <c r="DE48" s="2" t="s">
        <v>6</v>
      </c>
      <c r="DF48" s="2" t="s">
        <v>6</v>
      </c>
      <c r="DG48" s="2" t="s">
        <v>6</v>
      </c>
      <c r="DH48" s="2" t="s">
        <v>6</v>
      </c>
      <c r="DI48" s="2" t="s">
        <v>6</v>
      </c>
      <c r="DJ48" s="2" t="s">
        <v>6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1003</v>
      </c>
      <c r="DV48" s="2" t="s">
        <v>40</v>
      </c>
      <c r="DW48" s="2" t="s">
        <v>40</v>
      </c>
      <c r="DX48" s="2">
        <v>100</v>
      </c>
      <c r="DY48" s="2"/>
      <c r="DZ48" s="2"/>
      <c r="EA48" s="2"/>
      <c r="EB48" s="2"/>
      <c r="EC48" s="2"/>
      <c r="ED48" s="2"/>
      <c r="EE48" s="2">
        <v>16510567</v>
      </c>
      <c r="EF48" s="2">
        <v>6</v>
      </c>
      <c r="EG48" s="2" t="s">
        <v>90</v>
      </c>
      <c r="EH48" s="2">
        <v>0</v>
      </c>
      <c r="EI48" s="2" t="s">
        <v>6</v>
      </c>
      <c r="EJ48" s="2">
        <v>1</v>
      </c>
      <c r="EK48" s="2">
        <v>58001</v>
      </c>
      <c r="EL48" s="2" t="s">
        <v>91</v>
      </c>
      <c r="EM48" s="2" t="s">
        <v>92</v>
      </c>
      <c r="EN48" s="2"/>
      <c r="EO48" s="2" t="s">
        <v>6</v>
      </c>
      <c r="EP48" s="2"/>
      <c r="EQ48" s="2">
        <v>131072</v>
      </c>
      <c r="ER48" s="2">
        <v>454.41</v>
      </c>
      <c r="ES48" s="2">
        <v>96.05</v>
      </c>
      <c r="ET48" s="2">
        <v>5.13</v>
      </c>
      <c r="EU48" s="2">
        <v>1.54</v>
      </c>
      <c r="EV48" s="2">
        <v>353.23</v>
      </c>
      <c r="EW48" s="2">
        <v>41.41</v>
      </c>
      <c r="EX48" s="2">
        <v>0.12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0"/>
        <v>0</v>
      </c>
      <c r="FS48" s="2">
        <v>0</v>
      </c>
      <c r="FT48" s="2"/>
      <c r="FU48" s="2"/>
      <c r="FV48" s="2"/>
      <c r="FW48" s="2"/>
      <c r="FX48" s="2">
        <v>83</v>
      </c>
      <c r="FY48" s="2">
        <v>65</v>
      </c>
      <c r="FZ48" s="2"/>
      <c r="GA48" s="2" t="s">
        <v>6</v>
      </c>
      <c r="GB48" s="2"/>
      <c r="GC48" s="2"/>
      <c r="GD48" s="2">
        <v>0</v>
      </c>
      <c r="GE48" s="2"/>
      <c r="GF48" s="2">
        <v>1476584102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1"/>
        <v>0</v>
      </c>
      <c r="GM48" s="2">
        <f t="shared" si="42"/>
        <v>13.72</v>
      </c>
      <c r="GN48" s="2">
        <f t="shared" si="43"/>
        <v>13.72</v>
      </c>
      <c r="GO48" s="2">
        <f t="shared" si="44"/>
        <v>0</v>
      </c>
      <c r="GP48" s="2">
        <f t="shared" si="45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46"/>
        <v>0</v>
      </c>
      <c r="GW48" s="2">
        <v>1</v>
      </c>
      <c r="GX48" s="2">
        <f t="shared" si="47"/>
        <v>0</v>
      </c>
      <c r="GY48" s="2"/>
      <c r="GZ48" s="2"/>
      <c r="HA48" s="2">
        <v>0</v>
      </c>
      <c r="HB48" s="2">
        <v>0</v>
      </c>
      <c r="HC48" s="2">
        <f t="shared" si="48"/>
        <v>0</v>
      </c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ROW(SmtRes!A116)</f>
        <v>116</v>
      </c>
      <c r="D49">
        <f>ROW(EtalonRes!A118)</f>
        <v>118</v>
      </c>
      <c r="E49" t="s">
        <v>86</v>
      </c>
      <c r="F49" t="s">
        <v>87</v>
      </c>
      <c r="G49" t="s">
        <v>88</v>
      </c>
      <c r="H49" t="s">
        <v>40</v>
      </c>
      <c r="I49">
        <f>ROUND(1.4/100,9)</f>
        <v>1.4E-2</v>
      </c>
      <c r="J49">
        <v>0</v>
      </c>
      <c r="O49">
        <f t="shared" si="14"/>
        <v>38.880000000000003</v>
      </c>
      <c r="P49">
        <f t="shared" si="15"/>
        <v>8.2200000000000006</v>
      </c>
      <c r="Q49">
        <f t="shared" si="16"/>
        <v>0.44</v>
      </c>
      <c r="R49">
        <f t="shared" si="17"/>
        <v>0.13</v>
      </c>
      <c r="S49">
        <f t="shared" si="18"/>
        <v>30.22</v>
      </c>
      <c r="T49">
        <f t="shared" si="19"/>
        <v>0</v>
      </c>
      <c r="U49">
        <f t="shared" si="20"/>
        <v>0.57973999999999992</v>
      </c>
      <c r="V49">
        <f t="shared" si="21"/>
        <v>1.6800000000000001E-3</v>
      </c>
      <c r="W49">
        <f t="shared" si="22"/>
        <v>0</v>
      </c>
      <c r="X49">
        <f t="shared" si="23"/>
        <v>25.19</v>
      </c>
      <c r="Y49">
        <f t="shared" si="24"/>
        <v>19.73</v>
      </c>
      <c r="AA49">
        <v>16784196</v>
      </c>
      <c r="AB49">
        <f t="shared" si="25"/>
        <v>454.41</v>
      </c>
      <c r="AC49">
        <f t="shared" si="52"/>
        <v>96.05</v>
      </c>
      <c r="AD49">
        <f t="shared" si="53"/>
        <v>5.13</v>
      </c>
      <c r="AE49">
        <f t="shared" si="54"/>
        <v>1.54</v>
      </c>
      <c r="AF49">
        <f t="shared" si="54"/>
        <v>353.23</v>
      </c>
      <c r="AG49">
        <f t="shared" si="27"/>
        <v>0</v>
      </c>
      <c r="AH49">
        <f t="shared" si="55"/>
        <v>41.41</v>
      </c>
      <c r="AI49">
        <f t="shared" si="55"/>
        <v>0.12</v>
      </c>
      <c r="AJ49">
        <f t="shared" si="28"/>
        <v>0</v>
      </c>
      <c r="AK49">
        <v>454.41</v>
      </c>
      <c r="AL49">
        <v>96.05</v>
      </c>
      <c r="AM49">
        <v>5.13</v>
      </c>
      <c r="AN49">
        <v>1.54</v>
      </c>
      <c r="AO49">
        <v>353.23</v>
      </c>
      <c r="AP49">
        <v>0</v>
      </c>
      <c r="AQ49">
        <v>41.41</v>
      </c>
      <c r="AR49">
        <v>0.12</v>
      </c>
      <c r="AS49">
        <v>0</v>
      </c>
      <c r="AT49">
        <v>83</v>
      </c>
      <c r="AU49">
        <v>65</v>
      </c>
      <c r="AV49">
        <v>1</v>
      </c>
      <c r="AW49">
        <v>1</v>
      </c>
      <c r="AZ49">
        <v>6.11</v>
      </c>
      <c r="BA49">
        <v>6.11</v>
      </c>
      <c r="BB49">
        <v>6.11</v>
      </c>
      <c r="BC49">
        <v>6.11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89</v>
      </c>
      <c r="BM49">
        <v>58001</v>
      </c>
      <c r="BN49">
        <v>0</v>
      </c>
      <c r="BO49" t="s">
        <v>6</v>
      </c>
      <c r="BP49">
        <v>0</v>
      </c>
      <c r="BQ49">
        <v>6</v>
      </c>
      <c r="BR49">
        <v>0</v>
      </c>
      <c r="BS49">
        <v>6.11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83</v>
      </c>
      <c r="CA49">
        <v>65</v>
      </c>
      <c r="CE49">
        <v>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29"/>
        <v>38.879999999999995</v>
      </c>
      <c r="CQ49">
        <f t="shared" si="30"/>
        <v>586.8655</v>
      </c>
      <c r="CR49">
        <f t="shared" si="31"/>
        <v>31.3443</v>
      </c>
      <c r="CS49">
        <f t="shared" si="32"/>
        <v>9.4094000000000015</v>
      </c>
      <c r="CT49">
        <f t="shared" si="33"/>
        <v>2158.2353000000003</v>
      </c>
      <c r="CU49">
        <f t="shared" si="34"/>
        <v>0</v>
      </c>
      <c r="CV49">
        <f t="shared" si="35"/>
        <v>41.41</v>
      </c>
      <c r="CW49">
        <f t="shared" si="36"/>
        <v>0.12</v>
      </c>
      <c r="CX49">
        <f t="shared" si="37"/>
        <v>0</v>
      </c>
      <c r="CY49">
        <f t="shared" si="38"/>
        <v>25.190499999999997</v>
      </c>
      <c r="CZ49">
        <f t="shared" si="39"/>
        <v>19.727499999999999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1003</v>
      </c>
      <c r="DV49" t="s">
        <v>40</v>
      </c>
      <c r="DW49" t="s">
        <v>40</v>
      </c>
      <c r="DX49">
        <v>100</v>
      </c>
      <c r="EE49">
        <v>16510567</v>
      </c>
      <c r="EF49">
        <v>6</v>
      </c>
      <c r="EG49" t="s">
        <v>90</v>
      </c>
      <c r="EH49">
        <v>0</v>
      </c>
      <c r="EI49" t="s">
        <v>6</v>
      </c>
      <c r="EJ49">
        <v>1</v>
      </c>
      <c r="EK49">
        <v>58001</v>
      </c>
      <c r="EL49" t="s">
        <v>91</v>
      </c>
      <c r="EM49" t="s">
        <v>92</v>
      </c>
      <c r="EO49" t="s">
        <v>6</v>
      </c>
      <c r="EQ49">
        <v>131072</v>
      </c>
      <c r="ER49">
        <v>454.41</v>
      </c>
      <c r="ES49">
        <v>96.05</v>
      </c>
      <c r="ET49">
        <v>5.13</v>
      </c>
      <c r="EU49">
        <v>1.54</v>
      </c>
      <c r="EV49">
        <v>353.23</v>
      </c>
      <c r="EW49">
        <v>41.41</v>
      </c>
      <c r="EX49">
        <v>0.12</v>
      </c>
      <c r="EY49">
        <v>0</v>
      </c>
      <c r="FQ49">
        <v>0</v>
      </c>
      <c r="FR49">
        <f t="shared" si="40"/>
        <v>0</v>
      </c>
      <c r="FS49">
        <v>0</v>
      </c>
      <c r="FX49">
        <v>83</v>
      </c>
      <c r="FY49">
        <v>65</v>
      </c>
      <c r="GA49" t="s">
        <v>6</v>
      </c>
      <c r="GD49">
        <v>0</v>
      </c>
      <c r="GF49">
        <v>1476584102</v>
      </c>
      <c r="GG49">
        <v>1</v>
      </c>
      <c r="GH49">
        <v>1</v>
      </c>
      <c r="GI49">
        <v>4</v>
      </c>
      <c r="GJ49">
        <v>0</v>
      </c>
      <c r="GK49">
        <f>ROUND(R49*(S12)/100,2)</f>
        <v>0</v>
      </c>
      <c r="GL49">
        <f t="shared" si="41"/>
        <v>0</v>
      </c>
      <c r="GM49">
        <f t="shared" si="42"/>
        <v>83.8</v>
      </c>
      <c r="GN49">
        <f t="shared" si="43"/>
        <v>83.8</v>
      </c>
      <c r="GO49">
        <f t="shared" si="44"/>
        <v>0</v>
      </c>
      <c r="GP49">
        <f t="shared" si="45"/>
        <v>0</v>
      </c>
      <c r="GR49">
        <v>0</v>
      </c>
      <c r="GS49">
        <v>3</v>
      </c>
      <c r="GT49">
        <v>0</v>
      </c>
      <c r="GU49" t="s">
        <v>6</v>
      </c>
      <c r="GV49">
        <f t="shared" si="46"/>
        <v>0</v>
      </c>
      <c r="GW49">
        <v>1</v>
      </c>
      <c r="GX49">
        <f t="shared" si="47"/>
        <v>0</v>
      </c>
      <c r="HA49">
        <v>0</v>
      </c>
      <c r="HB49">
        <v>0</v>
      </c>
      <c r="HC49">
        <f t="shared" si="48"/>
        <v>0</v>
      </c>
      <c r="IK49">
        <v>0</v>
      </c>
    </row>
    <row r="50" spans="1:255" x14ac:dyDescent="0.2">
      <c r="A50" s="2">
        <v>18</v>
      </c>
      <c r="B50" s="2">
        <v>1</v>
      </c>
      <c r="C50" s="2">
        <v>108</v>
      </c>
      <c r="D50" s="2"/>
      <c r="E50" s="2" t="s">
        <v>93</v>
      </c>
      <c r="F50" s="2" t="s">
        <v>94</v>
      </c>
      <c r="G50" s="2" t="s">
        <v>95</v>
      </c>
      <c r="H50" s="2" t="s">
        <v>65</v>
      </c>
      <c r="I50" s="2">
        <f>I48*J50</f>
        <v>2.5760000000000002E-3</v>
      </c>
      <c r="J50" s="2">
        <v>0.184</v>
      </c>
      <c r="K50" s="2"/>
      <c r="L50" s="2"/>
      <c r="M50" s="2"/>
      <c r="N50" s="2"/>
      <c r="O50" s="2">
        <f t="shared" si="14"/>
        <v>0</v>
      </c>
      <c r="P50" s="2">
        <f t="shared" si="15"/>
        <v>0</v>
      </c>
      <c r="Q50" s="2">
        <f t="shared" si="16"/>
        <v>0</v>
      </c>
      <c r="R50" s="2">
        <f t="shared" si="17"/>
        <v>0</v>
      </c>
      <c r="S50" s="2">
        <f t="shared" si="18"/>
        <v>0</v>
      </c>
      <c r="T50" s="2">
        <f t="shared" si="19"/>
        <v>0</v>
      </c>
      <c r="U50" s="2">
        <f t="shared" si="20"/>
        <v>0</v>
      </c>
      <c r="V50" s="2">
        <f t="shared" si="21"/>
        <v>0</v>
      </c>
      <c r="W50" s="2">
        <f t="shared" si="22"/>
        <v>0</v>
      </c>
      <c r="X50" s="2">
        <f t="shared" si="23"/>
        <v>0</v>
      </c>
      <c r="Y50" s="2">
        <f t="shared" si="24"/>
        <v>0</v>
      </c>
      <c r="Z50" s="2"/>
      <c r="AA50" s="2">
        <v>16784195</v>
      </c>
      <c r="AB50" s="2">
        <f t="shared" si="25"/>
        <v>0</v>
      </c>
      <c r="AC50" s="2">
        <f t="shared" si="52"/>
        <v>0</v>
      </c>
      <c r="AD50" s="2">
        <f t="shared" si="53"/>
        <v>0</v>
      </c>
      <c r="AE50" s="2">
        <f t="shared" si="54"/>
        <v>0</v>
      </c>
      <c r="AF50" s="2">
        <f t="shared" si="54"/>
        <v>0</v>
      </c>
      <c r="AG50" s="2">
        <f t="shared" si="27"/>
        <v>0</v>
      </c>
      <c r="AH50" s="2">
        <f t="shared" si="55"/>
        <v>0</v>
      </c>
      <c r="AI50" s="2">
        <f t="shared" si="55"/>
        <v>0</v>
      </c>
      <c r="AJ50" s="2">
        <f t="shared" si="28"/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83</v>
      </c>
      <c r="AU50" s="2">
        <v>65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3</v>
      </c>
      <c r="BI50" s="2">
        <v>1</v>
      </c>
      <c r="BJ50" s="2" t="s">
        <v>6</v>
      </c>
      <c r="BK50" s="2"/>
      <c r="BL50" s="2"/>
      <c r="BM50" s="2">
        <v>58001</v>
      </c>
      <c r="BN50" s="2">
        <v>0</v>
      </c>
      <c r="BO50" s="2" t="s">
        <v>6</v>
      </c>
      <c r="BP50" s="2">
        <v>0</v>
      </c>
      <c r="BQ50" s="2">
        <v>6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83</v>
      </c>
      <c r="CA50" s="2">
        <v>65</v>
      </c>
      <c r="CB50" s="2"/>
      <c r="CC50" s="2"/>
      <c r="CD50" s="2"/>
      <c r="CE50" s="2">
        <v>0</v>
      </c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6</v>
      </c>
      <c r="CO50" s="2">
        <v>0</v>
      </c>
      <c r="CP50" s="2">
        <f t="shared" si="29"/>
        <v>0</v>
      </c>
      <c r="CQ50" s="2">
        <f t="shared" si="30"/>
        <v>0</v>
      </c>
      <c r="CR50" s="2">
        <f t="shared" si="31"/>
        <v>0</v>
      </c>
      <c r="CS50" s="2">
        <f t="shared" si="32"/>
        <v>0</v>
      </c>
      <c r="CT50" s="2">
        <f t="shared" si="33"/>
        <v>0</v>
      </c>
      <c r="CU50" s="2">
        <f t="shared" si="34"/>
        <v>0</v>
      </c>
      <c r="CV50" s="2">
        <f t="shared" si="35"/>
        <v>0</v>
      </c>
      <c r="CW50" s="2">
        <f t="shared" si="36"/>
        <v>0</v>
      </c>
      <c r="CX50" s="2">
        <f t="shared" si="37"/>
        <v>0</v>
      </c>
      <c r="CY50" s="2">
        <f t="shared" si="38"/>
        <v>0</v>
      </c>
      <c r="CZ50" s="2">
        <f t="shared" si="39"/>
        <v>0</v>
      </c>
      <c r="DA50" s="2"/>
      <c r="DB50" s="2"/>
      <c r="DC50" s="2" t="s">
        <v>6</v>
      </c>
      <c r="DD50" s="2" t="s">
        <v>6</v>
      </c>
      <c r="DE50" s="2" t="s">
        <v>6</v>
      </c>
      <c r="DF50" s="2" t="s">
        <v>6</v>
      </c>
      <c r="DG50" s="2" t="s">
        <v>6</v>
      </c>
      <c r="DH50" s="2" t="s">
        <v>6</v>
      </c>
      <c r="DI50" s="2" t="s">
        <v>6</v>
      </c>
      <c r="DJ50" s="2" t="s">
        <v>6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1009</v>
      </c>
      <c r="DV50" s="2" t="s">
        <v>65</v>
      </c>
      <c r="DW50" s="2" t="s">
        <v>65</v>
      </c>
      <c r="DX50" s="2">
        <v>1000</v>
      </c>
      <c r="DY50" s="2"/>
      <c r="DZ50" s="2"/>
      <c r="EA50" s="2"/>
      <c r="EB50" s="2"/>
      <c r="EC50" s="2"/>
      <c r="ED50" s="2"/>
      <c r="EE50" s="2">
        <v>16510567</v>
      </c>
      <c r="EF50" s="2">
        <v>6</v>
      </c>
      <c r="EG50" s="2" t="s">
        <v>90</v>
      </c>
      <c r="EH50" s="2">
        <v>0</v>
      </c>
      <c r="EI50" s="2" t="s">
        <v>6</v>
      </c>
      <c r="EJ50" s="2">
        <v>1</v>
      </c>
      <c r="EK50" s="2">
        <v>58001</v>
      </c>
      <c r="EL50" s="2" t="s">
        <v>91</v>
      </c>
      <c r="EM50" s="2" t="s">
        <v>92</v>
      </c>
      <c r="EN50" s="2"/>
      <c r="EO50" s="2" t="s">
        <v>6</v>
      </c>
      <c r="EP50" s="2"/>
      <c r="EQ50" s="2">
        <v>0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0</v>
      </c>
      <c r="EX50" s="2">
        <v>0</v>
      </c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0"/>
        <v>0</v>
      </c>
      <c r="FS50" s="2">
        <v>0</v>
      </c>
      <c r="FT50" s="2"/>
      <c r="FU50" s="2"/>
      <c r="FV50" s="2"/>
      <c r="FW50" s="2"/>
      <c r="FX50" s="2">
        <v>83</v>
      </c>
      <c r="FY50" s="2">
        <v>65</v>
      </c>
      <c r="FZ50" s="2"/>
      <c r="GA50" s="2" t="s">
        <v>6</v>
      </c>
      <c r="GB50" s="2"/>
      <c r="GC50" s="2"/>
      <c r="GD50" s="2">
        <v>0</v>
      </c>
      <c r="GE50" s="2"/>
      <c r="GF50" s="2">
        <v>789990620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1"/>
        <v>0</v>
      </c>
      <c r="GM50" s="2">
        <f t="shared" si="42"/>
        <v>0</v>
      </c>
      <c r="GN50" s="2">
        <f t="shared" si="43"/>
        <v>0</v>
      </c>
      <c r="GO50" s="2">
        <f t="shared" si="44"/>
        <v>0</v>
      </c>
      <c r="GP50" s="2">
        <f t="shared" si="45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46"/>
        <v>0</v>
      </c>
      <c r="GW50" s="2">
        <v>1</v>
      </c>
      <c r="GX50" s="2">
        <f t="shared" si="47"/>
        <v>0</v>
      </c>
      <c r="GY50" s="2"/>
      <c r="GZ50" s="2"/>
      <c r="HA50" s="2">
        <v>0</v>
      </c>
      <c r="HB50" s="2">
        <v>0</v>
      </c>
      <c r="HC50" s="2">
        <f t="shared" si="48"/>
        <v>0</v>
      </c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18</v>
      </c>
      <c r="B51">
        <v>1</v>
      </c>
      <c r="C51">
        <v>116</v>
      </c>
      <c r="E51" t="s">
        <v>93</v>
      </c>
      <c r="F51" t="s">
        <v>94</v>
      </c>
      <c r="G51" t="s">
        <v>95</v>
      </c>
      <c r="H51" t="s">
        <v>65</v>
      </c>
      <c r="I51">
        <f>I49*J51</f>
        <v>2.5760000000000002E-3</v>
      </c>
      <c r="J51">
        <v>0.184</v>
      </c>
      <c r="O51">
        <f t="shared" si="14"/>
        <v>0</v>
      </c>
      <c r="P51">
        <f t="shared" si="15"/>
        <v>0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16784196</v>
      </c>
      <c r="AB51">
        <f t="shared" si="25"/>
        <v>0</v>
      </c>
      <c r="AC51">
        <f t="shared" si="52"/>
        <v>0</v>
      </c>
      <c r="AD51">
        <f t="shared" si="53"/>
        <v>0</v>
      </c>
      <c r="AE51">
        <f t="shared" si="54"/>
        <v>0</v>
      </c>
      <c r="AF51">
        <f t="shared" si="54"/>
        <v>0</v>
      </c>
      <c r="AG51">
        <f t="shared" si="27"/>
        <v>0</v>
      </c>
      <c r="AH51">
        <f t="shared" si="55"/>
        <v>0</v>
      </c>
      <c r="AI51">
        <f t="shared" si="55"/>
        <v>0</v>
      </c>
      <c r="AJ51">
        <f t="shared" si="28"/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83</v>
      </c>
      <c r="AU51">
        <v>65</v>
      </c>
      <c r="AV51">
        <v>1</v>
      </c>
      <c r="AW51">
        <v>1</v>
      </c>
      <c r="AZ51">
        <v>6.11</v>
      </c>
      <c r="BA51">
        <v>1</v>
      </c>
      <c r="BB51">
        <v>1</v>
      </c>
      <c r="BC51">
        <v>6.11</v>
      </c>
      <c r="BD51" t="s">
        <v>6</v>
      </c>
      <c r="BE51" t="s">
        <v>6</v>
      </c>
      <c r="BF51" t="s">
        <v>6</v>
      </c>
      <c r="BG51" t="s">
        <v>6</v>
      </c>
      <c r="BH51">
        <v>3</v>
      </c>
      <c r="BI51">
        <v>1</v>
      </c>
      <c r="BJ51" t="s">
        <v>6</v>
      </c>
      <c r="BM51">
        <v>58001</v>
      </c>
      <c r="BN51">
        <v>0</v>
      </c>
      <c r="BO51" t="s">
        <v>6</v>
      </c>
      <c r="BP51">
        <v>0</v>
      </c>
      <c r="BQ51">
        <v>6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83</v>
      </c>
      <c r="CA51">
        <v>65</v>
      </c>
      <c r="CE51">
        <v>0</v>
      </c>
      <c r="CF51">
        <v>0</v>
      </c>
      <c r="CG51">
        <v>0</v>
      </c>
      <c r="CM51">
        <v>0</v>
      </c>
      <c r="CN51" t="s">
        <v>6</v>
      </c>
      <c r="CO51">
        <v>0</v>
      </c>
      <c r="CP51">
        <f t="shared" si="29"/>
        <v>0</v>
      </c>
      <c r="CQ51">
        <f t="shared" si="30"/>
        <v>0</v>
      </c>
      <c r="CR51">
        <f t="shared" si="31"/>
        <v>0</v>
      </c>
      <c r="CS51">
        <f t="shared" si="32"/>
        <v>0</v>
      </c>
      <c r="CT51">
        <f t="shared" si="33"/>
        <v>0</v>
      </c>
      <c r="CU51">
        <f t="shared" si="34"/>
        <v>0</v>
      </c>
      <c r="CV51">
        <f t="shared" si="35"/>
        <v>0</v>
      </c>
      <c r="CW51">
        <f t="shared" si="36"/>
        <v>0</v>
      </c>
      <c r="CX51">
        <f t="shared" si="37"/>
        <v>0</v>
      </c>
      <c r="CY51">
        <f t="shared" si="38"/>
        <v>0</v>
      </c>
      <c r="CZ51">
        <f t="shared" si="39"/>
        <v>0</v>
      </c>
      <c r="DC51" t="s">
        <v>6</v>
      </c>
      <c r="DD51" t="s">
        <v>6</v>
      </c>
      <c r="DE51" t="s">
        <v>6</v>
      </c>
      <c r="DF51" t="s">
        <v>6</v>
      </c>
      <c r="DG51" t="s">
        <v>6</v>
      </c>
      <c r="DH51" t="s">
        <v>6</v>
      </c>
      <c r="DI51" t="s">
        <v>6</v>
      </c>
      <c r="DJ51" t="s">
        <v>6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1009</v>
      </c>
      <c r="DV51" t="s">
        <v>65</v>
      </c>
      <c r="DW51" t="s">
        <v>65</v>
      </c>
      <c r="DX51">
        <v>1000</v>
      </c>
      <c r="EE51">
        <v>16510567</v>
      </c>
      <c r="EF51">
        <v>6</v>
      </c>
      <c r="EG51" t="s">
        <v>90</v>
      </c>
      <c r="EH51">
        <v>0</v>
      </c>
      <c r="EI51" t="s">
        <v>6</v>
      </c>
      <c r="EJ51">
        <v>1</v>
      </c>
      <c r="EK51">
        <v>58001</v>
      </c>
      <c r="EL51" t="s">
        <v>91</v>
      </c>
      <c r="EM51" t="s">
        <v>92</v>
      </c>
      <c r="EO51" t="s">
        <v>6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0"/>
        <v>0</v>
      </c>
      <c r="FS51">
        <v>0</v>
      </c>
      <c r="FX51">
        <v>83</v>
      </c>
      <c r="FY51">
        <v>65</v>
      </c>
      <c r="GA51" t="s">
        <v>6</v>
      </c>
      <c r="GD51">
        <v>0</v>
      </c>
      <c r="GF51">
        <v>789990620</v>
      </c>
      <c r="GG51">
        <v>1</v>
      </c>
      <c r="GH51">
        <v>1</v>
      </c>
      <c r="GI51">
        <v>4</v>
      </c>
      <c r="GJ51">
        <v>0</v>
      </c>
      <c r="GK51">
        <f>ROUND(R51*(S12)/100,2)</f>
        <v>0</v>
      </c>
      <c r="GL51">
        <f t="shared" si="41"/>
        <v>0</v>
      </c>
      <c r="GM51">
        <f t="shared" si="42"/>
        <v>0</v>
      </c>
      <c r="GN51">
        <f t="shared" si="43"/>
        <v>0</v>
      </c>
      <c r="GO51">
        <f t="shared" si="44"/>
        <v>0</v>
      </c>
      <c r="GP51">
        <f t="shared" si="45"/>
        <v>0</v>
      </c>
      <c r="GR51">
        <v>0</v>
      </c>
      <c r="GS51">
        <v>3</v>
      </c>
      <c r="GT51">
        <v>0</v>
      </c>
      <c r="GU51" t="s">
        <v>6</v>
      </c>
      <c r="GV51">
        <f t="shared" si="46"/>
        <v>0</v>
      </c>
      <c r="GW51">
        <v>1</v>
      </c>
      <c r="GX51">
        <f t="shared" si="47"/>
        <v>0</v>
      </c>
      <c r="HA51">
        <v>0</v>
      </c>
      <c r="HB51">
        <v>0</v>
      </c>
      <c r="HC51">
        <f t="shared" si="48"/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106</v>
      </c>
      <c r="D52" s="2"/>
      <c r="E52" s="2" t="s">
        <v>96</v>
      </c>
      <c r="F52" s="2" t="s">
        <v>97</v>
      </c>
      <c r="G52" s="2" t="s">
        <v>98</v>
      </c>
      <c r="H52" s="2" t="s">
        <v>99</v>
      </c>
      <c r="I52" s="2">
        <f>I48*J52</f>
        <v>1.4</v>
      </c>
      <c r="J52" s="2">
        <v>99.999999999999986</v>
      </c>
      <c r="K52" s="2"/>
      <c r="L52" s="2"/>
      <c r="M52" s="2"/>
      <c r="N52" s="2"/>
      <c r="O52" s="2">
        <f t="shared" si="14"/>
        <v>36.97</v>
      </c>
      <c r="P52" s="2">
        <f t="shared" si="15"/>
        <v>36.97</v>
      </c>
      <c r="Q52" s="2">
        <f t="shared" si="16"/>
        <v>0</v>
      </c>
      <c r="R52" s="2">
        <f t="shared" si="17"/>
        <v>0</v>
      </c>
      <c r="S52" s="2">
        <f t="shared" si="18"/>
        <v>0</v>
      </c>
      <c r="T52" s="2">
        <f t="shared" si="19"/>
        <v>0</v>
      </c>
      <c r="U52" s="2">
        <f t="shared" si="20"/>
        <v>0</v>
      </c>
      <c r="V52" s="2">
        <f t="shared" si="21"/>
        <v>0</v>
      </c>
      <c r="W52" s="2">
        <f t="shared" si="22"/>
        <v>0</v>
      </c>
      <c r="X52" s="2">
        <f t="shared" si="23"/>
        <v>0</v>
      </c>
      <c r="Y52" s="2">
        <f t="shared" si="24"/>
        <v>0</v>
      </c>
      <c r="Z52" s="2"/>
      <c r="AA52" s="2">
        <v>16784195</v>
      </c>
      <c r="AB52" s="2">
        <f t="shared" si="25"/>
        <v>26.41</v>
      </c>
      <c r="AC52" s="2">
        <f t="shared" si="52"/>
        <v>26.41</v>
      </c>
      <c r="AD52" s="2">
        <f t="shared" si="53"/>
        <v>0</v>
      </c>
      <c r="AE52" s="2">
        <f t="shared" si="54"/>
        <v>0</v>
      </c>
      <c r="AF52" s="2">
        <f t="shared" si="54"/>
        <v>0</v>
      </c>
      <c r="AG52" s="2">
        <f t="shared" si="27"/>
        <v>0</v>
      </c>
      <c r="AH52" s="2">
        <f t="shared" si="55"/>
        <v>0</v>
      </c>
      <c r="AI52" s="2">
        <f t="shared" si="55"/>
        <v>0</v>
      </c>
      <c r="AJ52" s="2">
        <f t="shared" si="28"/>
        <v>0</v>
      </c>
      <c r="AK52" s="2">
        <v>26.41</v>
      </c>
      <c r="AL52" s="2">
        <v>26.41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83</v>
      </c>
      <c r="AU52" s="2">
        <v>65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3</v>
      </c>
      <c r="BI52" s="2">
        <v>1</v>
      </c>
      <c r="BJ52" s="2" t="s">
        <v>100</v>
      </c>
      <c r="BK52" s="2"/>
      <c r="BL52" s="2"/>
      <c r="BM52" s="2">
        <v>58001</v>
      </c>
      <c r="BN52" s="2">
        <v>0</v>
      </c>
      <c r="BO52" s="2" t="s">
        <v>6</v>
      </c>
      <c r="BP52" s="2">
        <v>0</v>
      </c>
      <c r="BQ52" s="2">
        <v>6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83</v>
      </c>
      <c r="CA52" s="2">
        <v>65</v>
      </c>
      <c r="CB52" s="2"/>
      <c r="CC52" s="2"/>
      <c r="CD52" s="2"/>
      <c r="CE52" s="2">
        <v>0</v>
      </c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6</v>
      </c>
      <c r="CO52" s="2">
        <v>0</v>
      </c>
      <c r="CP52" s="2">
        <f t="shared" si="29"/>
        <v>36.97</v>
      </c>
      <c r="CQ52" s="2">
        <f t="shared" si="30"/>
        <v>26.41</v>
      </c>
      <c r="CR52" s="2">
        <f t="shared" si="31"/>
        <v>0</v>
      </c>
      <c r="CS52" s="2">
        <f t="shared" si="32"/>
        <v>0</v>
      </c>
      <c r="CT52" s="2">
        <f t="shared" si="33"/>
        <v>0</v>
      </c>
      <c r="CU52" s="2">
        <f t="shared" si="34"/>
        <v>0</v>
      </c>
      <c r="CV52" s="2">
        <f t="shared" si="35"/>
        <v>0</v>
      </c>
      <c r="CW52" s="2">
        <f t="shared" si="36"/>
        <v>0</v>
      </c>
      <c r="CX52" s="2">
        <f t="shared" si="37"/>
        <v>0</v>
      </c>
      <c r="CY52" s="2">
        <f t="shared" si="38"/>
        <v>0</v>
      </c>
      <c r="CZ52" s="2">
        <f t="shared" si="39"/>
        <v>0</v>
      </c>
      <c r="DA52" s="2"/>
      <c r="DB52" s="2"/>
      <c r="DC52" s="2" t="s">
        <v>6</v>
      </c>
      <c r="DD52" s="2" t="s">
        <v>6</v>
      </c>
      <c r="DE52" s="2" t="s">
        <v>6</v>
      </c>
      <c r="DF52" s="2" t="s">
        <v>6</v>
      </c>
      <c r="DG52" s="2" t="s">
        <v>6</v>
      </c>
      <c r="DH52" s="2" t="s">
        <v>6</v>
      </c>
      <c r="DI52" s="2" t="s">
        <v>6</v>
      </c>
      <c r="DJ52" s="2" t="s">
        <v>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1013</v>
      </c>
      <c r="DV52" s="2" t="s">
        <v>99</v>
      </c>
      <c r="DW52" s="2" t="s">
        <v>99</v>
      </c>
      <c r="DX52" s="2">
        <v>1</v>
      </c>
      <c r="DY52" s="2"/>
      <c r="DZ52" s="2"/>
      <c r="EA52" s="2"/>
      <c r="EB52" s="2"/>
      <c r="EC52" s="2"/>
      <c r="ED52" s="2"/>
      <c r="EE52" s="2">
        <v>16510567</v>
      </c>
      <c r="EF52" s="2">
        <v>6</v>
      </c>
      <c r="EG52" s="2" t="s">
        <v>90</v>
      </c>
      <c r="EH52" s="2">
        <v>0</v>
      </c>
      <c r="EI52" s="2" t="s">
        <v>6</v>
      </c>
      <c r="EJ52" s="2">
        <v>1</v>
      </c>
      <c r="EK52" s="2">
        <v>58001</v>
      </c>
      <c r="EL52" s="2" t="s">
        <v>91</v>
      </c>
      <c r="EM52" s="2" t="s">
        <v>92</v>
      </c>
      <c r="EN52" s="2"/>
      <c r="EO52" s="2" t="s">
        <v>6</v>
      </c>
      <c r="EP52" s="2"/>
      <c r="EQ52" s="2">
        <v>0</v>
      </c>
      <c r="ER52" s="2">
        <v>26.41</v>
      </c>
      <c r="ES52" s="2">
        <v>26.41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0"/>
        <v>0</v>
      </c>
      <c r="FS52" s="2">
        <v>0</v>
      </c>
      <c r="FT52" s="2"/>
      <c r="FU52" s="2"/>
      <c r="FV52" s="2"/>
      <c r="FW52" s="2"/>
      <c r="FX52" s="2">
        <v>83</v>
      </c>
      <c r="FY52" s="2">
        <v>65</v>
      </c>
      <c r="FZ52" s="2"/>
      <c r="GA52" s="2" t="s">
        <v>6</v>
      </c>
      <c r="GB52" s="2"/>
      <c r="GC52" s="2"/>
      <c r="GD52" s="2">
        <v>0</v>
      </c>
      <c r="GE52" s="2"/>
      <c r="GF52" s="2">
        <v>-892718151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1"/>
        <v>0</v>
      </c>
      <c r="GM52" s="2">
        <f t="shared" si="42"/>
        <v>36.97</v>
      </c>
      <c r="GN52" s="2">
        <f t="shared" si="43"/>
        <v>36.97</v>
      </c>
      <c r="GO52" s="2">
        <f t="shared" si="44"/>
        <v>0</v>
      </c>
      <c r="GP52" s="2">
        <f t="shared" si="45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46"/>
        <v>0</v>
      </c>
      <c r="GW52" s="2">
        <v>1</v>
      </c>
      <c r="GX52" s="2">
        <f t="shared" si="47"/>
        <v>0</v>
      </c>
      <c r="GY52" s="2"/>
      <c r="GZ52" s="2"/>
      <c r="HA52" s="2">
        <v>0</v>
      </c>
      <c r="HB52" s="2">
        <v>0</v>
      </c>
      <c r="HC52" s="2">
        <f t="shared" si="48"/>
        <v>0</v>
      </c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114</v>
      </c>
      <c r="E53" t="s">
        <v>96</v>
      </c>
      <c r="F53" t="s">
        <v>97</v>
      </c>
      <c r="G53" t="s">
        <v>98</v>
      </c>
      <c r="H53" t="s">
        <v>99</v>
      </c>
      <c r="I53">
        <f>I49*J53</f>
        <v>1.4</v>
      </c>
      <c r="J53">
        <v>99.999999999999986</v>
      </c>
      <c r="O53">
        <f t="shared" si="14"/>
        <v>225.91</v>
      </c>
      <c r="P53">
        <f t="shared" si="15"/>
        <v>225.91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16784196</v>
      </c>
      <c r="AB53">
        <f t="shared" si="25"/>
        <v>26.41</v>
      </c>
      <c r="AC53">
        <f t="shared" si="52"/>
        <v>26.41</v>
      </c>
      <c r="AD53">
        <f t="shared" si="53"/>
        <v>0</v>
      </c>
      <c r="AE53">
        <f t="shared" si="54"/>
        <v>0</v>
      </c>
      <c r="AF53">
        <f t="shared" si="54"/>
        <v>0</v>
      </c>
      <c r="AG53">
        <f t="shared" si="27"/>
        <v>0</v>
      </c>
      <c r="AH53">
        <f t="shared" si="55"/>
        <v>0</v>
      </c>
      <c r="AI53">
        <f t="shared" si="55"/>
        <v>0</v>
      </c>
      <c r="AJ53">
        <f t="shared" si="28"/>
        <v>0</v>
      </c>
      <c r="AK53">
        <v>26.41</v>
      </c>
      <c r="AL53">
        <v>26.41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83</v>
      </c>
      <c r="AU53">
        <v>65</v>
      </c>
      <c r="AV53">
        <v>1</v>
      </c>
      <c r="AW53">
        <v>1</v>
      </c>
      <c r="AZ53">
        <v>6.11</v>
      </c>
      <c r="BA53">
        <v>1</v>
      </c>
      <c r="BB53">
        <v>1</v>
      </c>
      <c r="BC53">
        <v>6.11</v>
      </c>
      <c r="BD53" t="s">
        <v>6</v>
      </c>
      <c r="BE53" t="s">
        <v>6</v>
      </c>
      <c r="BF53" t="s">
        <v>6</v>
      </c>
      <c r="BG53" t="s">
        <v>6</v>
      </c>
      <c r="BH53">
        <v>3</v>
      </c>
      <c r="BI53">
        <v>1</v>
      </c>
      <c r="BJ53" t="s">
        <v>100</v>
      </c>
      <c r="BM53">
        <v>58001</v>
      </c>
      <c r="BN53">
        <v>0</v>
      </c>
      <c r="BO53" t="s">
        <v>6</v>
      </c>
      <c r="BP53">
        <v>0</v>
      </c>
      <c r="BQ53">
        <v>6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83</v>
      </c>
      <c r="CA53">
        <v>65</v>
      </c>
      <c r="CE53">
        <v>0</v>
      </c>
      <c r="CF53">
        <v>0</v>
      </c>
      <c r="CG53">
        <v>0</v>
      </c>
      <c r="CM53">
        <v>0</v>
      </c>
      <c r="CN53" t="s">
        <v>6</v>
      </c>
      <c r="CO53">
        <v>0</v>
      </c>
      <c r="CP53">
        <f t="shared" si="29"/>
        <v>225.91</v>
      </c>
      <c r="CQ53">
        <f t="shared" si="30"/>
        <v>161.36510000000001</v>
      </c>
      <c r="CR53">
        <f t="shared" si="31"/>
        <v>0</v>
      </c>
      <c r="CS53">
        <f t="shared" si="32"/>
        <v>0</v>
      </c>
      <c r="CT53">
        <f t="shared" si="33"/>
        <v>0</v>
      </c>
      <c r="CU53">
        <f t="shared" si="34"/>
        <v>0</v>
      </c>
      <c r="CV53">
        <f t="shared" si="35"/>
        <v>0</v>
      </c>
      <c r="CW53">
        <f t="shared" si="36"/>
        <v>0</v>
      </c>
      <c r="CX53">
        <f t="shared" si="37"/>
        <v>0</v>
      </c>
      <c r="CY53">
        <f t="shared" si="38"/>
        <v>0</v>
      </c>
      <c r="CZ53">
        <f t="shared" si="39"/>
        <v>0</v>
      </c>
      <c r="DC53" t="s">
        <v>6</v>
      </c>
      <c r="DD53" t="s">
        <v>6</v>
      </c>
      <c r="DE53" t="s">
        <v>6</v>
      </c>
      <c r="DF53" t="s">
        <v>6</v>
      </c>
      <c r="DG53" t="s">
        <v>6</v>
      </c>
      <c r="DH53" t="s">
        <v>6</v>
      </c>
      <c r="DI53" t="s">
        <v>6</v>
      </c>
      <c r="DJ53" t="s">
        <v>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1013</v>
      </c>
      <c r="DV53" t="s">
        <v>99</v>
      </c>
      <c r="DW53" t="s">
        <v>99</v>
      </c>
      <c r="DX53">
        <v>1</v>
      </c>
      <c r="EE53">
        <v>16510567</v>
      </c>
      <c r="EF53">
        <v>6</v>
      </c>
      <c r="EG53" t="s">
        <v>90</v>
      </c>
      <c r="EH53">
        <v>0</v>
      </c>
      <c r="EI53" t="s">
        <v>6</v>
      </c>
      <c r="EJ53">
        <v>1</v>
      </c>
      <c r="EK53">
        <v>58001</v>
      </c>
      <c r="EL53" t="s">
        <v>91</v>
      </c>
      <c r="EM53" t="s">
        <v>92</v>
      </c>
      <c r="EO53" t="s">
        <v>6</v>
      </c>
      <c r="EQ53">
        <v>0</v>
      </c>
      <c r="ER53">
        <v>26.41</v>
      </c>
      <c r="ES53">
        <v>26.41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0"/>
        <v>0</v>
      </c>
      <c r="FS53">
        <v>0</v>
      </c>
      <c r="FX53">
        <v>83</v>
      </c>
      <c r="FY53">
        <v>65</v>
      </c>
      <c r="GA53" t="s">
        <v>6</v>
      </c>
      <c r="GD53">
        <v>0</v>
      </c>
      <c r="GF53">
        <v>-892718151</v>
      </c>
      <c r="GG53">
        <v>1</v>
      </c>
      <c r="GH53">
        <v>1</v>
      </c>
      <c r="GI53">
        <v>4</v>
      </c>
      <c r="GJ53">
        <v>0</v>
      </c>
      <c r="GK53">
        <f>ROUND(R53*(S12)/100,2)</f>
        <v>0</v>
      </c>
      <c r="GL53">
        <f t="shared" si="41"/>
        <v>0</v>
      </c>
      <c r="GM53">
        <f t="shared" si="42"/>
        <v>225.91</v>
      </c>
      <c r="GN53">
        <f t="shared" si="43"/>
        <v>225.91</v>
      </c>
      <c r="GO53">
        <f t="shared" si="44"/>
        <v>0</v>
      </c>
      <c r="GP53">
        <f t="shared" si="45"/>
        <v>0</v>
      </c>
      <c r="GR53">
        <v>0</v>
      </c>
      <c r="GS53">
        <v>3</v>
      </c>
      <c r="GT53">
        <v>0</v>
      </c>
      <c r="GU53" t="s">
        <v>6</v>
      </c>
      <c r="GV53">
        <f t="shared" si="46"/>
        <v>0</v>
      </c>
      <c r="GW53">
        <v>1</v>
      </c>
      <c r="GX53">
        <f t="shared" si="47"/>
        <v>0</v>
      </c>
      <c r="HA53">
        <v>0</v>
      </c>
      <c r="HB53">
        <v>0</v>
      </c>
      <c r="HC53">
        <f t="shared" si="48"/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ROW(SmtRes!A121)</f>
        <v>121</v>
      </c>
      <c r="D54" s="2">
        <f>ROW(EtalonRes!A123)</f>
        <v>123</v>
      </c>
      <c r="E54" s="2" t="s">
        <v>101</v>
      </c>
      <c r="F54" s="2" t="s">
        <v>102</v>
      </c>
      <c r="G54" s="2" t="s">
        <v>103</v>
      </c>
      <c r="H54" s="2" t="s">
        <v>16</v>
      </c>
      <c r="I54" s="2">
        <f>ROUND(48.6/100,9)</f>
        <v>0.48599999999999999</v>
      </c>
      <c r="J54" s="2">
        <v>0</v>
      </c>
      <c r="K54" s="2"/>
      <c r="L54" s="2"/>
      <c r="M54" s="2"/>
      <c r="N54" s="2"/>
      <c r="O54" s="2">
        <f t="shared" si="14"/>
        <v>3328.55</v>
      </c>
      <c r="P54" s="2">
        <f t="shared" si="15"/>
        <v>2593</v>
      </c>
      <c r="Q54" s="2">
        <f t="shared" si="16"/>
        <v>197.26</v>
      </c>
      <c r="R54" s="2">
        <f t="shared" si="17"/>
        <v>38.51</v>
      </c>
      <c r="S54" s="2">
        <f t="shared" si="18"/>
        <v>538.29</v>
      </c>
      <c r="T54" s="2">
        <f t="shared" si="19"/>
        <v>0</v>
      </c>
      <c r="U54" s="2">
        <f t="shared" si="20"/>
        <v>57.264893999999991</v>
      </c>
      <c r="V54" s="2">
        <f t="shared" si="21"/>
        <v>3.2440499999999997</v>
      </c>
      <c r="W54" s="2">
        <f t="shared" si="22"/>
        <v>0</v>
      </c>
      <c r="X54" s="2">
        <f t="shared" si="23"/>
        <v>547.96</v>
      </c>
      <c r="Y54" s="2">
        <f t="shared" si="24"/>
        <v>271.10000000000002</v>
      </c>
      <c r="Z54" s="2"/>
      <c r="AA54" s="2">
        <v>16784195</v>
      </c>
      <c r="AB54" s="2">
        <f t="shared" si="25"/>
        <v>6848.88</v>
      </c>
      <c r="AC54" s="2">
        <f t="shared" si="52"/>
        <v>5335.4</v>
      </c>
      <c r="AD54" s="2">
        <f>ROUND(((((ET54*1.25))-((EU54*1.25)))+AE54),2)</f>
        <v>405.89</v>
      </c>
      <c r="AE54" s="2">
        <f>ROUND(((EU54*1.25)),2)</f>
        <v>79.239999999999995</v>
      </c>
      <c r="AF54" s="2">
        <f>ROUND(((EV54*1.15)),2)</f>
        <v>1107.5899999999999</v>
      </c>
      <c r="AG54" s="2">
        <f t="shared" si="27"/>
        <v>0</v>
      </c>
      <c r="AH54" s="2">
        <f>((EW54*1.15))</f>
        <v>117.82899999999998</v>
      </c>
      <c r="AI54" s="2">
        <f>((EX54*1.25))</f>
        <v>6.6749999999999998</v>
      </c>
      <c r="AJ54" s="2">
        <f t="shared" si="28"/>
        <v>0</v>
      </c>
      <c r="AK54" s="2">
        <v>6623.23</v>
      </c>
      <c r="AL54" s="2">
        <v>5335.4</v>
      </c>
      <c r="AM54" s="2">
        <v>324.70999999999998</v>
      </c>
      <c r="AN54" s="2">
        <v>63.39</v>
      </c>
      <c r="AO54" s="2">
        <v>963.12</v>
      </c>
      <c r="AP54" s="2">
        <v>0</v>
      </c>
      <c r="AQ54" s="2">
        <v>102.46</v>
      </c>
      <c r="AR54" s="2">
        <v>5.34</v>
      </c>
      <c r="AS54" s="2">
        <v>0</v>
      </c>
      <c r="AT54" s="2">
        <v>95</v>
      </c>
      <c r="AU54" s="2">
        <v>47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0</v>
      </c>
      <c r="BI54" s="2">
        <v>1</v>
      </c>
      <c r="BJ54" s="2" t="s">
        <v>104</v>
      </c>
      <c r="BK54" s="2"/>
      <c r="BL54" s="2"/>
      <c r="BM54" s="2">
        <v>15001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105</v>
      </c>
      <c r="CA54" s="2">
        <v>55</v>
      </c>
      <c r="CB54" s="2"/>
      <c r="CC54" s="2"/>
      <c r="CD54" s="2"/>
      <c r="CE54" s="2">
        <v>0</v>
      </c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824</v>
      </c>
      <c r="CO54" s="2">
        <v>0</v>
      </c>
      <c r="CP54" s="2">
        <f t="shared" si="29"/>
        <v>3328.55</v>
      </c>
      <c r="CQ54" s="2">
        <f t="shared" si="30"/>
        <v>5335.4</v>
      </c>
      <c r="CR54" s="2">
        <f t="shared" si="31"/>
        <v>405.89</v>
      </c>
      <c r="CS54" s="2">
        <f t="shared" si="32"/>
        <v>79.239999999999995</v>
      </c>
      <c r="CT54" s="2">
        <f t="shared" si="33"/>
        <v>1107.5899999999999</v>
      </c>
      <c r="CU54" s="2">
        <f t="shared" si="34"/>
        <v>0</v>
      </c>
      <c r="CV54" s="2">
        <f t="shared" si="35"/>
        <v>117.82899999999998</v>
      </c>
      <c r="CW54" s="2">
        <f t="shared" si="36"/>
        <v>6.6749999999999998</v>
      </c>
      <c r="CX54" s="2">
        <f t="shared" si="37"/>
        <v>0</v>
      </c>
      <c r="CY54" s="2">
        <f t="shared" si="38"/>
        <v>547.95999999999992</v>
      </c>
      <c r="CZ54" s="2">
        <f t="shared" si="39"/>
        <v>271.096</v>
      </c>
      <c r="DA54" s="2"/>
      <c r="DB54" s="2"/>
      <c r="DC54" s="2" t="s">
        <v>6</v>
      </c>
      <c r="DD54" s="2" t="s">
        <v>6</v>
      </c>
      <c r="DE54" s="2" t="s">
        <v>27</v>
      </c>
      <c r="DF54" s="2" t="s">
        <v>27</v>
      </c>
      <c r="DG54" s="2" t="s">
        <v>28</v>
      </c>
      <c r="DH54" s="2" t="s">
        <v>6</v>
      </c>
      <c r="DI54" s="2" t="s">
        <v>28</v>
      </c>
      <c r="DJ54" s="2" t="s">
        <v>27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1005</v>
      </c>
      <c r="DV54" s="2" t="s">
        <v>16</v>
      </c>
      <c r="DW54" s="2" t="s">
        <v>16</v>
      </c>
      <c r="DX54" s="2">
        <v>100</v>
      </c>
      <c r="DY54" s="2"/>
      <c r="DZ54" s="2"/>
      <c r="EA54" s="2"/>
      <c r="EB54" s="2"/>
      <c r="EC54" s="2"/>
      <c r="ED54" s="2"/>
      <c r="EE54" s="2">
        <v>16510513</v>
      </c>
      <c r="EF54" s="2">
        <v>2</v>
      </c>
      <c r="EG54" s="2" t="s">
        <v>18</v>
      </c>
      <c r="EH54" s="2">
        <v>0</v>
      </c>
      <c r="EI54" s="2" t="s">
        <v>6</v>
      </c>
      <c r="EJ54" s="2">
        <v>1</v>
      </c>
      <c r="EK54" s="2">
        <v>15001</v>
      </c>
      <c r="EL54" s="2" t="s">
        <v>51</v>
      </c>
      <c r="EM54" s="2" t="s">
        <v>52</v>
      </c>
      <c r="EN54" s="2"/>
      <c r="EO54" s="2" t="s">
        <v>31</v>
      </c>
      <c r="EP54" s="2"/>
      <c r="EQ54" s="2">
        <v>0</v>
      </c>
      <c r="ER54" s="2">
        <v>6623.23</v>
      </c>
      <c r="ES54" s="2">
        <v>5335.4</v>
      </c>
      <c r="ET54" s="2">
        <v>324.70999999999998</v>
      </c>
      <c r="EU54" s="2">
        <v>63.39</v>
      </c>
      <c r="EV54" s="2">
        <v>963.12</v>
      </c>
      <c r="EW54" s="2">
        <v>102.46</v>
      </c>
      <c r="EX54" s="2">
        <v>5.34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0"/>
        <v>0</v>
      </c>
      <c r="FS54" s="2">
        <v>0</v>
      </c>
      <c r="FT54" s="2" t="s">
        <v>21</v>
      </c>
      <c r="FU54" s="2" t="s">
        <v>22</v>
      </c>
      <c r="FV54" s="2"/>
      <c r="FW54" s="2"/>
      <c r="FX54" s="2">
        <v>94.5</v>
      </c>
      <c r="FY54" s="2">
        <v>46.75</v>
      </c>
      <c r="FZ54" s="2"/>
      <c r="GA54" s="2" t="s">
        <v>6</v>
      </c>
      <c r="GB54" s="2"/>
      <c r="GC54" s="2"/>
      <c r="GD54" s="2">
        <v>0</v>
      </c>
      <c r="GE54" s="2"/>
      <c r="GF54" s="2">
        <v>-59192285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41"/>
        <v>0</v>
      </c>
      <c r="GM54" s="2">
        <f t="shared" si="42"/>
        <v>4147.6099999999997</v>
      </c>
      <c r="GN54" s="2">
        <f t="shared" si="43"/>
        <v>4147.6099999999997</v>
      </c>
      <c r="GO54" s="2">
        <f t="shared" si="44"/>
        <v>0</v>
      </c>
      <c r="GP54" s="2">
        <f t="shared" si="45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46"/>
        <v>0</v>
      </c>
      <c r="GW54" s="2">
        <v>1</v>
      </c>
      <c r="GX54" s="2">
        <f t="shared" si="47"/>
        <v>0</v>
      </c>
      <c r="GY54" s="2"/>
      <c r="GZ54" s="2"/>
      <c r="HA54" s="2">
        <v>0</v>
      </c>
      <c r="HB54" s="2">
        <v>0</v>
      </c>
      <c r="HC54" s="2">
        <f t="shared" si="48"/>
        <v>0</v>
      </c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ROW(SmtRes!A126)</f>
        <v>126</v>
      </c>
      <c r="D55">
        <f>ROW(EtalonRes!A128)</f>
        <v>128</v>
      </c>
      <c r="E55" t="s">
        <v>101</v>
      </c>
      <c r="F55" t="s">
        <v>102</v>
      </c>
      <c r="G55" t="s">
        <v>103</v>
      </c>
      <c r="H55" t="s">
        <v>16</v>
      </c>
      <c r="I55">
        <f>ROUND(48.6/100,9)</f>
        <v>0.48599999999999999</v>
      </c>
      <c r="J55">
        <v>0</v>
      </c>
      <c r="O55">
        <f t="shared" si="14"/>
        <v>20337.47</v>
      </c>
      <c r="P55">
        <f t="shared" si="15"/>
        <v>15843.26</v>
      </c>
      <c r="Q55">
        <f t="shared" si="16"/>
        <v>1205.27</v>
      </c>
      <c r="R55">
        <f t="shared" si="17"/>
        <v>235.3</v>
      </c>
      <c r="S55">
        <f t="shared" si="18"/>
        <v>3288.94</v>
      </c>
      <c r="T55">
        <f t="shared" si="19"/>
        <v>0</v>
      </c>
      <c r="U55">
        <f t="shared" si="20"/>
        <v>57.264893999999991</v>
      </c>
      <c r="V55">
        <f t="shared" si="21"/>
        <v>3.2440499999999997</v>
      </c>
      <c r="W55">
        <f t="shared" si="22"/>
        <v>0</v>
      </c>
      <c r="X55">
        <f t="shared" si="23"/>
        <v>3348.03</v>
      </c>
      <c r="Y55">
        <f t="shared" si="24"/>
        <v>1656.39</v>
      </c>
      <c r="AA55">
        <v>16784196</v>
      </c>
      <c r="AB55">
        <f t="shared" si="25"/>
        <v>6848.88</v>
      </c>
      <c r="AC55">
        <f t="shared" si="52"/>
        <v>5335.4</v>
      </c>
      <c r="AD55">
        <f>ROUND(((((ET55*1.25))-((EU55*1.25)))+AE55),2)</f>
        <v>405.89</v>
      </c>
      <c r="AE55">
        <f>ROUND(((EU55*1.25)),2)</f>
        <v>79.239999999999995</v>
      </c>
      <c r="AF55">
        <f>ROUND(((EV55*1.15)),2)</f>
        <v>1107.5899999999999</v>
      </c>
      <c r="AG55">
        <f t="shared" si="27"/>
        <v>0</v>
      </c>
      <c r="AH55">
        <f>((EW55*1.15))</f>
        <v>117.82899999999998</v>
      </c>
      <c r="AI55">
        <f>((EX55*1.25))</f>
        <v>6.6749999999999998</v>
      </c>
      <c r="AJ55">
        <f t="shared" si="28"/>
        <v>0</v>
      </c>
      <c r="AK55">
        <v>6623.23</v>
      </c>
      <c r="AL55">
        <v>5335.4</v>
      </c>
      <c r="AM55">
        <v>324.70999999999998</v>
      </c>
      <c r="AN55">
        <v>63.39</v>
      </c>
      <c r="AO55">
        <v>963.12</v>
      </c>
      <c r="AP55">
        <v>0</v>
      </c>
      <c r="AQ55">
        <v>102.46</v>
      </c>
      <c r="AR55">
        <v>5.34</v>
      </c>
      <c r="AS55">
        <v>0</v>
      </c>
      <c r="AT55">
        <v>95</v>
      </c>
      <c r="AU55">
        <v>47</v>
      </c>
      <c r="AV55">
        <v>1</v>
      </c>
      <c r="AW55">
        <v>1</v>
      </c>
      <c r="AZ55">
        <v>6.11</v>
      </c>
      <c r="BA55">
        <v>6.11</v>
      </c>
      <c r="BB55">
        <v>6.11</v>
      </c>
      <c r="BC55">
        <v>6.11</v>
      </c>
      <c r="BD55" t="s">
        <v>6</v>
      </c>
      <c r="BE55" t="s">
        <v>6</v>
      </c>
      <c r="BF55" t="s">
        <v>6</v>
      </c>
      <c r="BG55" t="s">
        <v>6</v>
      </c>
      <c r="BH55">
        <v>0</v>
      </c>
      <c r="BI55">
        <v>1</v>
      </c>
      <c r="BJ55" t="s">
        <v>104</v>
      </c>
      <c r="BM55">
        <v>15001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6.11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105</v>
      </c>
      <c r="CA55">
        <v>55</v>
      </c>
      <c r="CE55">
        <v>0</v>
      </c>
      <c r="CF55">
        <v>0</v>
      </c>
      <c r="CG55">
        <v>0</v>
      </c>
      <c r="CM55">
        <v>0</v>
      </c>
      <c r="CN55" t="s">
        <v>824</v>
      </c>
      <c r="CO55">
        <v>0</v>
      </c>
      <c r="CP55">
        <f t="shared" si="29"/>
        <v>20337.469999999998</v>
      </c>
      <c r="CQ55">
        <f t="shared" si="30"/>
        <v>32599.293999999998</v>
      </c>
      <c r="CR55">
        <f t="shared" si="31"/>
        <v>2479.9879000000001</v>
      </c>
      <c r="CS55">
        <f t="shared" si="32"/>
        <v>484.15640000000002</v>
      </c>
      <c r="CT55">
        <f t="shared" si="33"/>
        <v>6767.3748999999998</v>
      </c>
      <c r="CU55">
        <f t="shared" si="34"/>
        <v>0</v>
      </c>
      <c r="CV55">
        <f t="shared" si="35"/>
        <v>117.82899999999998</v>
      </c>
      <c r="CW55">
        <f t="shared" si="36"/>
        <v>6.6749999999999998</v>
      </c>
      <c r="CX55">
        <f t="shared" si="37"/>
        <v>0</v>
      </c>
      <c r="CY55">
        <f t="shared" si="38"/>
        <v>3348.0280000000002</v>
      </c>
      <c r="CZ55">
        <f t="shared" si="39"/>
        <v>1656.3928000000001</v>
      </c>
      <c r="DC55" t="s">
        <v>6</v>
      </c>
      <c r="DD55" t="s">
        <v>6</v>
      </c>
      <c r="DE55" t="s">
        <v>27</v>
      </c>
      <c r="DF55" t="s">
        <v>27</v>
      </c>
      <c r="DG55" t="s">
        <v>28</v>
      </c>
      <c r="DH55" t="s">
        <v>6</v>
      </c>
      <c r="DI55" t="s">
        <v>28</v>
      </c>
      <c r="DJ55" t="s">
        <v>27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16</v>
      </c>
      <c r="DW55" t="s">
        <v>16</v>
      </c>
      <c r="DX55">
        <v>100</v>
      </c>
      <c r="EE55">
        <v>16510513</v>
      </c>
      <c r="EF55">
        <v>2</v>
      </c>
      <c r="EG55" t="s">
        <v>18</v>
      </c>
      <c r="EH55">
        <v>0</v>
      </c>
      <c r="EI55" t="s">
        <v>6</v>
      </c>
      <c r="EJ55">
        <v>1</v>
      </c>
      <c r="EK55">
        <v>15001</v>
      </c>
      <c r="EL55" t="s">
        <v>51</v>
      </c>
      <c r="EM55" t="s">
        <v>52</v>
      </c>
      <c r="EO55" t="s">
        <v>31</v>
      </c>
      <c r="EQ55">
        <v>0</v>
      </c>
      <c r="ER55">
        <v>6623.23</v>
      </c>
      <c r="ES55">
        <v>5335.4</v>
      </c>
      <c r="ET55">
        <v>324.70999999999998</v>
      </c>
      <c r="EU55">
        <v>63.39</v>
      </c>
      <c r="EV55">
        <v>963.12</v>
      </c>
      <c r="EW55">
        <v>102.46</v>
      </c>
      <c r="EX55">
        <v>5.34</v>
      </c>
      <c r="EY55">
        <v>0</v>
      </c>
      <c r="FQ55">
        <v>0</v>
      </c>
      <c r="FR55">
        <f t="shared" si="40"/>
        <v>0</v>
      </c>
      <c r="FS55">
        <v>0</v>
      </c>
      <c r="FT55" t="s">
        <v>21</v>
      </c>
      <c r="FU55" t="s">
        <v>22</v>
      </c>
      <c r="FX55">
        <v>94.5</v>
      </c>
      <c r="FY55">
        <v>46.75</v>
      </c>
      <c r="GA55" t="s">
        <v>6</v>
      </c>
      <c r="GD55">
        <v>0</v>
      </c>
      <c r="GF55">
        <v>-59192285</v>
      </c>
      <c r="GG55">
        <v>1</v>
      </c>
      <c r="GH55">
        <v>1</v>
      </c>
      <c r="GI55">
        <v>4</v>
      </c>
      <c r="GJ55">
        <v>0</v>
      </c>
      <c r="GK55">
        <f>ROUND(R55*(S12)/100,2)</f>
        <v>0</v>
      </c>
      <c r="GL55">
        <f t="shared" si="41"/>
        <v>0</v>
      </c>
      <c r="GM55">
        <f t="shared" si="42"/>
        <v>25341.89</v>
      </c>
      <c r="GN55">
        <f t="shared" si="43"/>
        <v>25341.89</v>
      </c>
      <c r="GO55">
        <f t="shared" si="44"/>
        <v>0</v>
      </c>
      <c r="GP55">
        <f t="shared" si="45"/>
        <v>0</v>
      </c>
      <c r="GR55">
        <v>0</v>
      </c>
      <c r="GS55">
        <v>3</v>
      </c>
      <c r="GT55">
        <v>0</v>
      </c>
      <c r="GU55" t="s">
        <v>6</v>
      </c>
      <c r="GV55">
        <f t="shared" si="46"/>
        <v>0</v>
      </c>
      <c r="GW55">
        <v>1</v>
      </c>
      <c r="GX55">
        <f t="shared" si="47"/>
        <v>0</v>
      </c>
      <c r="HA55">
        <v>0</v>
      </c>
      <c r="HB55">
        <v>0</v>
      </c>
      <c r="HC55">
        <f t="shared" si="48"/>
        <v>0</v>
      </c>
      <c r="IK55">
        <v>0</v>
      </c>
    </row>
    <row r="56" spans="1:255" x14ac:dyDescent="0.2">
      <c r="A56" s="2">
        <v>17</v>
      </c>
      <c r="B56" s="2">
        <v>1</v>
      </c>
      <c r="C56" s="2">
        <f>ROW(SmtRes!A129)</f>
        <v>129</v>
      </c>
      <c r="D56" s="2">
        <f>ROW(EtalonRes!A132)</f>
        <v>132</v>
      </c>
      <c r="E56" s="2" t="s">
        <v>105</v>
      </c>
      <c r="F56" s="2" t="s">
        <v>106</v>
      </c>
      <c r="G56" s="2" t="s">
        <v>107</v>
      </c>
      <c r="H56" s="2" t="s">
        <v>16</v>
      </c>
      <c r="I56" s="2">
        <f>ROUND(47.2/100,9)</f>
        <v>0.47199999999999998</v>
      </c>
      <c r="J56" s="2">
        <v>0</v>
      </c>
      <c r="K56" s="2"/>
      <c r="L56" s="2"/>
      <c r="M56" s="2"/>
      <c r="N56" s="2"/>
      <c r="O56" s="2">
        <f t="shared" ref="O56:O87" si="56">ROUND(CP56,2)</f>
        <v>302.55</v>
      </c>
      <c r="P56" s="2">
        <f t="shared" ref="P56:P87" si="57">ROUND(CQ56*I56,2)</f>
        <v>0</v>
      </c>
      <c r="Q56" s="2">
        <f t="shared" ref="Q56:Q87" si="58">ROUND(CR56*I56,2)</f>
        <v>21.24</v>
      </c>
      <c r="R56" s="2">
        <f t="shared" ref="R56:R87" si="59">ROUND(CS56*I56,2)</f>
        <v>9.18</v>
      </c>
      <c r="S56" s="2">
        <f t="shared" ref="S56:S87" si="60">ROUND(CT56*I56,2)</f>
        <v>281.31</v>
      </c>
      <c r="T56" s="2">
        <f t="shared" ref="T56:T87" si="61">ROUND(CU56*I56,2)</f>
        <v>0</v>
      </c>
      <c r="U56" s="2">
        <f t="shared" ref="U56:U87" si="62">CV56*I56</f>
        <v>32.978639999999999</v>
      </c>
      <c r="V56" s="2">
        <f t="shared" ref="V56:V87" si="63">CW56*I56</f>
        <v>0.67967999999999995</v>
      </c>
      <c r="W56" s="2">
        <f t="shared" ref="W56:W87" si="64">ROUND(CX56*I56,2)</f>
        <v>0</v>
      </c>
      <c r="X56" s="2">
        <f t="shared" ref="X56:X87" si="65">ROUND(CY56,2)</f>
        <v>232.39</v>
      </c>
      <c r="Y56" s="2">
        <f t="shared" ref="Y56:Y87" si="66">ROUND(CZ56,2)</f>
        <v>197.53</v>
      </c>
      <c r="Z56" s="2"/>
      <c r="AA56" s="2">
        <v>16784195</v>
      </c>
      <c r="AB56" s="2">
        <f t="shared" ref="AB56:AB87" si="67">ROUND((AC56+AD56+AF56),2)</f>
        <v>641</v>
      </c>
      <c r="AC56" s="2">
        <f t="shared" si="52"/>
        <v>0</v>
      </c>
      <c r="AD56" s="2">
        <f t="shared" ref="AD56:AD61" si="68">ROUND((((ET56)-(EU56))+AE56),2)</f>
        <v>45.01</v>
      </c>
      <c r="AE56" s="2">
        <f>ROUND((EU56),2)</f>
        <v>19.440000000000001</v>
      </c>
      <c r="AF56" s="2">
        <f>ROUND((EV56),2)</f>
        <v>595.99</v>
      </c>
      <c r="AG56" s="2">
        <f t="shared" ref="AG56:AG87" si="69">ROUND((AP56),2)</f>
        <v>0</v>
      </c>
      <c r="AH56" s="2">
        <f>(EW56)</f>
        <v>69.87</v>
      </c>
      <c r="AI56" s="2">
        <f>(EX56)</f>
        <v>1.44</v>
      </c>
      <c r="AJ56" s="2">
        <f t="shared" ref="AJ56:AJ87" si="70">(AS56)</f>
        <v>0</v>
      </c>
      <c r="AK56" s="2">
        <v>641</v>
      </c>
      <c r="AL56" s="2">
        <v>0</v>
      </c>
      <c r="AM56" s="2">
        <v>45.01</v>
      </c>
      <c r="AN56" s="2">
        <v>19.440000000000001</v>
      </c>
      <c r="AO56" s="2">
        <v>595.99</v>
      </c>
      <c r="AP56" s="2">
        <v>0</v>
      </c>
      <c r="AQ56" s="2">
        <v>69.87</v>
      </c>
      <c r="AR56" s="2">
        <v>1.44</v>
      </c>
      <c r="AS56" s="2">
        <v>0</v>
      </c>
      <c r="AT56" s="2">
        <v>80</v>
      </c>
      <c r="AU56" s="2">
        <v>68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0</v>
      </c>
      <c r="BI56" s="2">
        <v>1</v>
      </c>
      <c r="BJ56" s="2" t="s">
        <v>108</v>
      </c>
      <c r="BK56" s="2"/>
      <c r="BL56" s="2"/>
      <c r="BM56" s="2">
        <v>57001</v>
      </c>
      <c r="BN56" s="2">
        <v>0</v>
      </c>
      <c r="BO56" s="2" t="s">
        <v>6</v>
      </c>
      <c r="BP56" s="2">
        <v>0</v>
      </c>
      <c r="BQ56" s="2">
        <v>6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80</v>
      </c>
      <c r="CA56" s="2">
        <v>68</v>
      </c>
      <c r="CB56" s="2"/>
      <c r="CC56" s="2"/>
      <c r="CD56" s="2"/>
      <c r="CE56" s="2">
        <v>0</v>
      </c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ref="CP56:CP87" si="71">(P56+Q56+S56)</f>
        <v>302.55</v>
      </c>
      <c r="CQ56" s="2">
        <f t="shared" ref="CQ56:CQ87" si="72">AC56*BC56</f>
        <v>0</v>
      </c>
      <c r="CR56" s="2">
        <f t="shared" ref="CR56:CR87" si="73">AD56*BB56</f>
        <v>45.01</v>
      </c>
      <c r="CS56" s="2">
        <f t="shared" ref="CS56:CS87" si="74">AE56*BS56</f>
        <v>19.440000000000001</v>
      </c>
      <c r="CT56" s="2">
        <f t="shared" ref="CT56:CT87" si="75">AF56*BA56</f>
        <v>595.99</v>
      </c>
      <c r="CU56" s="2">
        <f t="shared" ref="CU56:CU87" si="76">AG56</f>
        <v>0</v>
      </c>
      <c r="CV56" s="2">
        <f t="shared" ref="CV56:CV87" si="77">AH56</f>
        <v>69.87</v>
      </c>
      <c r="CW56" s="2">
        <f t="shared" ref="CW56:CW87" si="78">AI56</f>
        <v>1.44</v>
      </c>
      <c r="CX56" s="2">
        <f t="shared" ref="CX56:CX87" si="79">AJ56</f>
        <v>0</v>
      </c>
      <c r="CY56" s="2">
        <f t="shared" ref="CY56:CY87" si="80">(((S56+R56)*AT56)/100)</f>
        <v>232.392</v>
      </c>
      <c r="CZ56" s="2">
        <f t="shared" ref="CZ56:CZ87" si="81">(((S56+R56)*AU56)/100)</f>
        <v>197.53319999999999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1005</v>
      </c>
      <c r="DV56" s="2" t="s">
        <v>16</v>
      </c>
      <c r="DW56" s="2" t="s">
        <v>16</v>
      </c>
      <c r="DX56" s="2">
        <v>100</v>
      </c>
      <c r="DY56" s="2"/>
      <c r="DZ56" s="2"/>
      <c r="EA56" s="2"/>
      <c r="EB56" s="2"/>
      <c r="EC56" s="2"/>
      <c r="ED56" s="2"/>
      <c r="EE56" s="2">
        <v>16510566</v>
      </c>
      <c r="EF56" s="2">
        <v>6</v>
      </c>
      <c r="EG56" s="2" t="s">
        <v>90</v>
      </c>
      <c r="EH56" s="2">
        <v>0</v>
      </c>
      <c r="EI56" s="2" t="s">
        <v>6</v>
      </c>
      <c r="EJ56" s="2">
        <v>1</v>
      </c>
      <c r="EK56" s="2">
        <v>57001</v>
      </c>
      <c r="EL56" s="2" t="s">
        <v>109</v>
      </c>
      <c r="EM56" s="2" t="s">
        <v>110</v>
      </c>
      <c r="EN56" s="2"/>
      <c r="EO56" s="2" t="s">
        <v>6</v>
      </c>
      <c r="EP56" s="2"/>
      <c r="EQ56" s="2">
        <v>131072</v>
      </c>
      <c r="ER56" s="2">
        <v>641</v>
      </c>
      <c r="ES56" s="2">
        <v>0</v>
      </c>
      <c r="ET56" s="2">
        <v>45.01</v>
      </c>
      <c r="EU56" s="2">
        <v>19.440000000000001</v>
      </c>
      <c r="EV56" s="2">
        <v>595.99</v>
      </c>
      <c r="EW56" s="2">
        <v>69.87</v>
      </c>
      <c r="EX56" s="2">
        <v>1.44</v>
      </c>
      <c r="EY56" s="2">
        <v>0</v>
      </c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ref="FR56:FR87" si="82">ROUND(IF(AND(BH56=3,BI56=3),P56,0),2)</f>
        <v>0</v>
      </c>
      <c r="FS56" s="2">
        <v>0</v>
      </c>
      <c r="FT56" s="2"/>
      <c r="FU56" s="2"/>
      <c r="FV56" s="2"/>
      <c r="FW56" s="2"/>
      <c r="FX56" s="2">
        <v>80</v>
      </c>
      <c r="FY56" s="2">
        <v>68</v>
      </c>
      <c r="FZ56" s="2"/>
      <c r="GA56" s="2" t="s">
        <v>6</v>
      </c>
      <c r="GB56" s="2"/>
      <c r="GC56" s="2"/>
      <c r="GD56" s="2">
        <v>0</v>
      </c>
      <c r="GE56" s="2"/>
      <c r="GF56" s="2">
        <v>-1405612292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ref="GL56:GL87" si="83">ROUND(IF(AND(BH56=3,BI56=3,FS56&lt;&gt;0),P56,0),2)</f>
        <v>0</v>
      </c>
      <c r="GM56" s="2">
        <f t="shared" ref="GM56:GM87" si="84">ROUND(O56+X56+Y56+GK56,2)+GX56</f>
        <v>732.47</v>
      </c>
      <c r="GN56" s="2">
        <f t="shared" ref="GN56:GN87" si="85">IF(OR(BI56=0,BI56=1),ROUND(O56+X56+Y56+GK56,2),0)</f>
        <v>732.47</v>
      </c>
      <c r="GO56" s="2">
        <f t="shared" ref="GO56:GO87" si="86">IF(BI56=2,ROUND(O56+X56+Y56+GK56,2),0)</f>
        <v>0</v>
      </c>
      <c r="GP56" s="2">
        <f t="shared" ref="GP56:GP87" si="87">IF(BI56=4,ROUND(O56+X56+Y56+GK56,2)+GX56,0)</f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ref="GV56:GV87" si="88">ROUND((GT56),2)</f>
        <v>0</v>
      </c>
      <c r="GW56" s="2">
        <v>1</v>
      </c>
      <c r="GX56" s="2">
        <f t="shared" ref="GX56:GX87" si="89">ROUND(HC56*I56,2)</f>
        <v>0</v>
      </c>
      <c r="GY56" s="2"/>
      <c r="GZ56" s="2"/>
      <c r="HA56" s="2">
        <v>0</v>
      </c>
      <c r="HB56" s="2">
        <v>0</v>
      </c>
      <c r="HC56" s="2">
        <f t="shared" ref="HC56:HC87" si="90">GV56*GW56</f>
        <v>0</v>
      </c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17</v>
      </c>
      <c r="B57">
        <v>1</v>
      </c>
      <c r="C57">
        <f>ROW(SmtRes!A132)</f>
        <v>132</v>
      </c>
      <c r="D57">
        <f>ROW(EtalonRes!A136)</f>
        <v>136</v>
      </c>
      <c r="E57" t="s">
        <v>105</v>
      </c>
      <c r="F57" t="s">
        <v>106</v>
      </c>
      <c r="G57" t="s">
        <v>107</v>
      </c>
      <c r="H57" t="s">
        <v>16</v>
      </c>
      <c r="I57">
        <f>ROUND(47.2/100,9)</f>
        <v>0.47199999999999998</v>
      </c>
      <c r="J57">
        <v>0</v>
      </c>
      <c r="O57">
        <f t="shared" si="56"/>
        <v>1848.6</v>
      </c>
      <c r="P57">
        <f t="shared" si="57"/>
        <v>0</v>
      </c>
      <c r="Q57">
        <f t="shared" si="58"/>
        <v>129.81</v>
      </c>
      <c r="R57">
        <f t="shared" si="59"/>
        <v>56.06</v>
      </c>
      <c r="S57">
        <f t="shared" si="60"/>
        <v>1718.79</v>
      </c>
      <c r="T57">
        <f t="shared" si="61"/>
        <v>0</v>
      </c>
      <c r="U57">
        <f t="shared" si="62"/>
        <v>32.978639999999999</v>
      </c>
      <c r="V57">
        <f t="shared" si="63"/>
        <v>0.67967999999999995</v>
      </c>
      <c r="W57">
        <f t="shared" si="64"/>
        <v>0</v>
      </c>
      <c r="X57">
        <f t="shared" si="65"/>
        <v>1419.88</v>
      </c>
      <c r="Y57">
        <f t="shared" si="66"/>
        <v>1206.9000000000001</v>
      </c>
      <c r="AA57">
        <v>16784196</v>
      </c>
      <c r="AB57">
        <f t="shared" si="67"/>
        <v>641</v>
      </c>
      <c r="AC57">
        <f t="shared" si="52"/>
        <v>0</v>
      </c>
      <c r="AD57">
        <f t="shared" si="68"/>
        <v>45.01</v>
      </c>
      <c r="AE57">
        <f>ROUND((EU57),2)</f>
        <v>19.440000000000001</v>
      </c>
      <c r="AF57">
        <f>ROUND((EV57),2)</f>
        <v>595.99</v>
      </c>
      <c r="AG57">
        <f t="shared" si="69"/>
        <v>0</v>
      </c>
      <c r="AH57">
        <f>(EW57)</f>
        <v>69.87</v>
      </c>
      <c r="AI57">
        <f>(EX57)</f>
        <v>1.44</v>
      </c>
      <c r="AJ57">
        <f t="shared" si="70"/>
        <v>0</v>
      </c>
      <c r="AK57">
        <v>641</v>
      </c>
      <c r="AL57">
        <v>0</v>
      </c>
      <c r="AM57">
        <v>45.01</v>
      </c>
      <c r="AN57">
        <v>19.440000000000001</v>
      </c>
      <c r="AO57">
        <v>595.99</v>
      </c>
      <c r="AP57">
        <v>0</v>
      </c>
      <c r="AQ57">
        <v>69.87</v>
      </c>
      <c r="AR57">
        <v>1.44</v>
      </c>
      <c r="AS57">
        <v>0</v>
      </c>
      <c r="AT57">
        <v>80</v>
      </c>
      <c r="AU57">
        <v>68</v>
      </c>
      <c r="AV57">
        <v>1</v>
      </c>
      <c r="AW57">
        <v>1</v>
      </c>
      <c r="AZ57">
        <v>6.11</v>
      </c>
      <c r="BA57">
        <v>6.11</v>
      </c>
      <c r="BB57">
        <v>6.11</v>
      </c>
      <c r="BC57">
        <v>6.11</v>
      </c>
      <c r="BD57" t="s">
        <v>6</v>
      </c>
      <c r="BE57" t="s">
        <v>6</v>
      </c>
      <c r="BF57" t="s">
        <v>6</v>
      </c>
      <c r="BG57" t="s">
        <v>6</v>
      </c>
      <c r="BH57">
        <v>0</v>
      </c>
      <c r="BI57">
        <v>1</v>
      </c>
      <c r="BJ57" t="s">
        <v>108</v>
      </c>
      <c r="BM57">
        <v>57001</v>
      </c>
      <c r="BN57">
        <v>0</v>
      </c>
      <c r="BO57" t="s">
        <v>6</v>
      </c>
      <c r="BP57">
        <v>0</v>
      </c>
      <c r="BQ57">
        <v>6</v>
      </c>
      <c r="BR57">
        <v>0</v>
      </c>
      <c r="BS57">
        <v>6.11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80</v>
      </c>
      <c r="CA57">
        <v>68</v>
      </c>
      <c r="CE57">
        <v>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71"/>
        <v>1848.6</v>
      </c>
      <c r="CQ57">
        <f t="shared" si="72"/>
        <v>0</v>
      </c>
      <c r="CR57">
        <f t="shared" si="73"/>
        <v>275.0111</v>
      </c>
      <c r="CS57">
        <f t="shared" si="74"/>
        <v>118.77840000000002</v>
      </c>
      <c r="CT57">
        <f t="shared" si="75"/>
        <v>3641.4989</v>
      </c>
      <c r="CU57">
        <f t="shared" si="76"/>
        <v>0</v>
      </c>
      <c r="CV57">
        <f t="shared" si="77"/>
        <v>69.87</v>
      </c>
      <c r="CW57">
        <f t="shared" si="78"/>
        <v>1.44</v>
      </c>
      <c r="CX57">
        <f t="shared" si="79"/>
        <v>0</v>
      </c>
      <c r="CY57">
        <f t="shared" si="80"/>
        <v>1419.88</v>
      </c>
      <c r="CZ57">
        <f t="shared" si="81"/>
        <v>1206.8979999999999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1005</v>
      </c>
      <c r="DV57" t="s">
        <v>16</v>
      </c>
      <c r="DW57" t="s">
        <v>16</v>
      </c>
      <c r="DX57">
        <v>100</v>
      </c>
      <c r="EE57">
        <v>16510566</v>
      </c>
      <c r="EF57">
        <v>6</v>
      </c>
      <c r="EG57" t="s">
        <v>90</v>
      </c>
      <c r="EH57">
        <v>0</v>
      </c>
      <c r="EI57" t="s">
        <v>6</v>
      </c>
      <c r="EJ57">
        <v>1</v>
      </c>
      <c r="EK57">
        <v>57001</v>
      </c>
      <c r="EL57" t="s">
        <v>109</v>
      </c>
      <c r="EM57" t="s">
        <v>110</v>
      </c>
      <c r="EO57" t="s">
        <v>6</v>
      </c>
      <c r="EQ57">
        <v>131072</v>
      </c>
      <c r="ER57">
        <v>641</v>
      </c>
      <c r="ES57">
        <v>0</v>
      </c>
      <c r="ET57">
        <v>45.01</v>
      </c>
      <c r="EU57">
        <v>19.440000000000001</v>
      </c>
      <c r="EV57">
        <v>595.99</v>
      </c>
      <c r="EW57">
        <v>69.87</v>
      </c>
      <c r="EX57">
        <v>1.44</v>
      </c>
      <c r="EY57">
        <v>0</v>
      </c>
      <c r="FQ57">
        <v>0</v>
      </c>
      <c r="FR57">
        <f t="shared" si="82"/>
        <v>0</v>
      </c>
      <c r="FS57">
        <v>0</v>
      </c>
      <c r="FX57">
        <v>80</v>
      </c>
      <c r="FY57">
        <v>68</v>
      </c>
      <c r="GA57" t="s">
        <v>6</v>
      </c>
      <c r="GD57">
        <v>0</v>
      </c>
      <c r="GF57">
        <v>-1405612292</v>
      </c>
      <c r="GG57">
        <v>1</v>
      </c>
      <c r="GH57">
        <v>1</v>
      </c>
      <c r="GI57">
        <v>4</v>
      </c>
      <c r="GJ57">
        <v>0</v>
      </c>
      <c r="GK57">
        <f>ROUND(R57*(S12)/100,2)</f>
        <v>0</v>
      </c>
      <c r="GL57">
        <f t="shared" si="83"/>
        <v>0</v>
      </c>
      <c r="GM57">
        <f t="shared" si="84"/>
        <v>4475.38</v>
      </c>
      <c r="GN57">
        <f t="shared" si="85"/>
        <v>4475.38</v>
      </c>
      <c r="GO57">
        <f t="shared" si="86"/>
        <v>0</v>
      </c>
      <c r="GP57">
        <f t="shared" si="87"/>
        <v>0</v>
      </c>
      <c r="GR57">
        <v>0</v>
      </c>
      <c r="GS57">
        <v>3</v>
      </c>
      <c r="GT57">
        <v>0</v>
      </c>
      <c r="GU57" t="s">
        <v>6</v>
      </c>
      <c r="GV57">
        <f t="shared" si="88"/>
        <v>0</v>
      </c>
      <c r="GW57">
        <v>1</v>
      </c>
      <c r="GX57">
        <f t="shared" si="89"/>
        <v>0</v>
      </c>
      <c r="HA57">
        <v>0</v>
      </c>
      <c r="HB57">
        <v>0</v>
      </c>
      <c r="HC57">
        <f t="shared" si="90"/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ROW(SmtRes!A135)</f>
        <v>135</v>
      </c>
      <c r="D58" s="2">
        <f>ROW(EtalonRes!A140)</f>
        <v>140</v>
      </c>
      <c r="E58" s="2" t="s">
        <v>111</v>
      </c>
      <c r="F58" s="2" t="s">
        <v>112</v>
      </c>
      <c r="G58" s="2" t="s">
        <v>113</v>
      </c>
      <c r="H58" s="2" t="s">
        <v>16</v>
      </c>
      <c r="I58" s="2">
        <f>ROUND(47.2/100,9)</f>
        <v>0.47199999999999998</v>
      </c>
      <c r="J58" s="2">
        <v>0</v>
      </c>
      <c r="K58" s="2"/>
      <c r="L58" s="2"/>
      <c r="M58" s="2"/>
      <c r="N58" s="2"/>
      <c r="O58" s="2">
        <f t="shared" si="56"/>
        <v>152.18</v>
      </c>
      <c r="P58" s="2">
        <f t="shared" si="57"/>
        <v>0</v>
      </c>
      <c r="Q58" s="2">
        <f t="shared" si="58"/>
        <v>1.92</v>
      </c>
      <c r="R58" s="2">
        <f t="shared" si="59"/>
        <v>0.83</v>
      </c>
      <c r="S58" s="2">
        <f t="shared" si="60"/>
        <v>150.26</v>
      </c>
      <c r="T58" s="2">
        <f t="shared" si="61"/>
        <v>0</v>
      </c>
      <c r="U58" s="2">
        <f t="shared" si="62"/>
        <v>19.263971999999999</v>
      </c>
      <c r="V58" s="2">
        <f t="shared" si="63"/>
        <v>6.1359999999999998E-2</v>
      </c>
      <c r="W58" s="2">
        <f t="shared" si="64"/>
        <v>0</v>
      </c>
      <c r="X58" s="2">
        <f t="shared" si="65"/>
        <v>120.87</v>
      </c>
      <c r="Y58" s="2">
        <f t="shared" si="66"/>
        <v>102.74</v>
      </c>
      <c r="Z58" s="2"/>
      <c r="AA58" s="2">
        <v>16784195</v>
      </c>
      <c r="AB58" s="2">
        <f t="shared" si="67"/>
        <v>322.39999999999998</v>
      </c>
      <c r="AC58" s="2">
        <f t="shared" si="52"/>
        <v>0</v>
      </c>
      <c r="AD58" s="2">
        <f t="shared" si="68"/>
        <v>4.0599999999999996</v>
      </c>
      <c r="AE58" s="2">
        <f>ROUND((EU58),2)</f>
        <v>1.76</v>
      </c>
      <c r="AF58" s="2">
        <f t="shared" ref="AF58:AF63" si="91">ROUND(((EV58*1.15)),2)</f>
        <v>318.33999999999997</v>
      </c>
      <c r="AG58" s="2">
        <f t="shared" si="69"/>
        <v>0</v>
      </c>
      <c r="AH58" s="2">
        <f t="shared" ref="AH58:AH63" si="92">((EW58*1.15))</f>
        <v>40.813499999999998</v>
      </c>
      <c r="AI58" s="2">
        <f>(EX58)</f>
        <v>0.13</v>
      </c>
      <c r="AJ58" s="2">
        <f t="shared" si="70"/>
        <v>0</v>
      </c>
      <c r="AK58" s="2">
        <v>280.88</v>
      </c>
      <c r="AL58" s="2">
        <v>0</v>
      </c>
      <c r="AM58" s="2">
        <v>4.0599999999999996</v>
      </c>
      <c r="AN58" s="2">
        <v>1.76</v>
      </c>
      <c r="AO58" s="2">
        <v>276.82</v>
      </c>
      <c r="AP58" s="2">
        <v>0</v>
      </c>
      <c r="AQ58" s="2">
        <v>35.49</v>
      </c>
      <c r="AR58" s="2">
        <v>0.13</v>
      </c>
      <c r="AS58" s="2">
        <v>0</v>
      </c>
      <c r="AT58" s="2">
        <v>80</v>
      </c>
      <c r="AU58" s="2">
        <v>68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0</v>
      </c>
      <c r="BI58" s="2">
        <v>1</v>
      </c>
      <c r="BJ58" s="2" t="s">
        <v>114</v>
      </c>
      <c r="BK58" s="2"/>
      <c r="BL58" s="2"/>
      <c r="BM58" s="2">
        <v>57001</v>
      </c>
      <c r="BN58" s="2">
        <v>0</v>
      </c>
      <c r="BO58" s="2" t="s">
        <v>6</v>
      </c>
      <c r="BP58" s="2">
        <v>0</v>
      </c>
      <c r="BQ58" s="2">
        <v>6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80</v>
      </c>
      <c r="CA58" s="2">
        <v>68</v>
      </c>
      <c r="CB58" s="2"/>
      <c r="CC58" s="2"/>
      <c r="CD58" s="2"/>
      <c r="CE58" s="2">
        <v>0</v>
      </c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825</v>
      </c>
      <c r="CO58" s="2">
        <v>0</v>
      </c>
      <c r="CP58" s="2">
        <f t="shared" si="71"/>
        <v>152.17999999999998</v>
      </c>
      <c r="CQ58" s="2">
        <f t="shared" si="72"/>
        <v>0</v>
      </c>
      <c r="CR58" s="2">
        <f t="shared" si="73"/>
        <v>4.0599999999999996</v>
      </c>
      <c r="CS58" s="2">
        <f t="shared" si="74"/>
        <v>1.76</v>
      </c>
      <c r="CT58" s="2">
        <f t="shared" si="75"/>
        <v>318.33999999999997</v>
      </c>
      <c r="CU58" s="2">
        <f t="shared" si="76"/>
        <v>0</v>
      </c>
      <c r="CV58" s="2">
        <f t="shared" si="77"/>
        <v>40.813499999999998</v>
      </c>
      <c r="CW58" s="2">
        <f t="shared" si="78"/>
        <v>0.13</v>
      </c>
      <c r="CX58" s="2">
        <f t="shared" si="79"/>
        <v>0</v>
      </c>
      <c r="CY58" s="2">
        <f t="shared" si="80"/>
        <v>120.87200000000001</v>
      </c>
      <c r="CZ58" s="2">
        <f t="shared" si="81"/>
        <v>102.74120000000001</v>
      </c>
      <c r="DA58" s="2"/>
      <c r="DB58" s="2"/>
      <c r="DC58" s="2" t="s">
        <v>6</v>
      </c>
      <c r="DD58" s="2" t="s">
        <v>6</v>
      </c>
      <c r="DE58" s="2" t="s">
        <v>6</v>
      </c>
      <c r="DF58" s="2" t="s">
        <v>6</v>
      </c>
      <c r="DG58" s="2" t="s">
        <v>28</v>
      </c>
      <c r="DH58" s="2" t="s">
        <v>6</v>
      </c>
      <c r="DI58" s="2" t="s">
        <v>28</v>
      </c>
      <c r="DJ58" s="2" t="s">
        <v>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1005</v>
      </c>
      <c r="DV58" s="2" t="s">
        <v>16</v>
      </c>
      <c r="DW58" s="2" t="s">
        <v>16</v>
      </c>
      <c r="DX58" s="2">
        <v>100</v>
      </c>
      <c r="DY58" s="2"/>
      <c r="DZ58" s="2"/>
      <c r="EA58" s="2"/>
      <c r="EB58" s="2"/>
      <c r="EC58" s="2"/>
      <c r="ED58" s="2"/>
      <c r="EE58" s="2">
        <v>16510566</v>
      </c>
      <c r="EF58" s="2">
        <v>6</v>
      </c>
      <c r="EG58" s="2" t="s">
        <v>90</v>
      </c>
      <c r="EH58" s="2">
        <v>0</v>
      </c>
      <c r="EI58" s="2" t="s">
        <v>6</v>
      </c>
      <c r="EJ58" s="2">
        <v>1</v>
      </c>
      <c r="EK58" s="2">
        <v>57001</v>
      </c>
      <c r="EL58" s="2" t="s">
        <v>109</v>
      </c>
      <c r="EM58" s="2" t="s">
        <v>110</v>
      </c>
      <c r="EN58" s="2"/>
      <c r="EO58" s="2" t="s">
        <v>115</v>
      </c>
      <c r="EP58" s="2"/>
      <c r="EQ58" s="2">
        <v>0</v>
      </c>
      <c r="ER58" s="2">
        <v>280.88</v>
      </c>
      <c r="ES58" s="2">
        <v>0</v>
      </c>
      <c r="ET58" s="2">
        <v>4.0599999999999996</v>
      </c>
      <c r="EU58" s="2">
        <v>1.76</v>
      </c>
      <c r="EV58" s="2">
        <v>276.82</v>
      </c>
      <c r="EW58" s="2">
        <v>35.49</v>
      </c>
      <c r="EX58" s="2">
        <v>0.13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82"/>
        <v>0</v>
      </c>
      <c r="FS58" s="2">
        <v>0</v>
      </c>
      <c r="FT58" s="2"/>
      <c r="FU58" s="2"/>
      <c r="FV58" s="2"/>
      <c r="FW58" s="2"/>
      <c r="FX58" s="2">
        <v>80</v>
      </c>
      <c r="FY58" s="2">
        <v>68</v>
      </c>
      <c r="FZ58" s="2"/>
      <c r="GA58" s="2" t="s">
        <v>6</v>
      </c>
      <c r="GB58" s="2"/>
      <c r="GC58" s="2"/>
      <c r="GD58" s="2">
        <v>0</v>
      </c>
      <c r="GE58" s="2"/>
      <c r="GF58" s="2">
        <v>1273045449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83"/>
        <v>0</v>
      </c>
      <c r="GM58" s="2">
        <f t="shared" si="84"/>
        <v>375.79</v>
      </c>
      <c r="GN58" s="2">
        <f t="shared" si="85"/>
        <v>375.79</v>
      </c>
      <c r="GO58" s="2">
        <f t="shared" si="86"/>
        <v>0</v>
      </c>
      <c r="GP58" s="2">
        <f t="shared" si="87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88"/>
        <v>0</v>
      </c>
      <c r="GW58" s="2">
        <v>1</v>
      </c>
      <c r="GX58" s="2">
        <f t="shared" si="89"/>
        <v>0</v>
      </c>
      <c r="GY58" s="2"/>
      <c r="GZ58" s="2"/>
      <c r="HA58" s="2">
        <v>0</v>
      </c>
      <c r="HB58" s="2">
        <v>0</v>
      </c>
      <c r="HC58" s="2">
        <f t="shared" si="90"/>
        <v>0</v>
      </c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ROW(SmtRes!A138)</f>
        <v>138</v>
      </c>
      <c r="D59">
        <f>ROW(EtalonRes!A144)</f>
        <v>144</v>
      </c>
      <c r="E59" t="s">
        <v>111</v>
      </c>
      <c r="F59" t="s">
        <v>112</v>
      </c>
      <c r="G59" t="s">
        <v>113</v>
      </c>
      <c r="H59" t="s">
        <v>16</v>
      </c>
      <c r="I59">
        <f>ROUND(47.2/100,9)</f>
        <v>0.47199999999999998</v>
      </c>
      <c r="J59">
        <v>0</v>
      </c>
      <c r="O59">
        <f t="shared" si="56"/>
        <v>929.78</v>
      </c>
      <c r="P59">
        <f t="shared" si="57"/>
        <v>0</v>
      </c>
      <c r="Q59">
        <f t="shared" si="58"/>
        <v>11.71</v>
      </c>
      <c r="R59">
        <f t="shared" si="59"/>
        <v>5.08</v>
      </c>
      <c r="S59">
        <f t="shared" si="60"/>
        <v>918.07</v>
      </c>
      <c r="T59">
        <f t="shared" si="61"/>
        <v>0</v>
      </c>
      <c r="U59">
        <f t="shared" si="62"/>
        <v>19.263971999999999</v>
      </c>
      <c r="V59">
        <f t="shared" si="63"/>
        <v>6.1359999999999998E-2</v>
      </c>
      <c r="W59">
        <f t="shared" si="64"/>
        <v>0</v>
      </c>
      <c r="X59">
        <f t="shared" si="65"/>
        <v>738.52</v>
      </c>
      <c r="Y59">
        <f t="shared" si="66"/>
        <v>627.74</v>
      </c>
      <c r="AA59">
        <v>16784196</v>
      </c>
      <c r="AB59">
        <f t="shared" si="67"/>
        <v>322.39999999999998</v>
      </c>
      <c r="AC59">
        <f t="shared" si="52"/>
        <v>0</v>
      </c>
      <c r="AD59">
        <f t="shared" si="68"/>
        <v>4.0599999999999996</v>
      </c>
      <c r="AE59">
        <f>ROUND((EU59),2)</f>
        <v>1.76</v>
      </c>
      <c r="AF59">
        <f t="shared" si="91"/>
        <v>318.33999999999997</v>
      </c>
      <c r="AG59">
        <f t="shared" si="69"/>
        <v>0</v>
      </c>
      <c r="AH59">
        <f t="shared" si="92"/>
        <v>40.813499999999998</v>
      </c>
      <c r="AI59">
        <f>(EX59)</f>
        <v>0.13</v>
      </c>
      <c r="AJ59">
        <f t="shared" si="70"/>
        <v>0</v>
      </c>
      <c r="AK59">
        <v>280.88</v>
      </c>
      <c r="AL59">
        <v>0</v>
      </c>
      <c r="AM59">
        <v>4.0599999999999996</v>
      </c>
      <c r="AN59">
        <v>1.76</v>
      </c>
      <c r="AO59">
        <v>276.82</v>
      </c>
      <c r="AP59">
        <v>0</v>
      </c>
      <c r="AQ59">
        <v>35.49</v>
      </c>
      <c r="AR59">
        <v>0.13</v>
      </c>
      <c r="AS59">
        <v>0</v>
      </c>
      <c r="AT59">
        <v>80</v>
      </c>
      <c r="AU59">
        <v>68</v>
      </c>
      <c r="AV59">
        <v>1</v>
      </c>
      <c r="AW59">
        <v>1</v>
      </c>
      <c r="AZ59">
        <v>6.11</v>
      </c>
      <c r="BA59">
        <v>6.11</v>
      </c>
      <c r="BB59">
        <v>6.11</v>
      </c>
      <c r="BC59">
        <v>6.11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1</v>
      </c>
      <c r="BJ59" t="s">
        <v>114</v>
      </c>
      <c r="BM59">
        <v>57001</v>
      </c>
      <c r="BN59">
        <v>0</v>
      </c>
      <c r="BO59" t="s">
        <v>6</v>
      </c>
      <c r="BP59">
        <v>0</v>
      </c>
      <c r="BQ59">
        <v>6</v>
      </c>
      <c r="BR59">
        <v>0</v>
      </c>
      <c r="BS59">
        <v>6.11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80</v>
      </c>
      <c r="CA59">
        <v>68</v>
      </c>
      <c r="CE59">
        <v>0</v>
      </c>
      <c r="CF59">
        <v>0</v>
      </c>
      <c r="CG59">
        <v>0</v>
      </c>
      <c r="CM59">
        <v>0</v>
      </c>
      <c r="CN59" t="s">
        <v>825</v>
      </c>
      <c r="CO59">
        <v>0</v>
      </c>
      <c r="CP59">
        <f t="shared" si="71"/>
        <v>929.78000000000009</v>
      </c>
      <c r="CQ59">
        <f t="shared" si="72"/>
        <v>0</v>
      </c>
      <c r="CR59">
        <f t="shared" si="73"/>
        <v>24.8066</v>
      </c>
      <c r="CS59">
        <f t="shared" si="74"/>
        <v>10.7536</v>
      </c>
      <c r="CT59">
        <f t="shared" si="75"/>
        <v>1945.0573999999999</v>
      </c>
      <c r="CU59">
        <f t="shared" si="76"/>
        <v>0</v>
      </c>
      <c r="CV59">
        <f t="shared" si="77"/>
        <v>40.813499999999998</v>
      </c>
      <c r="CW59">
        <f t="shared" si="78"/>
        <v>0.13</v>
      </c>
      <c r="CX59">
        <f t="shared" si="79"/>
        <v>0</v>
      </c>
      <c r="CY59">
        <f t="shared" si="80"/>
        <v>738.52</v>
      </c>
      <c r="CZ59">
        <f t="shared" si="81"/>
        <v>627.74200000000008</v>
      </c>
      <c r="DC59" t="s">
        <v>6</v>
      </c>
      <c r="DD59" t="s">
        <v>6</v>
      </c>
      <c r="DE59" t="s">
        <v>6</v>
      </c>
      <c r="DF59" t="s">
        <v>6</v>
      </c>
      <c r="DG59" t="s">
        <v>28</v>
      </c>
      <c r="DH59" t="s">
        <v>6</v>
      </c>
      <c r="DI59" t="s">
        <v>28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16</v>
      </c>
      <c r="DW59" t="s">
        <v>16</v>
      </c>
      <c r="DX59">
        <v>100</v>
      </c>
      <c r="EE59">
        <v>16510566</v>
      </c>
      <c r="EF59">
        <v>6</v>
      </c>
      <c r="EG59" t="s">
        <v>90</v>
      </c>
      <c r="EH59">
        <v>0</v>
      </c>
      <c r="EI59" t="s">
        <v>6</v>
      </c>
      <c r="EJ59">
        <v>1</v>
      </c>
      <c r="EK59">
        <v>57001</v>
      </c>
      <c r="EL59" t="s">
        <v>109</v>
      </c>
      <c r="EM59" t="s">
        <v>110</v>
      </c>
      <c r="EO59" t="s">
        <v>115</v>
      </c>
      <c r="EQ59">
        <v>0</v>
      </c>
      <c r="ER59">
        <v>280.88</v>
      </c>
      <c r="ES59">
        <v>0</v>
      </c>
      <c r="ET59">
        <v>4.0599999999999996</v>
      </c>
      <c r="EU59">
        <v>1.76</v>
      </c>
      <c r="EV59">
        <v>276.82</v>
      </c>
      <c r="EW59">
        <v>35.49</v>
      </c>
      <c r="EX59">
        <v>0.13</v>
      </c>
      <c r="EY59">
        <v>0</v>
      </c>
      <c r="FQ59">
        <v>0</v>
      </c>
      <c r="FR59">
        <f t="shared" si="82"/>
        <v>0</v>
      </c>
      <c r="FS59">
        <v>0</v>
      </c>
      <c r="FX59">
        <v>80</v>
      </c>
      <c r="FY59">
        <v>68</v>
      </c>
      <c r="GA59" t="s">
        <v>6</v>
      </c>
      <c r="GD59">
        <v>0</v>
      </c>
      <c r="GF59">
        <v>1273045449</v>
      </c>
      <c r="GG59">
        <v>1</v>
      </c>
      <c r="GH59">
        <v>1</v>
      </c>
      <c r="GI59">
        <v>4</v>
      </c>
      <c r="GJ59">
        <v>0</v>
      </c>
      <c r="GK59">
        <f>ROUND(R59*(S12)/100,2)</f>
        <v>0</v>
      </c>
      <c r="GL59">
        <f t="shared" si="83"/>
        <v>0</v>
      </c>
      <c r="GM59">
        <f t="shared" si="84"/>
        <v>2296.04</v>
      </c>
      <c r="GN59">
        <f t="shared" si="85"/>
        <v>2296.04</v>
      </c>
      <c r="GO59">
        <f t="shared" si="86"/>
        <v>0</v>
      </c>
      <c r="GP59">
        <f t="shared" si="87"/>
        <v>0</v>
      </c>
      <c r="GR59">
        <v>0</v>
      </c>
      <c r="GS59">
        <v>3</v>
      </c>
      <c r="GT59">
        <v>0</v>
      </c>
      <c r="GU59" t="s">
        <v>6</v>
      </c>
      <c r="GV59">
        <f t="shared" si="88"/>
        <v>0</v>
      </c>
      <c r="GW59">
        <v>1</v>
      </c>
      <c r="GX59">
        <f t="shared" si="89"/>
        <v>0</v>
      </c>
      <c r="HA59">
        <v>0</v>
      </c>
      <c r="HB59">
        <v>0</v>
      </c>
      <c r="HC59">
        <f t="shared" si="90"/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ROW(SmtRes!A139)</f>
        <v>139</v>
      </c>
      <c r="D60" s="2">
        <f>ROW(EtalonRes!A146)</f>
        <v>146</v>
      </c>
      <c r="E60" s="2" t="s">
        <v>116</v>
      </c>
      <c r="F60" s="2" t="s">
        <v>117</v>
      </c>
      <c r="G60" s="2" t="s">
        <v>118</v>
      </c>
      <c r="H60" s="2" t="s">
        <v>40</v>
      </c>
      <c r="I60" s="2">
        <f>ROUND(24.5/100,9)</f>
        <v>0.245</v>
      </c>
      <c r="J60" s="2">
        <v>0</v>
      </c>
      <c r="K60" s="2"/>
      <c r="L60" s="2"/>
      <c r="M60" s="2"/>
      <c r="N60" s="2"/>
      <c r="O60" s="2">
        <f t="shared" si="56"/>
        <v>31.38</v>
      </c>
      <c r="P60" s="2">
        <f t="shared" si="57"/>
        <v>0</v>
      </c>
      <c r="Q60" s="2">
        <f t="shared" si="58"/>
        <v>0</v>
      </c>
      <c r="R60" s="2">
        <f t="shared" si="59"/>
        <v>0</v>
      </c>
      <c r="S60" s="2">
        <f t="shared" si="60"/>
        <v>31.38</v>
      </c>
      <c r="T60" s="2">
        <f t="shared" si="61"/>
        <v>0</v>
      </c>
      <c r="U60" s="2">
        <f t="shared" si="62"/>
        <v>4.0233899999999991</v>
      </c>
      <c r="V60" s="2">
        <f t="shared" si="63"/>
        <v>0</v>
      </c>
      <c r="W60" s="2">
        <f t="shared" si="64"/>
        <v>0</v>
      </c>
      <c r="X60" s="2">
        <f t="shared" si="65"/>
        <v>25.1</v>
      </c>
      <c r="Y60" s="2">
        <f t="shared" si="66"/>
        <v>21.34</v>
      </c>
      <c r="Z60" s="2"/>
      <c r="AA60" s="2">
        <v>16784195</v>
      </c>
      <c r="AB60" s="2">
        <f t="shared" si="67"/>
        <v>128.09</v>
      </c>
      <c r="AC60" s="2">
        <f t="shared" si="52"/>
        <v>0</v>
      </c>
      <c r="AD60" s="2">
        <f t="shared" si="68"/>
        <v>0</v>
      </c>
      <c r="AE60" s="2">
        <f>ROUND((EU60),2)</f>
        <v>0</v>
      </c>
      <c r="AF60" s="2">
        <f t="shared" si="91"/>
        <v>128.09</v>
      </c>
      <c r="AG60" s="2">
        <f t="shared" si="69"/>
        <v>0</v>
      </c>
      <c r="AH60" s="2">
        <f t="shared" si="92"/>
        <v>16.421999999999997</v>
      </c>
      <c r="AI60" s="2">
        <f>(EX60)</f>
        <v>0</v>
      </c>
      <c r="AJ60" s="2">
        <f t="shared" si="70"/>
        <v>0</v>
      </c>
      <c r="AK60" s="2">
        <v>111.38</v>
      </c>
      <c r="AL60" s="2">
        <v>0</v>
      </c>
      <c r="AM60" s="2">
        <v>0</v>
      </c>
      <c r="AN60" s="2">
        <v>0</v>
      </c>
      <c r="AO60" s="2">
        <v>111.38</v>
      </c>
      <c r="AP60" s="2">
        <v>0</v>
      </c>
      <c r="AQ60" s="2">
        <v>14.28</v>
      </c>
      <c r="AR60" s="2">
        <v>0</v>
      </c>
      <c r="AS60" s="2">
        <v>0</v>
      </c>
      <c r="AT60" s="2">
        <v>80</v>
      </c>
      <c r="AU60" s="2">
        <v>68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0</v>
      </c>
      <c r="BI60" s="2">
        <v>1</v>
      </c>
      <c r="BJ60" s="2" t="s">
        <v>119</v>
      </c>
      <c r="BK60" s="2"/>
      <c r="BL60" s="2"/>
      <c r="BM60" s="2">
        <v>57001</v>
      </c>
      <c r="BN60" s="2">
        <v>0</v>
      </c>
      <c r="BO60" s="2" t="s">
        <v>6</v>
      </c>
      <c r="BP60" s="2">
        <v>0</v>
      </c>
      <c r="BQ60" s="2">
        <v>6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80</v>
      </c>
      <c r="CA60" s="2">
        <v>68</v>
      </c>
      <c r="CB60" s="2"/>
      <c r="CC60" s="2"/>
      <c r="CD60" s="2"/>
      <c r="CE60" s="2">
        <v>0</v>
      </c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825</v>
      </c>
      <c r="CO60" s="2">
        <v>0</v>
      </c>
      <c r="CP60" s="2">
        <f t="shared" si="71"/>
        <v>31.38</v>
      </c>
      <c r="CQ60" s="2">
        <f t="shared" si="72"/>
        <v>0</v>
      </c>
      <c r="CR60" s="2">
        <f t="shared" si="73"/>
        <v>0</v>
      </c>
      <c r="CS60" s="2">
        <f t="shared" si="74"/>
        <v>0</v>
      </c>
      <c r="CT60" s="2">
        <f t="shared" si="75"/>
        <v>128.09</v>
      </c>
      <c r="CU60" s="2">
        <f t="shared" si="76"/>
        <v>0</v>
      </c>
      <c r="CV60" s="2">
        <f t="shared" si="77"/>
        <v>16.421999999999997</v>
      </c>
      <c r="CW60" s="2">
        <f t="shared" si="78"/>
        <v>0</v>
      </c>
      <c r="CX60" s="2">
        <f t="shared" si="79"/>
        <v>0</v>
      </c>
      <c r="CY60" s="2">
        <f t="shared" si="80"/>
        <v>25.103999999999999</v>
      </c>
      <c r="CZ60" s="2">
        <f t="shared" si="81"/>
        <v>21.3384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28</v>
      </c>
      <c r="DH60" s="2" t="s">
        <v>6</v>
      </c>
      <c r="DI60" s="2" t="s">
        <v>28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1003</v>
      </c>
      <c r="DV60" s="2" t="s">
        <v>40</v>
      </c>
      <c r="DW60" s="2" t="s">
        <v>40</v>
      </c>
      <c r="DX60" s="2">
        <v>100</v>
      </c>
      <c r="DY60" s="2"/>
      <c r="DZ60" s="2"/>
      <c r="EA60" s="2"/>
      <c r="EB60" s="2"/>
      <c r="EC60" s="2"/>
      <c r="ED60" s="2"/>
      <c r="EE60" s="2">
        <v>16510566</v>
      </c>
      <c r="EF60" s="2">
        <v>6</v>
      </c>
      <c r="EG60" s="2" t="s">
        <v>90</v>
      </c>
      <c r="EH60" s="2">
        <v>0</v>
      </c>
      <c r="EI60" s="2" t="s">
        <v>6</v>
      </c>
      <c r="EJ60" s="2">
        <v>1</v>
      </c>
      <c r="EK60" s="2">
        <v>57001</v>
      </c>
      <c r="EL60" s="2" t="s">
        <v>109</v>
      </c>
      <c r="EM60" s="2" t="s">
        <v>110</v>
      </c>
      <c r="EN60" s="2"/>
      <c r="EO60" s="2" t="s">
        <v>115</v>
      </c>
      <c r="EP60" s="2"/>
      <c r="EQ60" s="2">
        <v>0</v>
      </c>
      <c r="ER60" s="2">
        <v>111.38</v>
      </c>
      <c r="ES60" s="2">
        <v>0</v>
      </c>
      <c r="ET60" s="2">
        <v>0</v>
      </c>
      <c r="EU60" s="2">
        <v>0</v>
      </c>
      <c r="EV60" s="2">
        <v>111.38</v>
      </c>
      <c r="EW60" s="2">
        <v>14.28</v>
      </c>
      <c r="EX60" s="2">
        <v>0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82"/>
        <v>0</v>
      </c>
      <c r="FS60" s="2">
        <v>0</v>
      </c>
      <c r="FT60" s="2"/>
      <c r="FU60" s="2"/>
      <c r="FV60" s="2"/>
      <c r="FW60" s="2"/>
      <c r="FX60" s="2">
        <v>80</v>
      </c>
      <c r="FY60" s="2">
        <v>68</v>
      </c>
      <c r="FZ60" s="2"/>
      <c r="GA60" s="2" t="s">
        <v>6</v>
      </c>
      <c r="GB60" s="2"/>
      <c r="GC60" s="2"/>
      <c r="GD60" s="2">
        <v>0</v>
      </c>
      <c r="GE60" s="2"/>
      <c r="GF60" s="2">
        <v>1153252125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83"/>
        <v>0</v>
      </c>
      <c r="GM60" s="2">
        <f t="shared" si="84"/>
        <v>77.819999999999993</v>
      </c>
      <c r="GN60" s="2">
        <f t="shared" si="85"/>
        <v>77.819999999999993</v>
      </c>
      <c r="GO60" s="2">
        <f t="shared" si="86"/>
        <v>0</v>
      </c>
      <c r="GP60" s="2">
        <f t="shared" si="87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88"/>
        <v>0</v>
      </c>
      <c r="GW60" s="2">
        <v>1</v>
      </c>
      <c r="GX60" s="2">
        <f t="shared" si="89"/>
        <v>0</v>
      </c>
      <c r="GY60" s="2"/>
      <c r="GZ60" s="2"/>
      <c r="HA60" s="2">
        <v>0</v>
      </c>
      <c r="HB60" s="2">
        <v>0</v>
      </c>
      <c r="HC60" s="2">
        <f t="shared" si="90"/>
        <v>0</v>
      </c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ROW(SmtRes!A140)</f>
        <v>140</v>
      </c>
      <c r="D61">
        <f>ROW(EtalonRes!A148)</f>
        <v>148</v>
      </c>
      <c r="E61" t="s">
        <v>116</v>
      </c>
      <c r="F61" t="s">
        <v>117</v>
      </c>
      <c r="G61" t="s">
        <v>118</v>
      </c>
      <c r="H61" t="s">
        <v>40</v>
      </c>
      <c r="I61">
        <f>ROUND(24.5/100,9)</f>
        <v>0.245</v>
      </c>
      <c r="J61">
        <v>0</v>
      </c>
      <c r="O61">
        <f t="shared" si="56"/>
        <v>191.74</v>
      </c>
      <c r="P61">
        <f t="shared" si="57"/>
        <v>0</v>
      </c>
      <c r="Q61">
        <f t="shared" si="58"/>
        <v>0</v>
      </c>
      <c r="R61">
        <f t="shared" si="59"/>
        <v>0</v>
      </c>
      <c r="S61">
        <f t="shared" si="60"/>
        <v>191.74</v>
      </c>
      <c r="T61">
        <f t="shared" si="61"/>
        <v>0</v>
      </c>
      <c r="U61">
        <f t="shared" si="62"/>
        <v>4.0233899999999991</v>
      </c>
      <c r="V61">
        <f t="shared" si="63"/>
        <v>0</v>
      </c>
      <c r="W61">
        <f t="shared" si="64"/>
        <v>0</v>
      </c>
      <c r="X61">
        <f t="shared" si="65"/>
        <v>153.38999999999999</v>
      </c>
      <c r="Y61">
        <f t="shared" si="66"/>
        <v>130.38</v>
      </c>
      <c r="AA61">
        <v>16784196</v>
      </c>
      <c r="AB61">
        <f t="shared" si="67"/>
        <v>128.09</v>
      </c>
      <c r="AC61">
        <f t="shared" si="52"/>
        <v>0</v>
      </c>
      <c r="AD61">
        <f t="shared" si="68"/>
        <v>0</v>
      </c>
      <c r="AE61">
        <f>ROUND((EU61),2)</f>
        <v>0</v>
      </c>
      <c r="AF61">
        <f t="shared" si="91"/>
        <v>128.09</v>
      </c>
      <c r="AG61">
        <f t="shared" si="69"/>
        <v>0</v>
      </c>
      <c r="AH61">
        <f t="shared" si="92"/>
        <v>16.421999999999997</v>
      </c>
      <c r="AI61">
        <f>(EX61)</f>
        <v>0</v>
      </c>
      <c r="AJ61">
        <f t="shared" si="70"/>
        <v>0</v>
      </c>
      <c r="AK61">
        <v>111.38</v>
      </c>
      <c r="AL61">
        <v>0</v>
      </c>
      <c r="AM61">
        <v>0</v>
      </c>
      <c r="AN61">
        <v>0</v>
      </c>
      <c r="AO61">
        <v>111.38</v>
      </c>
      <c r="AP61">
        <v>0</v>
      </c>
      <c r="AQ61">
        <v>14.28</v>
      </c>
      <c r="AR61">
        <v>0</v>
      </c>
      <c r="AS61">
        <v>0</v>
      </c>
      <c r="AT61">
        <v>80</v>
      </c>
      <c r="AU61">
        <v>68</v>
      </c>
      <c r="AV61">
        <v>1</v>
      </c>
      <c r="AW61">
        <v>1</v>
      </c>
      <c r="AZ61">
        <v>6.11</v>
      </c>
      <c r="BA61">
        <v>6.11</v>
      </c>
      <c r="BB61">
        <v>6.11</v>
      </c>
      <c r="BC61">
        <v>6.11</v>
      </c>
      <c r="BD61" t="s">
        <v>6</v>
      </c>
      <c r="BE61" t="s">
        <v>6</v>
      </c>
      <c r="BF61" t="s">
        <v>6</v>
      </c>
      <c r="BG61" t="s">
        <v>6</v>
      </c>
      <c r="BH61">
        <v>0</v>
      </c>
      <c r="BI61">
        <v>1</v>
      </c>
      <c r="BJ61" t="s">
        <v>119</v>
      </c>
      <c r="BM61">
        <v>57001</v>
      </c>
      <c r="BN61">
        <v>0</v>
      </c>
      <c r="BO61" t="s">
        <v>6</v>
      </c>
      <c r="BP61">
        <v>0</v>
      </c>
      <c r="BQ61">
        <v>6</v>
      </c>
      <c r="BR61">
        <v>0</v>
      </c>
      <c r="BS61">
        <v>6.11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80</v>
      </c>
      <c r="CA61">
        <v>68</v>
      </c>
      <c r="CE61">
        <v>0</v>
      </c>
      <c r="CF61">
        <v>0</v>
      </c>
      <c r="CG61">
        <v>0</v>
      </c>
      <c r="CM61">
        <v>0</v>
      </c>
      <c r="CN61" t="s">
        <v>825</v>
      </c>
      <c r="CO61">
        <v>0</v>
      </c>
      <c r="CP61">
        <f t="shared" si="71"/>
        <v>191.74</v>
      </c>
      <c r="CQ61">
        <f t="shared" si="72"/>
        <v>0</v>
      </c>
      <c r="CR61">
        <f t="shared" si="73"/>
        <v>0</v>
      </c>
      <c r="CS61">
        <f t="shared" si="74"/>
        <v>0</v>
      </c>
      <c r="CT61">
        <f t="shared" si="75"/>
        <v>782.62990000000002</v>
      </c>
      <c r="CU61">
        <f t="shared" si="76"/>
        <v>0</v>
      </c>
      <c r="CV61">
        <f t="shared" si="77"/>
        <v>16.421999999999997</v>
      </c>
      <c r="CW61">
        <f t="shared" si="78"/>
        <v>0</v>
      </c>
      <c r="CX61">
        <f t="shared" si="79"/>
        <v>0</v>
      </c>
      <c r="CY61">
        <f t="shared" si="80"/>
        <v>153.392</v>
      </c>
      <c r="CZ61">
        <f t="shared" si="81"/>
        <v>130.38319999999999</v>
      </c>
      <c r="DC61" t="s">
        <v>6</v>
      </c>
      <c r="DD61" t="s">
        <v>6</v>
      </c>
      <c r="DE61" t="s">
        <v>6</v>
      </c>
      <c r="DF61" t="s">
        <v>6</v>
      </c>
      <c r="DG61" t="s">
        <v>28</v>
      </c>
      <c r="DH61" t="s">
        <v>6</v>
      </c>
      <c r="DI61" t="s">
        <v>28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1003</v>
      </c>
      <c r="DV61" t="s">
        <v>40</v>
      </c>
      <c r="DW61" t="s">
        <v>40</v>
      </c>
      <c r="DX61">
        <v>100</v>
      </c>
      <c r="EE61">
        <v>16510566</v>
      </c>
      <c r="EF61">
        <v>6</v>
      </c>
      <c r="EG61" t="s">
        <v>90</v>
      </c>
      <c r="EH61">
        <v>0</v>
      </c>
      <c r="EI61" t="s">
        <v>6</v>
      </c>
      <c r="EJ61">
        <v>1</v>
      </c>
      <c r="EK61">
        <v>57001</v>
      </c>
      <c r="EL61" t="s">
        <v>109</v>
      </c>
      <c r="EM61" t="s">
        <v>110</v>
      </c>
      <c r="EO61" t="s">
        <v>115</v>
      </c>
      <c r="EQ61">
        <v>0</v>
      </c>
      <c r="ER61">
        <v>111.38</v>
      </c>
      <c r="ES61">
        <v>0</v>
      </c>
      <c r="ET61">
        <v>0</v>
      </c>
      <c r="EU61">
        <v>0</v>
      </c>
      <c r="EV61">
        <v>111.38</v>
      </c>
      <c r="EW61">
        <v>14.28</v>
      </c>
      <c r="EX61">
        <v>0</v>
      </c>
      <c r="EY61">
        <v>0</v>
      </c>
      <c r="FQ61">
        <v>0</v>
      </c>
      <c r="FR61">
        <f t="shared" si="82"/>
        <v>0</v>
      </c>
      <c r="FS61">
        <v>0</v>
      </c>
      <c r="FX61">
        <v>80</v>
      </c>
      <c r="FY61">
        <v>68</v>
      </c>
      <c r="GA61" t="s">
        <v>6</v>
      </c>
      <c r="GD61">
        <v>0</v>
      </c>
      <c r="GF61">
        <v>1153252125</v>
      </c>
      <c r="GG61">
        <v>1</v>
      </c>
      <c r="GH61">
        <v>1</v>
      </c>
      <c r="GI61">
        <v>4</v>
      </c>
      <c r="GJ61">
        <v>0</v>
      </c>
      <c r="GK61">
        <f>ROUND(R61*(S12)/100,2)</f>
        <v>0</v>
      </c>
      <c r="GL61">
        <f t="shared" si="83"/>
        <v>0</v>
      </c>
      <c r="GM61">
        <f t="shared" si="84"/>
        <v>475.51</v>
      </c>
      <c r="GN61">
        <f t="shared" si="85"/>
        <v>475.51</v>
      </c>
      <c r="GO61">
        <f t="shared" si="86"/>
        <v>0</v>
      </c>
      <c r="GP61">
        <f t="shared" si="87"/>
        <v>0</v>
      </c>
      <c r="GR61">
        <v>0</v>
      </c>
      <c r="GS61">
        <v>3</v>
      </c>
      <c r="GT61">
        <v>0</v>
      </c>
      <c r="GU61" t="s">
        <v>6</v>
      </c>
      <c r="GV61">
        <f t="shared" si="88"/>
        <v>0</v>
      </c>
      <c r="GW61">
        <v>1</v>
      </c>
      <c r="GX61">
        <f t="shared" si="89"/>
        <v>0</v>
      </c>
      <c r="HA61">
        <v>0</v>
      </c>
      <c r="HB61">
        <v>0</v>
      </c>
      <c r="HC61">
        <f t="shared" si="90"/>
        <v>0</v>
      </c>
      <c r="IK61">
        <v>0</v>
      </c>
    </row>
    <row r="62" spans="1:255" x14ac:dyDescent="0.2">
      <c r="A62" s="2">
        <v>17</v>
      </c>
      <c r="B62" s="2">
        <v>1</v>
      </c>
      <c r="C62" s="2">
        <f>ROW(SmtRes!A146)</f>
        <v>146</v>
      </c>
      <c r="D62" s="2">
        <f>ROW(EtalonRes!A154)</f>
        <v>154</v>
      </c>
      <c r="E62" s="2" t="s">
        <v>120</v>
      </c>
      <c r="F62" s="2" t="s">
        <v>121</v>
      </c>
      <c r="G62" s="2" t="s">
        <v>122</v>
      </c>
      <c r="H62" s="2" t="s">
        <v>16</v>
      </c>
      <c r="I62" s="2">
        <f>ROUND(47.2/100,9)</f>
        <v>0.47199999999999998</v>
      </c>
      <c r="J62" s="2">
        <v>0</v>
      </c>
      <c r="K62" s="2"/>
      <c r="L62" s="2"/>
      <c r="M62" s="2"/>
      <c r="N62" s="2"/>
      <c r="O62" s="2">
        <f t="shared" si="56"/>
        <v>200.41</v>
      </c>
      <c r="P62" s="2">
        <f t="shared" si="57"/>
        <v>4.03</v>
      </c>
      <c r="Q62" s="2">
        <f t="shared" si="58"/>
        <v>26.1</v>
      </c>
      <c r="R62" s="2">
        <f t="shared" si="59"/>
        <v>10.119999999999999</v>
      </c>
      <c r="S62" s="2">
        <f t="shared" si="60"/>
        <v>170.28</v>
      </c>
      <c r="T62" s="2">
        <f t="shared" si="61"/>
        <v>0</v>
      </c>
      <c r="U62" s="2">
        <f t="shared" si="62"/>
        <v>21.446027999999998</v>
      </c>
      <c r="V62" s="2">
        <f t="shared" si="63"/>
        <v>0.74929999999999997</v>
      </c>
      <c r="W62" s="2">
        <f t="shared" si="64"/>
        <v>0</v>
      </c>
      <c r="X62" s="2">
        <f t="shared" si="65"/>
        <v>200.24</v>
      </c>
      <c r="Y62" s="2">
        <f t="shared" si="66"/>
        <v>115.46</v>
      </c>
      <c r="Z62" s="2"/>
      <c r="AA62" s="2">
        <v>16784195</v>
      </c>
      <c r="AB62" s="2">
        <f t="shared" si="67"/>
        <v>424.61</v>
      </c>
      <c r="AC62" s="2">
        <f t="shared" si="52"/>
        <v>8.5399999999999991</v>
      </c>
      <c r="AD62" s="2">
        <f>ROUND(((((ET62*1.25))-((EU62*1.25)))+AE62),2)</f>
        <v>55.3</v>
      </c>
      <c r="AE62" s="2">
        <f>ROUND(((EU62*1.25)),2)</f>
        <v>21.44</v>
      </c>
      <c r="AF62" s="2">
        <f t="shared" si="91"/>
        <v>360.77</v>
      </c>
      <c r="AG62" s="2">
        <f t="shared" si="69"/>
        <v>0</v>
      </c>
      <c r="AH62" s="2">
        <f t="shared" si="92"/>
        <v>45.436499999999995</v>
      </c>
      <c r="AI62" s="2">
        <f>((EX62*1.25))</f>
        <v>1.5874999999999999</v>
      </c>
      <c r="AJ62" s="2">
        <f t="shared" si="70"/>
        <v>0</v>
      </c>
      <c r="AK62" s="2">
        <v>366.49</v>
      </c>
      <c r="AL62" s="2">
        <v>8.5399999999999991</v>
      </c>
      <c r="AM62" s="2">
        <v>44.24</v>
      </c>
      <c r="AN62" s="2">
        <v>17.149999999999999</v>
      </c>
      <c r="AO62" s="2">
        <v>313.70999999999998</v>
      </c>
      <c r="AP62" s="2">
        <v>0</v>
      </c>
      <c r="AQ62" s="2">
        <v>39.51</v>
      </c>
      <c r="AR62" s="2">
        <v>1.27</v>
      </c>
      <c r="AS62" s="2">
        <v>0</v>
      </c>
      <c r="AT62" s="2">
        <v>111</v>
      </c>
      <c r="AU62" s="2">
        <v>64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0</v>
      </c>
      <c r="BI62" s="2">
        <v>1</v>
      </c>
      <c r="BJ62" s="2" t="s">
        <v>123</v>
      </c>
      <c r="BK62" s="2"/>
      <c r="BL62" s="2"/>
      <c r="BM62" s="2">
        <v>11001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123</v>
      </c>
      <c r="CA62" s="2">
        <v>75</v>
      </c>
      <c r="CB62" s="2"/>
      <c r="CC62" s="2"/>
      <c r="CD62" s="2"/>
      <c r="CE62" s="2">
        <v>0</v>
      </c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824</v>
      </c>
      <c r="CO62" s="2">
        <v>0</v>
      </c>
      <c r="CP62" s="2">
        <f t="shared" si="71"/>
        <v>200.41</v>
      </c>
      <c r="CQ62" s="2">
        <f t="shared" si="72"/>
        <v>8.5399999999999991</v>
      </c>
      <c r="CR62" s="2">
        <f t="shared" si="73"/>
        <v>55.3</v>
      </c>
      <c r="CS62" s="2">
        <f t="shared" si="74"/>
        <v>21.44</v>
      </c>
      <c r="CT62" s="2">
        <f t="shared" si="75"/>
        <v>360.77</v>
      </c>
      <c r="CU62" s="2">
        <f t="shared" si="76"/>
        <v>0</v>
      </c>
      <c r="CV62" s="2">
        <f t="shared" si="77"/>
        <v>45.436499999999995</v>
      </c>
      <c r="CW62" s="2">
        <f t="shared" si="78"/>
        <v>1.5874999999999999</v>
      </c>
      <c r="CX62" s="2">
        <f t="shared" si="79"/>
        <v>0</v>
      </c>
      <c r="CY62" s="2">
        <f t="shared" si="80"/>
        <v>200.24400000000003</v>
      </c>
      <c r="CZ62" s="2">
        <f t="shared" si="81"/>
        <v>115.456</v>
      </c>
      <c r="DA62" s="2"/>
      <c r="DB62" s="2"/>
      <c r="DC62" s="2" t="s">
        <v>6</v>
      </c>
      <c r="DD62" s="2" t="s">
        <v>6</v>
      </c>
      <c r="DE62" s="2" t="s">
        <v>27</v>
      </c>
      <c r="DF62" s="2" t="s">
        <v>27</v>
      </c>
      <c r="DG62" s="2" t="s">
        <v>28</v>
      </c>
      <c r="DH62" s="2" t="s">
        <v>6</v>
      </c>
      <c r="DI62" s="2" t="s">
        <v>28</v>
      </c>
      <c r="DJ62" s="2" t="s">
        <v>27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1005</v>
      </c>
      <c r="DV62" s="2" t="s">
        <v>16</v>
      </c>
      <c r="DW62" s="2" t="s">
        <v>16</v>
      </c>
      <c r="DX62" s="2">
        <v>100</v>
      </c>
      <c r="DY62" s="2"/>
      <c r="DZ62" s="2"/>
      <c r="EA62" s="2"/>
      <c r="EB62" s="2"/>
      <c r="EC62" s="2"/>
      <c r="ED62" s="2"/>
      <c r="EE62" s="2">
        <v>16510488</v>
      </c>
      <c r="EF62" s="2">
        <v>2</v>
      </c>
      <c r="EG62" s="2" t="s">
        <v>18</v>
      </c>
      <c r="EH62" s="2">
        <v>0</v>
      </c>
      <c r="EI62" s="2" t="s">
        <v>6</v>
      </c>
      <c r="EJ62" s="2">
        <v>1</v>
      </c>
      <c r="EK62" s="2">
        <v>11001</v>
      </c>
      <c r="EL62" s="2" t="s">
        <v>109</v>
      </c>
      <c r="EM62" s="2" t="s">
        <v>124</v>
      </c>
      <c r="EN62" s="2"/>
      <c r="EO62" s="2" t="s">
        <v>31</v>
      </c>
      <c r="EP62" s="2"/>
      <c r="EQ62" s="2">
        <v>131072</v>
      </c>
      <c r="ER62" s="2">
        <v>366.49</v>
      </c>
      <c r="ES62" s="2">
        <v>8.5399999999999991</v>
      </c>
      <c r="ET62" s="2">
        <v>44.24</v>
      </c>
      <c r="EU62" s="2">
        <v>17.149999999999999</v>
      </c>
      <c r="EV62" s="2">
        <v>313.70999999999998</v>
      </c>
      <c r="EW62" s="2">
        <v>39.51</v>
      </c>
      <c r="EX62" s="2">
        <v>1.27</v>
      </c>
      <c r="EY62" s="2">
        <v>0</v>
      </c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82"/>
        <v>0</v>
      </c>
      <c r="FS62" s="2">
        <v>0</v>
      </c>
      <c r="FT62" s="2" t="s">
        <v>21</v>
      </c>
      <c r="FU62" s="2" t="s">
        <v>22</v>
      </c>
      <c r="FV62" s="2"/>
      <c r="FW62" s="2"/>
      <c r="FX62" s="2">
        <v>110.7</v>
      </c>
      <c r="FY62" s="2">
        <v>63.75</v>
      </c>
      <c r="FZ62" s="2"/>
      <c r="GA62" s="2" t="s">
        <v>6</v>
      </c>
      <c r="GB62" s="2"/>
      <c r="GC62" s="2"/>
      <c r="GD62" s="2">
        <v>0</v>
      </c>
      <c r="GE62" s="2"/>
      <c r="GF62" s="2">
        <v>192743499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83"/>
        <v>0</v>
      </c>
      <c r="GM62" s="2">
        <f t="shared" si="84"/>
        <v>516.11</v>
      </c>
      <c r="GN62" s="2">
        <f t="shared" si="85"/>
        <v>516.11</v>
      </c>
      <c r="GO62" s="2">
        <f t="shared" si="86"/>
        <v>0</v>
      </c>
      <c r="GP62" s="2">
        <f t="shared" si="87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88"/>
        <v>0</v>
      </c>
      <c r="GW62" s="2">
        <v>1</v>
      </c>
      <c r="GX62" s="2">
        <f t="shared" si="89"/>
        <v>0</v>
      </c>
      <c r="GY62" s="2"/>
      <c r="GZ62" s="2"/>
      <c r="HA62" s="2">
        <v>0</v>
      </c>
      <c r="HB62" s="2">
        <v>0</v>
      </c>
      <c r="HC62" s="2">
        <f t="shared" si="90"/>
        <v>0</v>
      </c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17</v>
      </c>
      <c r="B63">
        <v>1</v>
      </c>
      <c r="C63">
        <f>ROW(SmtRes!A152)</f>
        <v>152</v>
      </c>
      <c r="D63">
        <f>ROW(EtalonRes!A160)</f>
        <v>160</v>
      </c>
      <c r="E63" t="s">
        <v>120</v>
      </c>
      <c r="F63" t="s">
        <v>121</v>
      </c>
      <c r="G63" t="s">
        <v>122</v>
      </c>
      <c r="H63" t="s">
        <v>16</v>
      </c>
      <c r="I63">
        <f>ROUND(47.2/100,9)</f>
        <v>0.47199999999999998</v>
      </c>
      <c r="J63">
        <v>0</v>
      </c>
      <c r="O63">
        <f t="shared" si="56"/>
        <v>1224.54</v>
      </c>
      <c r="P63">
        <f t="shared" si="57"/>
        <v>24.63</v>
      </c>
      <c r="Q63">
        <f t="shared" si="58"/>
        <v>159.47999999999999</v>
      </c>
      <c r="R63">
        <f t="shared" si="59"/>
        <v>61.83</v>
      </c>
      <c r="S63">
        <f t="shared" si="60"/>
        <v>1040.43</v>
      </c>
      <c r="T63">
        <f t="shared" si="61"/>
        <v>0</v>
      </c>
      <c r="U63">
        <f t="shared" si="62"/>
        <v>21.446027999999998</v>
      </c>
      <c r="V63">
        <f t="shared" si="63"/>
        <v>0.74929999999999997</v>
      </c>
      <c r="W63">
        <f t="shared" si="64"/>
        <v>0</v>
      </c>
      <c r="X63">
        <f t="shared" si="65"/>
        <v>1223.51</v>
      </c>
      <c r="Y63">
        <f t="shared" si="66"/>
        <v>705.45</v>
      </c>
      <c r="AA63">
        <v>16784196</v>
      </c>
      <c r="AB63">
        <f t="shared" si="67"/>
        <v>424.61</v>
      </c>
      <c r="AC63">
        <f t="shared" si="52"/>
        <v>8.5399999999999991</v>
      </c>
      <c r="AD63">
        <f>ROUND(((((ET63*1.25))-((EU63*1.25)))+AE63),2)</f>
        <v>55.3</v>
      </c>
      <c r="AE63">
        <f>ROUND(((EU63*1.25)),2)</f>
        <v>21.44</v>
      </c>
      <c r="AF63">
        <f t="shared" si="91"/>
        <v>360.77</v>
      </c>
      <c r="AG63">
        <f t="shared" si="69"/>
        <v>0</v>
      </c>
      <c r="AH63">
        <f t="shared" si="92"/>
        <v>45.436499999999995</v>
      </c>
      <c r="AI63">
        <f>((EX63*1.25))</f>
        <v>1.5874999999999999</v>
      </c>
      <c r="AJ63">
        <f t="shared" si="70"/>
        <v>0</v>
      </c>
      <c r="AK63">
        <v>366.49</v>
      </c>
      <c r="AL63">
        <v>8.5399999999999991</v>
      </c>
      <c r="AM63">
        <v>44.24</v>
      </c>
      <c r="AN63">
        <v>17.149999999999999</v>
      </c>
      <c r="AO63">
        <v>313.70999999999998</v>
      </c>
      <c r="AP63">
        <v>0</v>
      </c>
      <c r="AQ63">
        <v>39.51</v>
      </c>
      <c r="AR63">
        <v>1.27</v>
      </c>
      <c r="AS63">
        <v>0</v>
      </c>
      <c r="AT63">
        <v>111</v>
      </c>
      <c r="AU63">
        <v>64</v>
      </c>
      <c r="AV63">
        <v>1</v>
      </c>
      <c r="AW63">
        <v>1</v>
      </c>
      <c r="AZ63">
        <v>6.11</v>
      </c>
      <c r="BA63">
        <v>6.11</v>
      </c>
      <c r="BB63">
        <v>6.11</v>
      </c>
      <c r="BC63">
        <v>6.11</v>
      </c>
      <c r="BD63" t="s">
        <v>6</v>
      </c>
      <c r="BE63" t="s">
        <v>6</v>
      </c>
      <c r="BF63" t="s">
        <v>6</v>
      </c>
      <c r="BG63" t="s">
        <v>6</v>
      </c>
      <c r="BH63">
        <v>0</v>
      </c>
      <c r="BI63">
        <v>1</v>
      </c>
      <c r="BJ63" t="s">
        <v>123</v>
      </c>
      <c r="BM63">
        <v>11001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6.11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123</v>
      </c>
      <c r="CA63">
        <v>75</v>
      </c>
      <c r="CE63">
        <v>0</v>
      </c>
      <c r="CF63">
        <v>0</v>
      </c>
      <c r="CG63">
        <v>0</v>
      </c>
      <c r="CM63">
        <v>0</v>
      </c>
      <c r="CN63" t="s">
        <v>824</v>
      </c>
      <c r="CO63">
        <v>0</v>
      </c>
      <c r="CP63">
        <f t="shared" si="71"/>
        <v>1224.54</v>
      </c>
      <c r="CQ63">
        <f t="shared" si="72"/>
        <v>52.179399999999994</v>
      </c>
      <c r="CR63">
        <f t="shared" si="73"/>
        <v>337.88299999999998</v>
      </c>
      <c r="CS63">
        <f t="shared" si="74"/>
        <v>130.9984</v>
      </c>
      <c r="CT63">
        <f t="shared" si="75"/>
        <v>2204.3047000000001</v>
      </c>
      <c r="CU63">
        <f t="shared" si="76"/>
        <v>0</v>
      </c>
      <c r="CV63">
        <f t="shared" si="77"/>
        <v>45.436499999999995</v>
      </c>
      <c r="CW63">
        <f t="shared" si="78"/>
        <v>1.5874999999999999</v>
      </c>
      <c r="CX63">
        <f t="shared" si="79"/>
        <v>0</v>
      </c>
      <c r="CY63">
        <f t="shared" si="80"/>
        <v>1223.5086000000001</v>
      </c>
      <c r="CZ63">
        <f t="shared" si="81"/>
        <v>705.44640000000004</v>
      </c>
      <c r="DC63" t="s">
        <v>6</v>
      </c>
      <c r="DD63" t="s">
        <v>6</v>
      </c>
      <c r="DE63" t="s">
        <v>27</v>
      </c>
      <c r="DF63" t="s">
        <v>27</v>
      </c>
      <c r="DG63" t="s">
        <v>28</v>
      </c>
      <c r="DH63" t="s">
        <v>6</v>
      </c>
      <c r="DI63" t="s">
        <v>28</v>
      </c>
      <c r="DJ63" t="s">
        <v>27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1005</v>
      </c>
      <c r="DV63" t="s">
        <v>16</v>
      </c>
      <c r="DW63" t="s">
        <v>16</v>
      </c>
      <c r="DX63">
        <v>100</v>
      </c>
      <c r="EE63">
        <v>16510488</v>
      </c>
      <c r="EF63">
        <v>2</v>
      </c>
      <c r="EG63" t="s">
        <v>18</v>
      </c>
      <c r="EH63">
        <v>0</v>
      </c>
      <c r="EI63" t="s">
        <v>6</v>
      </c>
      <c r="EJ63">
        <v>1</v>
      </c>
      <c r="EK63">
        <v>11001</v>
      </c>
      <c r="EL63" t="s">
        <v>109</v>
      </c>
      <c r="EM63" t="s">
        <v>124</v>
      </c>
      <c r="EO63" t="s">
        <v>31</v>
      </c>
      <c r="EQ63">
        <v>131072</v>
      </c>
      <c r="ER63">
        <v>366.49</v>
      </c>
      <c r="ES63">
        <v>8.5399999999999991</v>
      </c>
      <c r="ET63">
        <v>44.24</v>
      </c>
      <c r="EU63">
        <v>17.149999999999999</v>
      </c>
      <c r="EV63">
        <v>313.70999999999998</v>
      </c>
      <c r="EW63">
        <v>39.51</v>
      </c>
      <c r="EX63">
        <v>1.27</v>
      </c>
      <c r="EY63">
        <v>0</v>
      </c>
      <c r="FQ63">
        <v>0</v>
      </c>
      <c r="FR63">
        <f t="shared" si="82"/>
        <v>0</v>
      </c>
      <c r="FS63">
        <v>0</v>
      </c>
      <c r="FT63" t="s">
        <v>21</v>
      </c>
      <c r="FU63" t="s">
        <v>22</v>
      </c>
      <c r="FX63">
        <v>110.7</v>
      </c>
      <c r="FY63">
        <v>63.75</v>
      </c>
      <c r="GA63" t="s">
        <v>6</v>
      </c>
      <c r="GD63">
        <v>0</v>
      </c>
      <c r="GF63">
        <v>192743499</v>
      </c>
      <c r="GG63">
        <v>1</v>
      </c>
      <c r="GH63">
        <v>1</v>
      </c>
      <c r="GI63">
        <v>4</v>
      </c>
      <c r="GJ63">
        <v>0</v>
      </c>
      <c r="GK63">
        <f>ROUND(R63*(S12)/100,2)</f>
        <v>0</v>
      </c>
      <c r="GL63">
        <f t="shared" si="83"/>
        <v>0</v>
      </c>
      <c r="GM63">
        <f t="shared" si="84"/>
        <v>3153.5</v>
      </c>
      <c r="GN63">
        <f t="shared" si="85"/>
        <v>3153.5</v>
      </c>
      <c r="GO63">
        <f t="shared" si="86"/>
        <v>0</v>
      </c>
      <c r="GP63">
        <f t="shared" si="87"/>
        <v>0</v>
      </c>
      <c r="GR63">
        <v>0</v>
      </c>
      <c r="GS63">
        <v>3</v>
      </c>
      <c r="GT63">
        <v>0</v>
      </c>
      <c r="GU63" t="s">
        <v>6</v>
      </c>
      <c r="GV63">
        <f t="shared" si="88"/>
        <v>0</v>
      </c>
      <c r="GW63">
        <v>1</v>
      </c>
      <c r="GX63">
        <f t="shared" si="89"/>
        <v>0</v>
      </c>
      <c r="HA63">
        <v>0</v>
      </c>
      <c r="HB63">
        <v>0</v>
      </c>
      <c r="HC63">
        <f t="shared" si="90"/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146</v>
      </c>
      <c r="D64" s="2"/>
      <c r="E64" s="2" t="s">
        <v>125</v>
      </c>
      <c r="F64" s="2" t="s">
        <v>126</v>
      </c>
      <c r="G64" s="2" t="s">
        <v>127</v>
      </c>
      <c r="H64" s="2" t="s">
        <v>128</v>
      </c>
      <c r="I64" s="2">
        <f>I62*J64</f>
        <v>0.96287999999999996</v>
      </c>
      <c r="J64" s="2">
        <v>2.04</v>
      </c>
      <c r="K64" s="2"/>
      <c r="L64" s="2"/>
      <c r="M64" s="2"/>
      <c r="N64" s="2"/>
      <c r="O64" s="2">
        <f t="shared" si="56"/>
        <v>527.95000000000005</v>
      </c>
      <c r="P64" s="2">
        <f t="shared" si="57"/>
        <v>527.95000000000005</v>
      </c>
      <c r="Q64" s="2">
        <f t="shared" si="58"/>
        <v>0</v>
      </c>
      <c r="R64" s="2">
        <f t="shared" si="59"/>
        <v>0</v>
      </c>
      <c r="S64" s="2">
        <f t="shared" si="60"/>
        <v>0</v>
      </c>
      <c r="T64" s="2">
        <f t="shared" si="61"/>
        <v>0</v>
      </c>
      <c r="U64" s="2">
        <f t="shared" si="62"/>
        <v>0</v>
      </c>
      <c r="V64" s="2">
        <f t="shared" si="63"/>
        <v>0</v>
      </c>
      <c r="W64" s="2">
        <f t="shared" si="64"/>
        <v>0</v>
      </c>
      <c r="X64" s="2">
        <f t="shared" si="65"/>
        <v>0</v>
      </c>
      <c r="Y64" s="2">
        <f t="shared" si="66"/>
        <v>0</v>
      </c>
      <c r="Z64" s="2"/>
      <c r="AA64" s="2">
        <v>16784195</v>
      </c>
      <c r="AB64" s="2">
        <f t="shared" si="67"/>
        <v>548.29999999999995</v>
      </c>
      <c r="AC64" s="2">
        <f t="shared" si="52"/>
        <v>548.29999999999995</v>
      </c>
      <c r="AD64" s="2">
        <f>ROUND((((ET64)-(EU64))+AE64),2)</f>
        <v>0</v>
      </c>
      <c r="AE64" s="2">
        <f>ROUND((EU64),2)</f>
        <v>0</v>
      </c>
      <c r="AF64" s="2">
        <f>ROUND((EV64),2)</f>
        <v>0</v>
      </c>
      <c r="AG64" s="2">
        <f t="shared" si="69"/>
        <v>0</v>
      </c>
      <c r="AH64" s="2">
        <f>(EW64)</f>
        <v>0</v>
      </c>
      <c r="AI64" s="2">
        <f>(EX64)</f>
        <v>0</v>
      </c>
      <c r="AJ64" s="2">
        <f t="shared" si="70"/>
        <v>0</v>
      </c>
      <c r="AK64" s="2">
        <v>548.29999999999995</v>
      </c>
      <c r="AL64" s="2">
        <v>548.29999999999995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111</v>
      </c>
      <c r="AU64" s="2">
        <v>64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3</v>
      </c>
      <c r="BI64" s="2">
        <v>1</v>
      </c>
      <c r="BJ64" s="2" t="s">
        <v>129</v>
      </c>
      <c r="BK64" s="2"/>
      <c r="BL64" s="2"/>
      <c r="BM64" s="2">
        <v>11001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123</v>
      </c>
      <c r="CA64" s="2">
        <v>75</v>
      </c>
      <c r="CB64" s="2"/>
      <c r="CC64" s="2"/>
      <c r="CD64" s="2"/>
      <c r="CE64" s="2">
        <v>0</v>
      </c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si="71"/>
        <v>527.95000000000005</v>
      </c>
      <c r="CQ64" s="2">
        <f t="shared" si="72"/>
        <v>548.29999999999995</v>
      </c>
      <c r="CR64" s="2">
        <f t="shared" si="73"/>
        <v>0</v>
      </c>
      <c r="CS64" s="2">
        <f t="shared" si="74"/>
        <v>0</v>
      </c>
      <c r="CT64" s="2">
        <f t="shared" si="75"/>
        <v>0</v>
      </c>
      <c r="CU64" s="2">
        <f t="shared" si="76"/>
        <v>0</v>
      </c>
      <c r="CV64" s="2">
        <f t="shared" si="77"/>
        <v>0</v>
      </c>
      <c r="CW64" s="2">
        <f t="shared" si="78"/>
        <v>0</v>
      </c>
      <c r="CX64" s="2">
        <f t="shared" si="79"/>
        <v>0</v>
      </c>
      <c r="CY64" s="2">
        <f t="shared" si="80"/>
        <v>0</v>
      </c>
      <c r="CZ64" s="2">
        <f t="shared" si="81"/>
        <v>0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1007</v>
      </c>
      <c r="DV64" s="2" t="s">
        <v>128</v>
      </c>
      <c r="DW64" s="2" t="s">
        <v>128</v>
      </c>
      <c r="DX64" s="2">
        <v>1</v>
      </c>
      <c r="DY64" s="2"/>
      <c r="DZ64" s="2"/>
      <c r="EA64" s="2"/>
      <c r="EB64" s="2"/>
      <c r="EC64" s="2"/>
      <c r="ED64" s="2"/>
      <c r="EE64" s="2">
        <v>16510488</v>
      </c>
      <c r="EF64" s="2">
        <v>2</v>
      </c>
      <c r="EG64" s="2" t="s">
        <v>18</v>
      </c>
      <c r="EH64" s="2">
        <v>0</v>
      </c>
      <c r="EI64" s="2" t="s">
        <v>6</v>
      </c>
      <c r="EJ64" s="2">
        <v>1</v>
      </c>
      <c r="EK64" s="2">
        <v>11001</v>
      </c>
      <c r="EL64" s="2" t="s">
        <v>109</v>
      </c>
      <c r="EM64" s="2" t="s">
        <v>124</v>
      </c>
      <c r="EN64" s="2"/>
      <c r="EO64" s="2" t="s">
        <v>6</v>
      </c>
      <c r="EP64" s="2"/>
      <c r="EQ64" s="2">
        <v>0</v>
      </c>
      <c r="ER64" s="2">
        <v>548.29999999999995</v>
      </c>
      <c r="ES64" s="2">
        <v>548.29999999999995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si="82"/>
        <v>0</v>
      </c>
      <c r="FS64" s="2">
        <v>0</v>
      </c>
      <c r="FT64" s="2" t="s">
        <v>21</v>
      </c>
      <c r="FU64" s="2" t="s">
        <v>22</v>
      </c>
      <c r="FV64" s="2"/>
      <c r="FW64" s="2"/>
      <c r="FX64" s="2">
        <v>110.7</v>
      </c>
      <c r="FY64" s="2">
        <v>63.75</v>
      </c>
      <c r="FZ64" s="2"/>
      <c r="GA64" s="2" t="s">
        <v>6</v>
      </c>
      <c r="GB64" s="2"/>
      <c r="GC64" s="2"/>
      <c r="GD64" s="2">
        <v>0</v>
      </c>
      <c r="GE64" s="2"/>
      <c r="GF64" s="2">
        <v>-1970722706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si="83"/>
        <v>0</v>
      </c>
      <c r="GM64" s="2">
        <f t="shared" si="84"/>
        <v>527.95000000000005</v>
      </c>
      <c r="GN64" s="2">
        <f t="shared" si="85"/>
        <v>527.95000000000005</v>
      </c>
      <c r="GO64" s="2">
        <f t="shared" si="86"/>
        <v>0</v>
      </c>
      <c r="GP64" s="2">
        <f t="shared" si="87"/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si="88"/>
        <v>0</v>
      </c>
      <c r="GW64" s="2">
        <v>1</v>
      </c>
      <c r="GX64" s="2">
        <f t="shared" si="89"/>
        <v>0</v>
      </c>
      <c r="GY64" s="2"/>
      <c r="GZ64" s="2"/>
      <c r="HA64" s="2">
        <v>0</v>
      </c>
      <c r="HB64" s="2">
        <v>0</v>
      </c>
      <c r="HC64" s="2">
        <f t="shared" si="90"/>
        <v>0</v>
      </c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152</v>
      </c>
      <c r="E65" t="s">
        <v>125</v>
      </c>
      <c r="F65" t="s">
        <v>126</v>
      </c>
      <c r="G65" t="s">
        <v>127</v>
      </c>
      <c r="H65" t="s">
        <v>128</v>
      </c>
      <c r="I65">
        <f>I63*J65</f>
        <v>0.96287999999999996</v>
      </c>
      <c r="J65">
        <v>2.04</v>
      </c>
      <c r="O65">
        <f t="shared" si="56"/>
        <v>3225.76</v>
      </c>
      <c r="P65">
        <f t="shared" si="57"/>
        <v>3225.76</v>
      </c>
      <c r="Q65">
        <f t="shared" si="58"/>
        <v>0</v>
      </c>
      <c r="R65">
        <f t="shared" si="59"/>
        <v>0</v>
      </c>
      <c r="S65">
        <f t="shared" si="60"/>
        <v>0</v>
      </c>
      <c r="T65">
        <f t="shared" si="61"/>
        <v>0</v>
      </c>
      <c r="U65">
        <f t="shared" si="62"/>
        <v>0</v>
      </c>
      <c r="V65">
        <f t="shared" si="63"/>
        <v>0</v>
      </c>
      <c r="W65">
        <f t="shared" si="64"/>
        <v>0</v>
      </c>
      <c r="X65">
        <f t="shared" si="65"/>
        <v>0</v>
      </c>
      <c r="Y65">
        <f t="shared" si="66"/>
        <v>0</v>
      </c>
      <c r="AA65">
        <v>16784196</v>
      </c>
      <c r="AB65">
        <f t="shared" si="67"/>
        <v>548.29999999999995</v>
      </c>
      <c r="AC65">
        <f t="shared" si="52"/>
        <v>548.29999999999995</v>
      </c>
      <c r="AD65">
        <f>ROUND((((ET65)-(EU65))+AE65),2)</f>
        <v>0</v>
      </c>
      <c r="AE65">
        <f>ROUND((EU65),2)</f>
        <v>0</v>
      </c>
      <c r="AF65">
        <f>ROUND((EV65),2)</f>
        <v>0</v>
      </c>
      <c r="AG65">
        <f t="shared" si="69"/>
        <v>0</v>
      </c>
      <c r="AH65">
        <f>(EW65)</f>
        <v>0</v>
      </c>
      <c r="AI65">
        <f>(EX65)</f>
        <v>0</v>
      </c>
      <c r="AJ65">
        <f t="shared" si="70"/>
        <v>0</v>
      </c>
      <c r="AK65">
        <v>548.29999999999995</v>
      </c>
      <c r="AL65">
        <v>548.29999999999995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111</v>
      </c>
      <c r="AU65">
        <v>64</v>
      </c>
      <c r="AV65">
        <v>1</v>
      </c>
      <c r="AW65">
        <v>1</v>
      </c>
      <c r="AZ65">
        <v>6.11</v>
      </c>
      <c r="BA65">
        <v>1</v>
      </c>
      <c r="BB65">
        <v>1</v>
      </c>
      <c r="BC65">
        <v>6.11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1</v>
      </c>
      <c r="BJ65" t="s">
        <v>129</v>
      </c>
      <c r="BM65">
        <v>11001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123</v>
      </c>
      <c r="CA65">
        <v>75</v>
      </c>
      <c r="CE65">
        <v>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71"/>
        <v>3225.76</v>
      </c>
      <c r="CQ65">
        <f t="shared" si="72"/>
        <v>3350.1129999999998</v>
      </c>
      <c r="CR65">
        <f t="shared" si="73"/>
        <v>0</v>
      </c>
      <c r="CS65">
        <f t="shared" si="74"/>
        <v>0</v>
      </c>
      <c r="CT65">
        <f t="shared" si="75"/>
        <v>0</v>
      </c>
      <c r="CU65">
        <f t="shared" si="76"/>
        <v>0</v>
      </c>
      <c r="CV65">
        <f t="shared" si="77"/>
        <v>0</v>
      </c>
      <c r="CW65">
        <f t="shared" si="78"/>
        <v>0</v>
      </c>
      <c r="CX65">
        <f t="shared" si="79"/>
        <v>0</v>
      </c>
      <c r="CY65">
        <f t="shared" si="80"/>
        <v>0</v>
      </c>
      <c r="CZ65">
        <f t="shared" si="81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1007</v>
      </c>
      <c r="DV65" t="s">
        <v>128</v>
      </c>
      <c r="DW65" t="s">
        <v>128</v>
      </c>
      <c r="DX65">
        <v>1</v>
      </c>
      <c r="EE65">
        <v>16510488</v>
      </c>
      <c r="EF65">
        <v>2</v>
      </c>
      <c r="EG65" t="s">
        <v>18</v>
      </c>
      <c r="EH65">
        <v>0</v>
      </c>
      <c r="EI65" t="s">
        <v>6</v>
      </c>
      <c r="EJ65">
        <v>1</v>
      </c>
      <c r="EK65">
        <v>11001</v>
      </c>
      <c r="EL65" t="s">
        <v>109</v>
      </c>
      <c r="EM65" t="s">
        <v>124</v>
      </c>
      <c r="EO65" t="s">
        <v>6</v>
      </c>
      <c r="EQ65">
        <v>0</v>
      </c>
      <c r="ER65">
        <v>548.29999999999995</v>
      </c>
      <c r="ES65">
        <v>548.29999999999995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2"/>
        <v>0</v>
      </c>
      <c r="FS65">
        <v>0</v>
      </c>
      <c r="FT65" t="s">
        <v>21</v>
      </c>
      <c r="FU65" t="s">
        <v>22</v>
      </c>
      <c r="FX65">
        <v>110.7</v>
      </c>
      <c r="FY65">
        <v>63.75</v>
      </c>
      <c r="GA65" t="s">
        <v>6</v>
      </c>
      <c r="GD65">
        <v>0</v>
      </c>
      <c r="GF65">
        <v>-1970722706</v>
      </c>
      <c r="GG65">
        <v>1</v>
      </c>
      <c r="GH65">
        <v>1</v>
      </c>
      <c r="GI65">
        <v>4</v>
      </c>
      <c r="GJ65">
        <v>0</v>
      </c>
      <c r="GK65">
        <f>ROUND(R65*(S12)/100,2)</f>
        <v>0</v>
      </c>
      <c r="GL65">
        <f t="shared" si="83"/>
        <v>0</v>
      </c>
      <c r="GM65">
        <f t="shared" si="84"/>
        <v>3225.76</v>
      </c>
      <c r="GN65">
        <f t="shared" si="85"/>
        <v>3225.76</v>
      </c>
      <c r="GO65">
        <f t="shared" si="86"/>
        <v>0</v>
      </c>
      <c r="GP65">
        <f t="shared" si="87"/>
        <v>0</v>
      </c>
      <c r="GR65">
        <v>0</v>
      </c>
      <c r="GS65">
        <v>3</v>
      </c>
      <c r="GT65">
        <v>0</v>
      </c>
      <c r="GU65" t="s">
        <v>6</v>
      </c>
      <c r="GV65">
        <f t="shared" si="88"/>
        <v>0</v>
      </c>
      <c r="GW65">
        <v>1</v>
      </c>
      <c r="GX65">
        <f t="shared" si="89"/>
        <v>0</v>
      </c>
      <c r="HA65">
        <v>0</v>
      </c>
      <c r="HB65">
        <v>0</v>
      </c>
      <c r="HC65">
        <f t="shared" si="90"/>
        <v>0</v>
      </c>
      <c r="IK65">
        <v>0</v>
      </c>
    </row>
    <row r="66" spans="1:255" x14ac:dyDescent="0.2">
      <c r="A66" s="2">
        <v>17</v>
      </c>
      <c r="B66" s="2">
        <v>1</v>
      </c>
      <c r="C66" s="2">
        <f>ROW(SmtRes!A159)</f>
        <v>159</v>
      </c>
      <c r="D66" s="2">
        <f>ROW(EtalonRes!A167)</f>
        <v>167</v>
      </c>
      <c r="E66" s="2" t="s">
        <v>130</v>
      </c>
      <c r="F66" s="2" t="s">
        <v>131</v>
      </c>
      <c r="G66" s="2" t="s">
        <v>132</v>
      </c>
      <c r="H66" s="2" t="s">
        <v>16</v>
      </c>
      <c r="I66" s="2">
        <f>ROUND(47.2/100,9)</f>
        <v>0.47199999999999998</v>
      </c>
      <c r="J66" s="2">
        <v>0</v>
      </c>
      <c r="K66" s="2"/>
      <c r="L66" s="2"/>
      <c r="M66" s="2"/>
      <c r="N66" s="2"/>
      <c r="O66" s="2">
        <f t="shared" si="56"/>
        <v>5229.13</v>
      </c>
      <c r="P66" s="2">
        <f t="shared" si="57"/>
        <v>5051.03</v>
      </c>
      <c r="Q66" s="2">
        <f t="shared" si="58"/>
        <v>3.68</v>
      </c>
      <c r="R66" s="2">
        <f t="shared" si="59"/>
        <v>1.1599999999999999</v>
      </c>
      <c r="S66" s="2">
        <f t="shared" si="60"/>
        <v>174.42</v>
      </c>
      <c r="T66" s="2">
        <f t="shared" si="61"/>
        <v>0</v>
      </c>
      <c r="U66" s="2">
        <f t="shared" si="62"/>
        <v>20.447275999999995</v>
      </c>
      <c r="V66" s="2">
        <f t="shared" si="63"/>
        <v>0.1003</v>
      </c>
      <c r="W66" s="2">
        <f t="shared" si="64"/>
        <v>0</v>
      </c>
      <c r="X66" s="2">
        <f t="shared" si="65"/>
        <v>194.89</v>
      </c>
      <c r="Y66" s="2">
        <f t="shared" si="66"/>
        <v>112.37</v>
      </c>
      <c r="Z66" s="2"/>
      <c r="AA66" s="2">
        <v>16784195</v>
      </c>
      <c r="AB66" s="2">
        <f t="shared" si="67"/>
        <v>11078.65</v>
      </c>
      <c r="AC66" s="2">
        <f t="shared" si="52"/>
        <v>10701.33</v>
      </c>
      <c r="AD66" s="2">
        <f>ROUND(((((ET66*1.25))-((EU66*1.25)))+AE66),2)</f>
        <v>7.79</v>
      </c>
      <c r="AE66" s="2">
        <f>ROUND(((EU66*1.25)),2)</f>
        <v>2.46</v>
      </c>
      <c r="AF66" s="2">
        <f>ROUND(((EV66*1.15)),2)</f>
        <v>369.53</v>
      </c>
      <c r="AG66" s="2">
        <f t="shared" si="69"/>
        <v>0</v>
      </c>
      <c r="AH66" s="2">
        <f>((EW66*1.15))</f>
        <v>43.320499999999996</v>
      </c>
      <c r="AI66" s="2">
        <f>((EX66*1.25))</f>
        <v>0.21250000000000002</v>
      </c>
      <c r="AJ66" s="2">
        <f t="shared" si="70"/>
        <v>0</v>
      </c>
      <c r="AK66" s="2">
        <v>11028.89</v>
      </c>
      <c r="AL66" s="2">
        <v>10701.33</v>
      </c>
      <c r="AM66" s="2">
        <v>6.23</v>
      </c>
      <c r="AN66" s="2">
        <v>1.97</v>
      </c>
      <c r="AO66" s="2">
        <v>321.33</v>
      </c>
      <c r="AP66" s="2">
        <v>0</v>
      </c>
      <c r="AQ66" s="2">
        <v>37.67</v>
      </c>
      <c r="AR66" s="2">
        <v>0.17</v>
      </c>
      <c r="AS66" s="2">
        <v>0</v>
      </c>
      <c r="AT66" s="2">
        <v>111</v>
      </c>
      <c r="AU66" s="2">
        <v>64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0</v>
      </c>
      <c r="BI66" s="2">
        <v>1</v>
      </c>
      <c r="BJ66" s="2" t="s">
        <v>133</v>
      </c>
      <c r="BK66" s="2"/>
      <c r="BL66" s="2"/>
      <c r="BM66" s="2">
        <v>11001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123</v>
      </c>
      <c r="CA66" s="2">
        <v>75</v>
      </c>
      <c r="CB66" s="2"/>
      <c r="CC66" s="2"/>
      <c r="CD66" s="2"/>
      <c r="CE66" s="2">
        <v>0</v>
      </c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824</v>
      </c>
      <c r="CO66" s="2">
        <v>0</v>
      </c>
      <c r="CP66" s="2">
        <f t="shared" si="71"/>
        <v>5229.13</v>
      </c>
      <c r="CQ66" s="2">
        <f t="shared" si="72"/>
        <v>10701.33</v>
      </c>
      <c r="CR66" s="2">
        <f t="shared" si="73"/>
        <v>7.79</v>
      </c>
      <c r="CS66" s="2">
        <f t="shared" si="74"/>
        <v>2.46</v>
      </c>
      <c r="CT66" s="2">
        <f t="shared" si="75"/>
        <v>369.53</v>
      </c>
      <c r="CU66" s="2">
        <f t="shared" si="76"/>
        <v>0</v>
      </c>
      <c r="CV66" s="2">
        <f t="shared" si="77"/>
        <v>43.320499999999996</v>
      </c>
      <c r="CW66" s="2">
        <f t="shared" si="78"/>
        <v>0.21250000000000002</v>
      </c>
      <c r="CX66" s="2">
        <f t="shared" si="79"/>
        <v>0</v>
      </c>
      <c r="CY66" s="2">
        <f t="shared" si="80"/>
        <v>194.89379999999997</v>
      </c>
      <c r="CZ66" s="2">
        <f t="shared" si="81"/>
        <v>112.37119999999999</v>
      </c>
      <c r="DA66" s="2"/>
      <c r="DB66" s="2"/>
      <c r="DC66" s="2" t="s">
        <v>6</v>
      </c>
      <c r="DD66" s="2" t="s">
        <v>6</v>
      </c>
      <c r="DE66" s="2" t="s">
        <v>27</v>
      </c>
      <c r="DF66" s="2" t="s">
        <v>27</v>
      </c>
      <c r="DG66" s="2" t="s">
        <v>28</v>
      </c>
      <c r="DH66" s="2" t="s">
        <v>6</v>
      </c>
      <c r="DI66" s="2" t="s">
        <v>28</v>
      </c>
      <c r="DJ66" s="2" t="s">
        <v>27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16</v>
      </c>
      <c r="DW66" s="2" t="s">
        <v>16</v>
      </c>
      <c r="DX66" s="2">
        <v>100</v>
      </c>
      <c r="DY66" s="2"/>
      <c r="DZ66" s="2"/>
      <c r="EA66" s="2"/>
      <c r="EB66" s="2"/>
      <c r="EC66" s="2"/>
      <c r="ED66" s="2"/>
      <c r="EE66" s="2">
        <v>16510488</v>
      </c>
      <c r="EF66" s="2">
        <v>2</v>
      </c>
      <c r="EG66" s="2" t="s">
        <v>18</v>
      </c>
      <c r="EH66" s="2">
        <v>0</v>
      </c>
      <c r="EI66" s="2" t="s">
        <v>6</v>
      </c>
      <c r="EJ66" s="2">
        <v>1</v>
      </c>
      <c r="EK66" s="2">
        <v>11001</v>
      </c>
      <c r="EL66" s="2" t="s">
        <v>109</v>
      </c>
      <c r="EM66" s="2" t="s">
        <v>124</v>
      </c>
      <c r="EN66" s="2"/>
      <c r="EO66" s="2" t="s">
        <v>31</v>
      </c>
      <c r="EP66" s="2"/>
      <c r="EQ66" s="2">
        <v>131072</v>
      </c>
      <c r="ER66" s="2">
        <v>11028.89</v>
      </c>
      <c r="ES66" s="2">
        <v>10701.33</v>
      </c>
      <c r="ET66" s="2">
        <v>6.23</v>
      </c>
      <c r="EU66" s="2">
        <v>1.97</v>
      </c>
      <c r="EV66" s="2">
        <v>321.33</v>
      </c>
      <c r="EW66" s="2">
        <v>37.67</v>
      </c>
      <c r="EX66" s="2">
        <v>0.17</v>
      </c>
      <c r="EY66" s="2">
        <v>0</v>
      </c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82"/>
        <v>0</v>
      </c>
      <c r="FS66" s="2">
        <v>0</v>
      </c>
      <c r="FT66" s="2" t="s">
        <v>21</v>
      </c>
      <c r="FU66" s="2" t="s">
        <v>22</v>
      </c>
      <c r="FV66" s="2"/>
      <c r="FW66" s="2"/>
      <c r="FX66" s="2">
        <v>110.7</v>
      </c>
      <c r="FY66" s="2">
        <v>63.75</v>
      </c>
      <c r="FZ66" s="2"/>
      <c r="GA66" s="2" t="s">
        <v>6</v>
      </c>
      <c r="GB66" s="2"/>
      <c r="GC66" s="2"/>
      <c r="GD66" s="2">
        <v>0</v>
      </c>
      <c r="GE66" s="2"/>
      <c r="GF66" s="2">
        <v>1715562049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83"/>
        <v>0</v>
      </c>
      <c r="GM66" s="2">
        <f t="shared" si="84"/>
        <v>5536.39</v>
      </c>
      <c r="GN66" s="2">
        <f t="shared" si="85"/>
        <v>5536.39</v>
      </c>
      <c r="GO66" s="2">
        <f t="shared" si="86"/>
        <v>0</v>
      </c>
      <c r="GP66" s="2">
        <f t="shared" si="87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88"/>
        <v>0</v>
      </c>
      <c r="GW66" s="2">
        <v>1</v>
      </c>
      <c r="GX66" s="2">
        <f t="shared" si="89"/>
        <v>0</v>
      </c>
      <c r="GY66" s="2"/>
      <c r="GZ66" s="2"/>
      <c r="HA66" s="2">
        <v>0</v>
      </c>
      <c r="HB66" s="2">
        <v>0</v>
      </c>
      <c r="HC66" s="2">
        <f t="shared" si="90"/>
        <v>0</v>
      </c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17</v>
      </c>
      <c r="B67">
        <v>1</v>
      </c>
      <c r="C67">
        <f>ROW(SmtRes!A166)</f>
        <v>166</v>
      </c>
      <c r="D67">
        <f>ROW(EtalonRes!A174)</f>
        <v>174</v>
      </c>
      <c r="E67" t="s">
        <v>130</v>
      </c>
      <c r="F67" t="s">
        <v>131</v>
      </c>
      <c r="G67" t="s">
        <v>132</v>
      </c>
      <c r="H67" t="s">
        <v>16</v>
      </c>
      <c r="I67">
        <f>ROUND(47.2/100,9)</f>
        <v>0.47199999999999998</v>
      </c>
      <c r="J67">
        <v>0</v>
      </c>
      <c r="O67">
        <f t="shared" si="56"/>
        <v>31949.94</v>
      </c>
      <c r="P67">
        <f t="shared" si="57"/>
        <v>30861.78</v>
      </c>
      <c r="Q67">
        <f t="shared" si="58"/>
        <v>22.47</v>
      </c>
      <c r="R67">
        <f t="shared" si="59"/>
        <v>7.09</v>
      </c>
      <c r="S67">
        <f t="shared" si="60"/>
        <v>1065.69</v>
      </c>
      <c r="T67">
        <f t="shared" si="61"/>
        <v>0</v>
      </c>
      <c r="U67">
        <f t="shared" si="62"/>
        <v>20.447275999999995</v>
      </c>
      <c r="V67">
        <f t="shared" si="63"/>
        <v>0.1003</v>
      </c>
      <c r="W67">
        <f t="shared" si="64"/>
        <v>0</v>
      </c>
      <c r="X67">
        <f t="shared" si="65"/>
        <v>1190.79</v>
      </c>
      <c r="Y67">
        <f t="shared" si="66"/>
        <v>686.58</v>
      </c>
      <c r="AA67">
        <v>16784196</v>
      </c>
      <c r="AB67">
        <f t="shared" si="67"/>
        <v>11078.65</v>
      </c>
      <c r="AC67">
        <f t="shared" si="52"/>
        <v>10701.33</v>
      </c>
      <c r="AD67">
        <f>ROUND(((((ET67*1.25))-((EU67*1.25)))+AE67),2)</f>
        <v>7.79</v>
      </c>
      <c r="AE67">
        <f>ROUND(((EU67*1.25)),2)</f>
        <v>2.46</v>
      </c>
      <c r="AF67">
        <f>ROUND(((EV67*1.15)),2)</f>
        <v>369.53</v>
      </c>
      <c r="AG67">
        <f t="shared" si="69"/>
        <v>0</v>
      </c>
      <c r="AH67">
        <f>((EW67*1.15))</f>
        <v>43.320499999999996</v>
      </c>
      <c r="AI67">
        <f>((EX67*1.25))</f>
        <v>0.21250000000000002</v>
      </c>
      <c r="AJ67">
        <f t="shared" si="70"/>
        <v>0</v>
      </c>
      <c r="AK67">
        <v>11028.89</v>
      </c>
      <c r="AL67">
        <v>10701.33</v>
      </c>
      <c r="AM67">
        <v>6.23</v>
      </c>
      <c r="AN67">
        <v>1.97</v>
      </c>
      <c r="AO67">
        <v>321.33</v>
      </c>
      <c r="AP67">
        <v>0</v>
      </c>
      <c r="AQ67">
        <v>37.67</v>
      </c>
      <c r="AR67">
        <v>0.17</v>
      </c>
      <c r="AS67">
        <v>0</v>
      </c>
      <c r="AT67">
        <v>111</v>
      </c>
      <c r="AU67">
        <v>64</v>
      </c>
      <c r="AV67">
        <v>1</v>
      </c>
      <c r="AW67">
        <v>1</v>
      </c>
      <c r="AZ67">
        <v>6.11</v>
      </c>
      <c r="BA67">
        <v>6.11</v>
      </c>
      <c r="BB67">
        <v>6.11</v>
      </c>
      <c r="BC67">
        <v>6.11</v>
      </c>
      <c r="BD67" t="s">
        <v>6</v>
      </c>
      <c r="BE67" t="s">
        <v>6</v>
      </c>
      <c r="BF67" t="s">
        <v>6</v>
      </c>
      <c r="BG67" t="s">
        <v>6</v>
      </c>
      <c r="BH67">
        <v>0</v>
      </c>
      <c r="BI67">
        <v>1</v>
      </c>
      <c r="BJ67" t="s">
        <v>133</v>
      </c>
      <c r="BM67">
        <v>11001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6.11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123</v>
      </c>
      <c r="CA67">
        <v>75</v>
      </c>
      <c r="CE67">
        <v>0</v>
      </c>
      <c r="CF67">
        <v>0</v>
      </c>
      <c r="CG67">
        <v>0</v>
      </c>
      <c r="CM67">
        <v>0</v>
      </c>
      <c r="CN67" t="s">
        <v>824</v>
      </c>
      <c r="CO67">
        <v>0</v>
      </c>
      <c r="CP67">
        <f t="shared" si="71"/>
        <v>31949.94</v>
      </c>
      <c r="CQ67">
        <f t="shared" si="72"/>
        <v>65385.126300000004</v>
      </c>
      <c r="CR67">
        <f t="shared" si="73"/>
        <v>47.596900000000005</v>
      </c>
      <c r="CS67">
        <f t="shared" si="74"/>
        <v>15.0306</v>
      </c>
      <c r="CT67">
        <f t="shared" si="75"/>
        <v>2257.8283000000001</v>
      </c>
      <c r="CU67">
        <f t="shared" si="76"/>
        <v>0</v>
      </c>
      <c r="CV67">
        <f t="shared" si="77"/>
        <v>43.320499999999996</v>
      </c>
      <c r="CW67">
        <f t="shared" si="78"/>
        <v>0.21250000000000002</v>
      </c>
      <c r="CX67">
        <f t="shared" si="79"/>
        <v>0</v>
      </c>
      <c r="CY67">
        <f t="shared" si="80"/>
        <v>1190.7858000000001</v>
      </c>
      <c r="CZ67">
        <f t="shared" si="81"/>
        <v>686.57920000000001</v>
      </c>
      <c r="DC67" t="s">
        <v>6</v>
      </c>
      <c r="DD67" t="s">
        <v>6</v>
      </c>
      <c r="DE67" t="s">
        <v>27</v>
      </c>
      <c r="DF67" t="s">
        <v>27</v>
      </c>
      <c r="DG67" t="s">
        <v>28</v>
      </c>
      <c r="DH67" t="s">
        <v>6</v>
      </c>
      <c r="DI67" t="s">
        <v>28</v>
      </c>
      <c r="DJ67" t="s">
        <v>27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16</v>
      </c>
      <c r="DW67" t="s">
        <v>16</v>
      </c>
      <c r="DX67">
        <v>100</v>
      </c>
      <c r="EE67">
        <v>16510488</v>
      </c>
      <c r="EF67">
        <v>2</v>
      </c>
      <c r="EG67" t="s">
        <v>18</v>
      </c>
      <c r="EH67">
        <v>0</v>
      </c>
      <c r="EI67" t="s">
        <v>6</v>
      </c>
      <c r="EJ67">
        <v>1</v>
      </c>
      <c r="EK67">
        <v>11001</v>
      </c>
      <c r="EL67" t="s">
        <v>109</v>
      </c>
      <c r="EM67" t="s">
        <v>124</v>
      </c>
      <c r="EO67" t="s">
        <v>31</v>
      </c>
      <c r="EQ67">
        <v>131072</v>
      </c>
      <c r="ER67">
        <v>11028.89</v>
      </c>
      <c r="ES67">
        <v>10701.33</v>
      </c>
      <c r="ET67">
        <v>6.23</v>
      </c>
      <c r="EU67">
        <v>1.97</v>
      </c>
      <c r="EV67">
        <v>321.33</v>
      </c>
      <c r="EW67">
        <v>37.67</v>
      </c>
      <c r="EX67">
        <v>0.17</v>
      </c>
      <c r="EY67">
        <v>0</v>
      </c>
      <c r="FQ67">
        <v>0</v>
      </c>
      <c r="FR67">
        <f t="shared" si="82"/>
        <v>0</v>
      </c>
      <c r="FS67">
        <v>0</v>
      </c>
      <c r="FT67" t="s">
        <v>21</v>
      </c>
      <c r="FU67" t="s">
        <v>22</v>
      </c>
      <c r="FX67">
        <v>110.7</v>
      </c>
      <c r="FY67">
        <v>63.75</v>
      </c>
      <c r="GA67" t="s">
        <v>6</v>
      </c>
      <c r="GD67">
        <v>0</v>
      </c>
      <c r="GF67">
        <v>1715562049</v>
      </c>
      <c r="GG67">
        <v>1</v>
      </c>
      <c r="GH67">
        <v>1</v>
      </c>
      <c r="GI67">
        <v>4</v>
      </c>
      <c r="GJ67">
        <v>0</v>
      </c>
      <c r="GK67">
        <f>ROUND(R67*(S12)/100,2)</f>
        <v>0</v>
      </c>
      <c r="GL67">
        <f t="shared" si="83"/>
        <v>0</v>
      </c>
      <c r="GM67">
        <f t="shared" si="84"/>
        <v>33827.31</v>
      </c>
      <c r="GN67">
        <f t="shared" si="85"/>
        <v>33827.31</v>
      </c>
      <c r="GO67">
        <f t="shared" si="86"/>
        <v>0</v>
      </c>
      <c r="GP67">
        <f t="shared" si="87"/>
        <v>0</v>
      </c>
      <c r="GR67">
        <v>0</v>
      </c>
      <c r="GS67">
        <v>3</v>
      </c>
      <c r="GT67">
        <v>0</v>
      </c>
      <c r="GU67" t="s">
        <v>6</v>
      </c>
      <c r="GV67">
        <f t="shared" si="88"/>
        <v>0</v>
      </c>
      <c r="GW67">
        <v>1</v>
      </c>
      <c r="GX67">
        <f t="shared" si="89"/>
        <v>0</v>
      </c>
      <c r="HA67">
        <v>0</v>
      </c>
      <c r="HB67">
        <v>0</v>
      </c>
      <c r="HC67">
        <f t="shared" si="90"/>
        <v>0</v>
      </c>
      <c r="IK67">
        <v>0</v>
      </c>
    </row>
    <row r="68" spans="1:255" x14ac:dyDescent="0.2">
      <c r="A68" s="2">
        <v>17</v>
      </c>
      <c r="B68" s="2">
        <v>1</v>
      </c>
      <c r="C68" s="2">
        <f>ROW(SmtRes!A178)</f>
        <v>178</v>
      </c>
      <c r="D68" s="2">
        <f>ROW(EtalonRes!A186)</f>
        <v>186</v>
      </c>
      <c r="E68" s="2" t="s">
        <v>134</v>
      </c>
      <c r="F68" s="2" t="s">
        <v>135</v>
      </c>
      <c r="G68" s="2" t="s">
        <v>136</v>
      </c>
      <c r="H68" s="2" t="s">
        <v>16</v>
      </c>
      <c r="I68" s="2">
        <f>ROUND(47.2/100,9)</f>
        <v>0.47199999999999998</v>
      </c>
      <c r="J68" s="2">
        <v>0</v>
      </c>
      <c r="K68" s="2"/>
      <c r="L68" s="2"/>
      <c r="M68" s="2"/>
      <c r="N68" s="2"/>
      <c r="O68" s="2">
        <f t="shared" si="56"/>
        <v>10379.209999999999</v>
      </c>
      <c r="P68" s="2">
        <f t="shared" si="57"/>
        <v>8892.31</v>
      </c>
      <c r="Q68" s="2">
        <f t="shared" si="58"/>
        <v>14.25</v>
      </c>
      <c r="R68" s="2">
        <f t="shared" si="59"/>
        <v>10.33</v>
      </c>
      <c r="S68" s="2">
        <f t="shared" si="60"/>
        <v>1472.65</v>
      </c>
      <c r="T68" s="2">
        <f t="shared" si="61"/>
        <v>0</v>
      </c>
      <c r="U68" s="2">
        <f t="shared" si="62"/>
        <v>168.49597599999998</v>
      </c>
      <c r="V68" s="2">
        <f t="shared" si="63"/>
        <v>1.0206999999999999</v>
      </c>
      <c r="W68" s="2">
        <f t="shared" si="64"/>
        <v>0</v>
      </c>
      <c r="X68" s="2">
        <f t="shared" si="65"/>
        <v>1646.11</v>
      </c>
      <c r="Y68" s="2">
        <f t="shared" si="66"/>
        <v>949.11</v>
      </c>
      <c r="Z68" s="2"/>
      <c r="AA68" s="2">
        <v>16784195</v>
      </c>
      <c r="AB68" s="2">
        <f t="shared" si="67"/>
        <v>21989.86</v>
      </c>
      <c r="AC68" s="2">
        <f t="shared" si="52"/>
        <v>18839.64</v>
      </c>
      <c r="AD68" s="2">
        <f>ROUND(((((ET68*1.25))-((EU68*1.25)))+AE68),2)</f>
        <v>30.19</v>
      </c>
      <c r="AE68" s="2">
        <f>ROUND(((EU68*1.25)),2)</f>
        <v>21.89</v>
      </c>
      <c r="AF68" s="2">
        <f>ROUND(((EV68*1.15)),2)</f>
        <v>3120.03</v>
      </c>
      <c r="AG68" s="2">
        <f t="shared" si="69"/>
        <v>0</v>
      </c>
      <c r="AH68" s="2">
        <f>((EW68*1.15))</f>
        <v>356.983</v>
      </c>
      <c r="AI68" s="2">
        <f>((EX68*1.25))</f>
        <v>2.1625000000000001</v>
      </c>
      <c r="AJ68" s="2">
        <f t="shared" si="70"/>
        <v>0</v>
      </c>
      <c r="AK68" s="2">
        <v>21576.86</v>
      </c>
      <c r="AL68" s="2">
        <v>18839.64</v>
      </c>
      <c r="AM68" s="2">
        <v>24.15</v>
      </c>
      <c r="AN68" s="2">
        <v>17.510000000000002</v>
      </c>
      <c r="AO68" s="2">
        <v>2713.07</v>
      </c>
      <c r="AP68" s="2">
        <v>0</v>
      </c>
      <c r="AQ68" s="2">
        <v>310.42</v>
      </c>
      <c r="AR68" s="2">
        <v>1.73</v>
      </c>
      <c r="AS68" s="2">
        <v>0</v>
      </c>
      <c r="AT68" s="2">
        <v>111</v>
      </c>
      <c r="AU68" s="2">
        <v>64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0</v>
      </c>
      <c r="BI68" s="2">
        <v>1</v>
      </c>
      <c r="BJ68" s="2" t="s">
        <v>137</v>
      </c>
      <c r="BK68" s="2"/>
      <c r="BL68" s="2"/>
      <c r="BM68" s="2">
        <v>11001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123</v>
      </c>
      <c r="CA68" s="2">
        <v>75</v>
      </c>
      <c r="CB68" s="2"/>
      <c r="CC68" s="2"/>
      <c r="CD68" s="2"/>
      <c r="CE68" s="2">
        <v>0</v>
      </c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824</v>
      </c>
      <c r="CO68" s="2">
        <v>0</v>
      </c>
      <c r="CP68" s="2">
        <f t="shared" si="71"/>
        <v>10379.209999999999</v>
      </c>
      <c r="CQ68" s="2">
        <f t="shared" si="72"/>
        <v>18839.64</v>
      </c>
      <c r="CR68" s="2">
        <f t="shared" si="73"/>
        <v>30.19</v>
      </c>
      <c r="CS68" s="2">
        <f t="shared" si="74"/>
        <v>21.89</v>
      </c>
      <c r="CT68" s="2">
        <f t="shared" si="75"/>
        <v>3120.03</v>
      </c>
      <c r="CU68" s="2">
        <f t="shared" si="76"/>
        <v>0</v>
      </c>
      <c r="CV68" s="2">
        <f t="shared" si="77"/>
        <v>356.983</v>
      </c>
      <c r="CW68" s="2">
        <f t="shared" si="78"/>
        <v>2.1625000000000001</v>
      </c>
      <c r="CX68" s="2">
        <f t="shared" si="79"/>
        <v>0</v>
      </c>
      <c r="CY68" s="2">
        <f t="shared" si="80"/>
        <v>1646.1078</v>
      </c>
      <c r="CZ68" s="2">
        <f t="shared" si="81"/>
        <v>949.10720000000003</v>
      </c>
      <c r="DA68" s="2"/>
      <c r="DB68" s="2"/>
      <c r="DC68" s="2" t="s">
        <v>6</v>
      </c>
      <c r="DD68" s="2" t="s">
        <v>6</v>
      </c>
      <c r="DE68" s="2" t="s">
        <v>27</v>
      </c>
      <c r="DF68" s="2" t="s">
        <v>27</v>
      </c>
      <c r="DG68" s="2" t="s">
        <v>28</v>
      </c>
      <c r="DH68" s="2" t="s">
        <v>6</v>
      </c>
      <c r="DI68" s="2" t="s">
        <v>28</v>
      </c>
      <c r="DJ68" s="2" t="s">
        <v>27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1005</v>
      </c>
      <c r="DV68" s="2" t="s">
        <v>16</v>
      </c>
      <c r="DW68" s="2" t="s">
        <v>16</v>
      </c>
      <c r="DX68" s="2">
        <v>100</v>
      </c>
      <c r="DY68" s="2"/>
      <c r="DZ68" s="2"/>
      <c r="EA68" s="2"/>
      <c r="EB68" s="2"/>
      <c r="EC68" s="2"/>
      <c r="ED68" s="2"/>
      <c r="EE68" s="2">
        <v>16510488</v>
      </c>
      <c r="EF68" s="2">
        <v>2</v>
      </c>
      <c r="EG68" s="2" t="s">
        <v>18</v>
      </c>
      <c r="EH68" s="2">
        <v>0</v>
      </c>
      <c r="EI68" s="2" t="s">
        <v>6</v>
      </c>
      <c r="EJ68" s="2">
        <v>1</v>
      </c>
      <c r="EK68" s="2">
        <v>11001</v>
      </c>
      <c r="EL68" s="2" t="s">
        <v>109</v>
      </c>
      <c r="EM68" s="2" t="s">
        <v>124</v>
      </c>
      <c r="EN68" s="2"/>
      <c r="EO68" s="2" t="s">
        <v>31</v>
      </c>
      <c r="EP68" s="2"/>
      <c r="EQ68" s="2">
        <v>131072</v>
      </c>
      <c r="ER68" s="2">
        <v>21576.86</v>
      </c>
      <c r="ES68" s="2">
        <v>18839.64</v>
      </c>
      <c r="ET68" s="2">
        <v>24.15</v>
      </c>
      <c r="EU68" s="2">
        <v>17.510000000000002</v>
      </c>
      <c r="EV68" s="2">
        <v>2713.07</v>
      </c>
      <c r="EW68" s="2">
        <v>310.42</v>
      </c>
      <c r="EX68" s="2">
        <v>1.73</v>
      </c>
      <c r="EY68" s="2">
        <v>0</v>
      </c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82"/>
        <v>0</v>
      </c>
      <c r="FS68" s="2">
        <v>0</v>
      </c>
      <c r="FT68" s="2" t="s">
        <v>21</v>
      </c>
      <c r="FU68" s="2" t="s">
        <v>22</v>
      </c>
      <c r="FV68" s="2"/>
      <c r="FW68" s="2"/>
      <c r="FX68" s="2">
        <v>110.7</v>
      </c>
      <c r="FY68" s="2">
        <v>63.75</v>
      </c>
      <c r="FZ68" s="2"/>
      <c r="GA68" s="2" t="s">
        <v>6</v>
      </c>
      <c r="GB68" s="2"/>
      <c r="GC68" s="2"/>
      <c r="GD68" s="2">
        <v>0</v>
      </c>
      <c r="GE68" s="2"/>
      <c r="GF68" s="2">
        <v>1016495109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83"/>
        <v>0</v>
      </c>
      <c r="GM68" s="2">
        <f t="shared" si="84"/>
        <v>12974.43</v>
      </c>
      <c r="GN68" s="2">
        <f t="shared" si="85"/>
        <v>12974.43</v>
      </c>
      <c r="GO68" s="2">
        <f t="shared" si="86"/>
        <v>0</v>
      </c>
      <c r="GP68" s="2">
        <f t="shared" si="87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88"/>
        <v>0</v>
      </c>
      <c r="GW68" s="2">
        <v>1</v>
      </c>
      <c r="GX68" s="2">
        <f t="shared" si="89"/>
        <v>0</v>
      </c>
      <c r="GY68" s="2"/>
      <c r="GZ68" s="2"/>
      <c r="HA68" s="2">
        <v>0</v>
      </c>
      <c r="HB68" s="2">
        <v>0</v>
      </c>
      <c r="HC68" s="2">
        <f t="shared" si="90"/>
        <v>0</v>
      </c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17</v>
      </c>
      <c r="B69">
        <v>1</v>
      </c>
      <c r="C69">
        <f>ROW(SmtRes!A190)</f>
        <v>190</v>
      </c>
      <c r="D69">
        <f>ROW(EtalonRes!A198)</f>
        <v>198</v>
      </c>
      <c r="E69" t="s">
        <v>134</v>
      </c>
      <c r="F69" t="s">
        <v>135</v>
      </c>
      <c r="G69" t="s">
        <v>136</v>
      </c>
      <c r="H69" t="s">
        <v>16</v>
      </c>
      <c r="I69">
        <f>ROUND(47.2/100,9)</f>
        <v>0.47199999999999998</v>
      </c>
      <c r="J69">
        <v>0</v>
      </c>
      <c r="O69">
        <f t="shared" si="56"/>
        <v>63417</v>
      </c>
      <c r="P69">
        <f t="shared" si="57"/>
        <v>54332.01</v>
      </c>
      <c r="Q69">
        <f t="shared" si="58"/>
        <v>87.07</v>
      </c>
      <c r="R69">
        <f t="shared" si="59"/>
        <v>63.13</v>
      </c>
      <c r="S69">
        <f t="shared" si="60"/>
        <v>8997.92</v>
      </c>
      <c r="T69">
        <f t="shared" si="61"/>
        <v>0</v>
      </c>
      <c r="U69">
        <f t="shared" si="62"/>
        <v>168.49597599999998</v>
      </c>
      <c r="V69">
        <f t="shared" si="63"/>
        <v>1.0206999999999999</v>
      </c>
      <c r="W69">
        <f t="shared" si="64"/>
        <v>0</v>
      </c>
      <c r="X69">
        <f t="shared" si="65"/>
        <v>10057.77</v>
      </c>
      <c r="Y69">
        <f t="shared" si="66"/>
        <v>5799.07</v>
      </c>
      <c r="AA69">
        <v>16784196</v>
      </c>
      <c r="AB69">
        <f t="shared" si="67"/>
        <v>21989.86</v>
      </c>
      <c r="AC69">
        <f t="shared" si="52"/>
        <v>18839.64</v>
      </c>
      <c r="AD69">
        <f>ROUND(((((ET69*1.25))-((EU69*1.25)))+AE69),2)</f>
        <v>30.19</v>
      </c>
      <c r="AE69">
        <f>ROUND(((EU69*1.25)),2)</f>
        <v>21.89</v>
      </c>
      <c r="AF69">
        <f>ROUND(((EV69*1.15)),2)</f>
        <v>3120.03</v>
      </c>
      <c r="AG69">
        <f t="shared" si="69"/>
        <v>0</v>
      </c>
      <c r="AH69">
        <f>((EW69*1.15))</f>
        <v>356.983</v>
      </c>
      <c r="AI69">
        <f>((EX69*1.25))</f>
        <v>2.1625000000000001</v>
      </c>
      <c r="AJ69">
        <f t="shared" si="70"/>
        <v>0</v>
      </c>
      <c r="AK69">
        <v>21576.86</v>
      </c>
      <c r="AL69">
        <v>18839.64</v>
      </c>
      <c r="AM69">
        <v>24.15</v>
      </c>
      <c r="AN69">
        <v>17.510000000000002</v>
      </c>
      <c r="AO69">
        <v>2713.07</v>
      </c>
      <c r="AP69">
        <v>0</v>
      </c>
      <c r="AQ69">
        <v>310.42</v>
      </c>
      <c r="AR69">
        <v>1.73</v>
      </c>
      <c r="AS69">
        <v>0</v>
      </c>
      <c r="AT69">
        <v>111</v>
      </c>
      <c r="AU69">
        <v>64</v>
      </c>
      <c r="AV69">
        <v>1</v>
      </c>
      <c r="AW69">
        <v>1</v>
      </c>
      <c r="AZ69">
        <v>6.11</v>
      </c>
      <c r="BA69">
        <v>6.11</v>
      </c>
      <c r="BB69">
        <v>6.11</v>
      </c>
      <c r="BC69">
        <v>6.11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137</v>
      </c>
      <c r="BM69">
        <v>11001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6.11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123</v>
      </c>
      <c r="CA69">
        <v>75</v>
      </c>
      <c r="CE69">
        <v>0</v>
      </c>
      <c r="CF69">
        <v>0</v>
      </c>
      <c r="CG69">
        <v>0</v>
      </c>
      <c r="CM69">
        <v>0</v>
      </c>
      <c r="CN69" t="s">
        <v>824</v>
      </c>
      <c r="CO69">
        <v>0</v>
      </c>
      <c r="CP69">
        <f t="shared" si="71"/>
        <v>63417</v>
      </c>
      <c r="CQ69">
        <f t="shared" si="72"/>
        <v>115110.2004</v>
      </c>
      <c r="CR69">
        <f t="shared" si="73"/>
        <v>184.46090000000001</v>
      </c>
      <c r="CS69">
        <f t="shared" si="74"/>
        <v>133.74790000000002</v>
      </c>
      <c r="CT69">
        <f t="shared" si="75"/>
        <v>19063.383300000001</v>
      </c>
      <c r="CU69">
        <f t="shared" si="76"/>
        <v>0</v>
      </c>
      <c r="CV69">
        <f t="shared" si="77"/>
        <v>356.983</v>
      </c>
      <c r="CW69">
        <f t="shared" si="78"/>
        <v>2.1625000000000001</v>
      </c>
      <c r="CX69">
        <f t="shared" si="79"/>
        <v>0</v>
      </c>
      <c r="CY69">
        <f t="shared" si="80"/>
        <v>10057.7655</v>
      </c>
      <c r="CZ69">
        <f t="shared" si="81"/>
        <v>5799.0719999999992</v>
      </c>
      <c r="DC69" t="s">
        <v>6</v>
      </c>
      <c r="DD69" t="s">
        <v>6</v>
      </c>
      <c r="DE69" t="s">
        <v>27</v>
      </c>
      <c r="DF69" t="s">
        <v>27</v>
      </c>
      <c r="DG69" t="s">
        <v>28</v>
      </c>
      <c r="DH69" t="s">
        <v>6</v>
      </c>
      <c r="DI69" t="s">
        <v>28</v>
      </c>
      <c r="DJ69" t="s">
        <v>27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1005</v>
      </c>
      <c r="DV69" t="s">
        <v>16</v>
      </c>
      <c r="DW69" t="s">
        <v>16</v>
      </c>
      <c r="DX69">
        <v>100</v>
      </c>
      <c r="EE69">
        <v>16510488</v>
      </c>
      <c r="EF69">
        <v>2</v>
      </c>
      <c r="EG69" t="s">
        <v>18</v>
      </c>
      <c r="EH69">
        <v>0</v>
      </c>
      <c r="EI69" t="s">
        <v>6</v>
      </c>
      <c r="EJ69">
        <v>1</v>
      </c>
      <c r="EK69">
        <v>11001</v>
      </c>
      <c r="EL69" t="s">
        <v>109</v>
      </c>
      <c r="EM69" t="s">
        <v>124</v>
      </c>
      <c r="EO69" t="s">
        <v>31</v>
      </c>
      <c r="EQ69">
        <v>131072</v>
      </c>
      <c r="ER69">
        <v>21576.86</v>
      </c>
      <c r="ES69">
        <v>18839.64</v>
      </c>
      <c r="ET69">
        <v>24.15</v>
      </c>
      <c r="EU69">
        <v>17.510000000000002</v>
      </c>
      <c r="EV69">
        <v>2713.07</v>
      </c>
      <c r="EW69">
        <v>310.42</v>
      </c>
      <c r="EX69">
        <v>1.73</v>
      </c>
      <c r="EY69">
        <v>0</v>
      </c>
      <c r="FQ69">
        <v>0</v>
      </c>
      <c r="FR69">
        <f t="shared" si="82"/>
        <v>0</v>
      </c>
      <c r="FS69">
        <v>0</v>
      </c>
      <c r="FT69" t="s">
        <v>21</v>
      </c>
      <c r="FU69" t="s">
        <v>22</v>
      </c>
      <c r="FX69">
        <v>110.7</v>
      </c>
      <c r="FY69">
        <v>63.75</v>
      </c>
      <c r="GA69" t="s">
        <v>6</v>
      </c>
      <c r="GD69">
        <v>0</v>
      </c>
      <c r="GF69">
        <v>1016495109</v>
      </c>
      <c r="GG69">
        <v>1</v>
      </c>
      <c r="GH69">
        <v>1</v>
      </c>
      <c r="GI69">
        <v>4</v>
      </c>
      <c r="GJ69">
        <v>0</v>
      </c>
      <c r="GK69">
        <f>ROUND(R69*(S12)/100,2)</f>
        <v>0</v>
      </c>
      <c r="GL69">
        <f t="shared" si="83"/>
        <v>0</v>
      </c>
      <c r="GM69">
        <f t="shared" si="84"/>
        <v>79273.84</v>
      </c>
      <c r="GN69">
        <f t="shared" si="85"/>
        <v>79273.84</v>
      </c>
      <c r="GO69">
        <f t="shared" si="86"/>
        <v>0</v>
      </c>
      <c r="GP69">
        <f t="shared" si="87"/>
        <v>0</v>
      </c>
      <c r="GR69">
        <v>0</v>
      </c>
      <c r="GS69">
        <v>3</v>
      </c>
      <c r="GT69">
        <v>0</v>
      </c>
      <c r="GU69" t="s">
        <v>6</v>
      </c>
      <c r="GV69">
        <f t="shared" si="88"/>
        <v>0</v>
      </c>
      <c r="GW69">
        <v>1</v>
      </c>
      <c r="GX69">
        <f t="shared" si="89"/>
        <v>0</v>
      </c>
      <c r="HA69">
        <v>0</v>
      </c>
      <c r="HB69">
        <v>0</v>
      </c>
      <c r="HC69">
        <f t="shared" si="90"/>
        <v>0</v>
      </c>
      <c r="IK69">
        <v>0</v>
      </c>
    </row>
    <row r="70" spans="1:255" x14ac:dyDescent="0.2">
      <c r="A70" s="2">
        <v>18</v>
      </c>
      <c r="B70" s="2">
        <v>1</v>
      </c>
      <c r="C70" s="2">
        <v>178</v>
      </c>
      <c r="D70" s="2"/>
      <c r="E70" s="2" t="s">
        <v>138</v>
      </c>
      <c r="F70" s="2" t="s">
        <v>139</v>
      </c>
      <c r="G70" s="2" t="s">
        <v>140</v>
      </c>
      <c r="H70" s="2" t="s">
        <v>60</v>
      </c>
      <c r="I70" s="2">
        <f>I68*J70</f>
        <v>6.1360000000000001</v>
      </c>
      <c r="J70" s="2">
        <v>13.000000000000002</v>
      </c>
      <c r="K70" s="2"/>
      <c r="L70" s="2"/>
      <c r="M70" s="2"/>
      <c r="N70" s="2"/>
      <c r="O70" s="2">
        <f t="shared" si="56"/>
        <v>93.57</v>
      </c>
      <c r="P70" s="2">
        <f t="shared" si="57"/>
        <v>93.57</v>
      </c>
      <c r="Q70" s="2">
        <f t="shared" si="58"/>
        <v>0</v>
      </c>
      <c r="R70" s="2">
        <f t="shared" si="59"/>
        <v>0</v>
      </c>
      <c r="S70" s="2">
        <f t="shared" si="60"/>
        <v>0</v>
      </c>
      <c r="T70" s="2">
        <f t="shared" si="61"/>
        <v>0</v>
      </c>
      <c r="U70" s="2">
        <f t="shared" si="62"/>
        <v>0</v>
      </c>
      <c r="V70" s="2">
        <f t="shared" si="63"/>
        <v>0</v>
      </c>
      <c r="W70" s="2">
        <f t="shared" si="64"/>
        <v>0</v>
      </c>
      <c r="X70" s="2">
        <f t="shared" si="65"/>
        <v>0</v>
      </c>
      <c r="Y70" s="2">
        <f t="shared" si="66"/>
        <v>0</v>
      </c>
      <c r="Z70" s="2"/>
      <c r="AA70" s="2">
        <v>16784195</v>
      </c>
      <c r="AB70" s="2">
        <f t="shared" si="67"/>
        <v>15.25</v>
      </c>
      <c r="AC70" s="2">
        <f t="shared" si="52"/>
        <v>15.25</v>
      </c>
      <c r="AD70" s="2">
        <f t="shared" ref="AD70:AD75" si="93">ROUND((((ET70)-(EU70))+AE70),2)</f>
        <v>0</v>
      </c>
      <c r="AE70" s="2">
        <f t="shared" ref="AE70:AF75" si="94">ROUND((EU70),2)</f>
        <v>0</v>
      </c>
      <c r="AF70" s="2">
        <f t="shared" si="94"/>
        <v>0</v>
      </c>
      <c r="AG70" s="2">
        <f t="shared" si="69"/>
        <v>0</v>
      </c>
      <c r="AH70" s="2">
        <f t="shared" ref="AH70:AI75" si="95">(EW70)</f>
        <v>0</v>
      </c>
      <c r="AI70" s="2">
        <f t="shared" si="95"/>
        <v>0</v>
      </c>
      <c r="AJ70" s="2">
        <f t="shared" si="70"/>
        <v>0</v>
      </c>
      <c r="AK70" s="2">
        <v>15.25</v>
      </c>
      <c r="AL70" s="2">
        <v>15.25</v>
      </c>
      <c r="AM70" s="2">
        <v>0</v>
      </c>
      <c r="AN70" s="2">
        <v>0</v>
      </c>
      <c r="AO70" s="2">
        <v>0</v>
      </c>
      <c r="AP70" s="2">
        <v>0</v>
      </c>
      <c r="AQ70" s="2">
        <v>0</v>
      </c>
      <c r="AR70" s="2">
        <v>0</v>
      </c>
      <c r="AS70" s="2">
        <v>0</v>
      </c>
      <c r="AT70" s="2">
        <v>111</v>
      </c>
      <c r="AU70" s="2">
        <v>64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3</v>
      </c>
      <c r="BI70" s="2">
        <v>1</v>
      </c>
      <c r="BJ70" s="2" t="s">
        <v>141</v>
      </c>
      <c r="BK70" s="2"/>
      <c r="BL70" s="2"/>
      <c r="BM70" s="2">
        <v>11001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123</v>
      </c>
      <c r="CA70" s="2">
        <v>75</v>
      </c>
      <c r="CB70" s="2"/>
      <c r="CC70" s="2"/>
      <c r="CD70" s="2"/>
      <c r="CE70" s="2">
        <v>0</v>
      </c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6</v>
      </c>
      <c r="CO70" s="2">
        <v>0</v>
      </c>
      <c r="CP70" s="2">
        <f t="shared" si="71"/>
        <v>93.57</v>
      </c>
      <c r="CQ70" s="2">
        <f t="shared" si="72"/>
        <v>15.25</v>
      </c>
      <c r="CR70" s="2">
        <f t="shared" si="73"/>
        <v>0</v>
      </c>
      <c r="CS70" s="2">
        <f t="shared" si="74"/>
        <v>0</v>
      </c>
      <c r="CT70" s="2">
        <f t="shared" si="75"/>
        <v>0</v>
      </c>
      <c r="CU70" s="2">
        <f t="shared" si="76"/>
        <v>0</v>
      </c>
      <c r="CV70" s="2">
        <f t="shared" si="77"/>
        <v>0</v>
      </c>
      <c r="CW70" s="2">
        <f t="shared" si="78"/>
        <v>0</v>
      </c>
      <c r="CX70" s="2">
        <f t="shared" si="79"/>
        <v>0</v>
      </c>
      <c r="CY70" s="2">
        <f t="shared" si="80"/>
        <v>0</v>
      </c>
      <c r="CZ70" s="2">
        <f t="shared" si="81"/>
        <v>0</v>
      </c>
      <c r="DA70" s="2"/>
      <c r="DB70" s="2"/>
      <c r="DC70" s="2" t="s">
        <v>6</v>
      </c>
      <c r="DD70" s="2" t="s">
        <v>6</v>
      </c>
      <c r="DE70" s="2" t="s">
        <v>6</v>
      </c>
      <c r="DF70" s="2" t="s">
        <v>6</v>
      </c>
      <c r="DG70" s="2" t="s">
        <v>6</v>
      </c>
      <c r="DH70" s="2" t="s">
        <v>6</v>
      </c>
      <c r="DI70" s="2" t="s">
        <v>6</v>
      </c>
      <c r="DJ70" s="2" t="s">
        <v>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1009</v>
      </c>
      <c r="DV70" s="2" t="s">
        <v>60</v>
      </c>
      <c r="DW70" s="2" t="s">
        <v>60</v>
      </c>
      <c r="DX70" s="2">
        <v>1</v>
      </c>
      <c r="DY70" s="2"/>
      <c r="DZ70" s="2"/>
      <c r="EA70" s="2"/>
      <c r="EB70" s="2"/>
      <c r="EC70" s="2"/>
      <c r="ED70" s="2"/>
      <c r="EE70" s="2">
        <v>16510488</v>
      </c>
      <c r="EF70" s="2">
        <v>2</v>
      </c>
      <c r="EG70" s="2" t="s">
        <v>18</v>
      </c>
      <c r="EH70" s="2">
        <v>0</v>
      </c>
      <c r="EI70" s="2" t="s">
        <v>6</v>
      </c>
      <c r="EJ70" s="2">
        <v>1</v>
      </c>
      <c r="EK70" s="2">
        <v>11001</v>
      </c>
      <c r="EL70" s="2" t="s">
        <v>109</v>
      </c>
      <c r="EM70" s="2" t="s">
        <v>124</v>
      </c>
      <c r="EN70" s="2"/>
      <c r="EO70" s="2" t="s">
        <v>6</v>
      </c>
      <c r="EP70" s="2"/>
      <c r="EQ70" s="2">
        <v>0</v>
      </c>
      <c r="ER70" s="2">
        <v>15.25</v>
      </c>
      <c r="ES70" s="2">
        <v>15.25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82"/>
        <v>0</v>
      </c>
      <c r="FS70" s="2">
        <v>0</v>
      </c>
      <c r="FT70" s="2" t="s">
        <v>21</v>
      </c>
      <c r="FU70" s="2" t="s">
        <v>22</v>
      </c>
      <c r="FV70" s="2"/>
      <c r="FW70" s="2"/>
      <c r="FX70" s="2">
        <v>110.7</v>
      </c>
      <c r="FY70" s="2">
        <v>63.75</v>
      </c>
      <c r="FZ70" s="2"/>
      <c r="GA70" s="2" t="s">
        <v>6</v>
      </c>
      <c r="GB70" s="2"/>
      <c r="GC70" s="2"/>
      <c r="GD70" s="2">
        <v>0</v>
      </c>
      <c r="GE70" s="2"/>
      <c r="GF70" s="2">
        <v>303141801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83"/>
        <v>0</v>
      </c>
      <c r="GM70" s="2">
        <f t="shared" si="84"/>
        <v>93.57</v>
      </c>
      <c r="GN70" s="2">
        <f t="shared" si="85"/>
        <v>93.57</v>
      </c>
      <c r="GO70" s="2">
        <f t="shared" si="86"/>
        <v>0</v>
      </c>
      <c r="GP70" s="2">
        <f t="shared" si="87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88"/>
        <v>0</v>
      </c>
      <c r="GW70" s="2">
        <v>1</v>
      </c>
      <c r="GX70" s="2">
        <f t="shared" si="89"/>
        <v>0</v>
      </c>
      <c r="GY70" s="2"/>
      <c r="GZ70" s="2"/>
      <c r="HA70" s="2">
        <v>0</v>
      </c>
      <c r="HB70" s="2">
        <v>0</v>
      </c>
      <c r="HC70" s="2">
        <f t="shared" si="90"/>
        <v>0</v>
      </c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18</v>
      </c>
      <c r="B71">
        <v>1</v>
      </c>
      <c r="C71">
        <v>190</v>
      </c>
      <c r="E71" t="s">
        <v>138</v>
      </c>
      <c r="F71" t="s">
        <v>139</v>
      </c>
      <c r="G71" t="s">
        <v>140</v>
      </c>
      <c r="H71" t="s">
        <v>60</v>
      </c>
      <c r="I71">
        <f>I69*J71</f>
        <v>6.1360000000000001</v>
      </c>
      <c r="J71">
        <v>13.000000000000002</v>
      </c>
      <c r="O71">
        <f t="shared" si="56"/>
        <v>571.74</v>
      </c>
      <c r="P71">
        <f t="shared" si="57"/>
        <v>571.74</v>
      </c>
      <c r="Q71">
        <f t="shared" si="58"/>
        <v>0</v>
      </c>
      <c r="R71">
        <f t="shared" si="59"/>
        <v>0</v>
      </c>
      <c r="S71">
        <f t="shared" si="60"/>
        <v>0</v>
      </c>
      <c r="T71">
        <f t="shared" si="61"/>
        <v>0</v>
      </c>
      <c r="U71">
        <f t="shared" si="62"/>
        <v>0</v>
      </c>
      <c r="V71">
        <f t="shared" si="63"/>
        <v>0</v>
      </c>
      <c r="W71">
        <f t="shared" si="64"/>
        <v>0</v>
      </c>
      <c r="X71">
        <f t="shared" si="65"/>
        <v>0</v>
      </c>
      <c r="Y71">
        <f t="shared" si="66"/>
        <v>0</v>
      </c>
      <c r="AA71">
        <v>16784196</v>
      </c>
      <c r="AB71">
        <f t="shared" si="67"/>
        <v>15.25</v>
      </c>
      <c r="AC71">
        <f t="shared" si="52"/>
        <v>15.25</v>
      </c>
      <c r="AD71">
        <f t="shared" si="93"/>
        <v>0</v>
      </c>
      <c r="AE71">
        <f t="shared" si="94"/>
        <v>0</v>
      </c>
      <c r="AF71">
        <f t="shared" si="94"/>
        <v>0</v>
      </c>
      <c r="AG71">
        <f t="shared" si="69"/>
        <v>0</v>
      </c>
      <c r="AH71">
        <f t="shared" si="95"/>
        <v>0</v>
      </c>
      <c r="AI71">
        <f t="shared" si="95"/>
        <v>0</v>
      </c>
      <c r="AJ71">
        <f t="shared" si="70"/>
        <v>0</v>
      </c>
      <c r="AK71">
        <v>15.25</v>
      </c>
      <c r="AL71">
        <v>15.25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111</v>
      </c>
      <c r="AU71">
        <v>64</v>
      </c>
      <c r="AV71">
        <v>1</v>
      </c>
      <c r="AW71">
        <v>1</v>
      </c>
      <c r="AZ71">
        <v>6.11</v>
      </c>
      <c r="BA71">
        <v>1</v>
      </c>
      <c r="BB71">
        <v>1</v>
      </c>
      <c r="BC71">
        <v>6.11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141</v>
      </c>
      <c r="BM71">
        <v>11001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123</v>
      </c>
      <c r="CA71">
        <v>75</v>
      </c>
      <c r="CE71">
        <v>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71"/>
        <v>571.74</v>
      </c>
      <c r="CQ71">
        <f t="shared" si="72"/>
        <v>93.177500000000009</v>
      </c>
      <c r="CR71">
        <f t="shared" si="73"/>
        <v>0</v>
      </c>
      <c r="CS71">
        <f t="shared" si="74"/>
        <v>0</v>
      </c>
      <c r="CT71">
        <f t="shared" si="75"/>
        <v>0</v>
      </c>
      <c r="CU71">
        <f t="shared" si="76"/>
        <v>0</v>
      </c>
      <c r="CV71">
        <f t="shared" si="77"/>
        <v>0</v>
      </c>
      <c r="CW71">
        <f t="shared" si="78"/>
        <v>0</v>
      </c>
      <c r="CX71">
        <f t="shared" si="79"/>
        <v>0</v>
      </c>
      <c r="CY71">
        <f t="shared" si="80"/>
        <v>0</v>
      </c>
      <c r="CZ71">
        <f t="shared" si="81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60</v>
      </c>
      <c r="DW71" t="s">
        <v>60</v>
      </c>
      <c r="DX71">
        <v>1</v>
      </c>
      <c r="EE71">
        <v>16510488</v>
      </c>
      <c r="EF71">
        <v>2</v>
      </c>
      <c r="EG71" t="s">
        <v>18</v>
      </c>
      <c r="EH71">
        <v>0</v>
      </c>
      <c r="EI71" t="s">
        <v>6</v>
      </c>
      <c r="EJ71">
        <v>1</v>
      </c>
      <c r="EK71">
        <v>11001</v>
      </c>
      <c r="EL71" t="s">
        <v>109</v>
      </c>
      <c r="EM71" t="s">
        <v>124</v>
      </c>
      <c r="EO71" t="s">
        <v>6</v>
      </c>
      <c r="EQ71">
        <v>0</v>
      </c>
      <c r="ER71">
        <v>15.25</v>
      </c>
      <c r="ES71">
        <v>15.25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2"/>
        <v>0</v>
      </c>
      <c r="FS71">
        <v>0</v>
      </c>
      <c r="FT71" t="s">
        <v>21</v>
      </c>
      <c r="FU71" t="s">
        <v>22</v>
      </c>
      <c r="FX71">
        <v>110.7</v>
      </c>
      <c r="FY71">
        <v>63.75</v>
      </c>
      <c r="GA71" t="s">
        <v>6</v>
      </c>
      <c r="GD71">
        <v>0</v>
      </c>
      <c r="GF71">
        <v>303141801</v>
      </c>
      <c r="GG71">
        <v>1</v>
      </c>
      <c r="GH71">
        <v>1</v>
      </c>
      <c r="GI71">
        <v>4</v>
      </c>
      <c r="GJ71">
        <v>0</v>
      </c>
      <c r="GK71">
        <f>ROUND(R71*(S12)/100,2)</f>
        <v>0</v>
      </c>
      <c r="GL71">
        <f t="shared" si="83"/>
        <v>0</v>
      </c>
      <c r="GM71">
        <f t="shared" si="84"/>
        <v>571.74</v>
      </c>
      <c r="GN71">
        <f t="shared" si="85"/>
        <v>571.74</v>
      </c>
      <c r="GO71">
        <f t="shared" si="86"/>
        <v>0</v>
      </c>
      <c r="GP71">
        <f t="shared" si="87"/>
        <v>0</v>
      </c>
      <c r="GR71">
        <v>0</v>
      </c>
      <c r="GS71">
        <v>3</v>
      </c>
      <c r="GT71">
        <v>0</v>
      </c>
      <c r="GU71" t="s">
        <v>6</v>
      </c>
      <c r="GV71">
        <f t="shared" si="88"/>
        <v>0</v>
      </c>
      <c r="GW71">
        <v>1</v>
      </c>
      <c r="GX71">
        <f t="shared" si="89"/>
        <v>0</v>
      </c>
      <c r="HA71">
        <v>0</v>
      </c>
      <c r="HB71">
        <v>0</v>
      </c>
      <c r="HC71">
        <f t="shared" si="90"/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175</v>
      </c>
      <c r="D72" s="2"/>
      <c r="E72" s="2" t="s">
        <v>142</v>
      </c>
      <c r="F72" s="2" t="s">
        <v>143</v>
      </c>
      <c r="G72" s="2" t="s">
        <v>144</v>
      </c>
      <c r="H72" s="2" t="s">
        <v>35</v>
      </c>
      <c r="I72" s="2">
        <f>I68*J72</f>
        <v>-48.143999999999998</v>
      </c>
      <c r="J72" s="2">
        <v>-102</v>
      </c>
      <c r="K72" s="2"/>
      <c r="L72" s="2"/>
      <c r="M72" s="2"/>
      <c r="N72" s="2"/>
      <c r="O72" s="2">
        <f t="shared" si="56"/>
        <v>-6761.82</v>
      </c>
      <c r="P72" s="2">
        <f t="shared" si="57"/>
        <v>-6761.82</v>
      </c>
      <c r="Q72" s="2">
        <f t="shared" si="58"/>
        <v>0</v>
      </c>
      <c r="R72" s="2">
        <f t="shared" si="59"/>
        <v>0</v>
      </c>
      <c r="S72" s="2">
        <f t="shared" si="60"/>
        <v>0</v>
      </c>
      <c r="T72" s="2">
        <f t="shared" si="61"/>
        <v>0</v>
      </c>
      <c r="U72" s="2">
        <f t="shared" si="62"/>
        <v>0</v>
      </c>
      <c r="V72" s="2">
        <f t="shared" si="63"/>
        <v>0</v>
      </c>
      <c r="W72" s="2">
        <f t="shared" si="64"/>
        <v>0</v>
      </c>
      <c r="X72" s="2">
        <f t="shared" si="65"/>
        <v>0</v>
      </c>
      <c r="Y72" s="2">
        <f t="shared" si="66"/>
        <v>0</v>
      </c>
      <c r="Z72" s="2"/>
      <c r="AA72" s="2">
        <v>16784195</v>
      </c>
      <c r="AB72" s="2">
        <f t="shared" si="67"/>
        <v>140.44999999999999</v>
      </c>
      <c r="AC72" s="2">
        <f t="shared" si="52"/>
        <v>140.44999999999999</v>
      </c>
      <c r="AD72" s="2">
        <f t="shared" si="93"/>
        <v>0</v>
      </c>
      <c r="AE72" s="2">
        <f t="shared" si="94"/>
        <v>0</v>
      </c>
      <c r="AF72" s="2">
        <f t="shared" si="94"/>
        <v>0</v>
      </c>
      <c r="AG72" s="2">
        <f t="shared" si="69"/>
        <v>0</v>
      </c>
      <c r="AH72" s="2">
        <f t="shared" si="95"/>
        <v>0</v>
      </c>
      <c r="AI72" s="2">
        <f t="shared" si="95"/>
        <v>0</v>
      </c>
      <c r="AJ72" s="2">
        <f t="shared" si="70"/>
        <v>0</v>
      </c>
      <c r="AK72" s="2">
        <v>140.44999999999999</v>
      </c>
      <c r="AL72" s="2">
        <v>140.44999999999999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111</v>
      </c>
      <c r="AU72" s="2">
        <v>64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145</v>
      </c>
      <c r="BK72" s="2"/>
      <c r="BL72" s="2"/>
      <c r="BM72" s="2">
        <v>11001</v>
      </c>
      <c r="BN72" s="2">
        <v>0</v>
      </c>
      <c r="BO72" s="2" t="s">
        <v>6</v>
      </c>
      <c r="BP72" s="2">
        <v>0</v>
      </c>
      <c r="BQ72" s="2">
        <v>2</v>
      </c>
      <c r="BR72" s="2">
        <v>1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123</v>
      </c>
      <c r="CA72" s="2">
        <v>75</v>
      </c>
      <c r="CB72" s="2"/>
      <c r="CC72" s="2"/>
      <c r="CD72" s="2"/>
      <c r="CE72" s="2">
        <v>0</v>
      </c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71"/>
        <v>-6761.82</v>
      </c>
      <c r="CQ72" s="2">
        <f t="shared" si="72"/>
        <v>140.44999999999999</v>
      </c>
      <c r="CR72" s="2">
        <f t="shared" si="73"/>
        <v>0</v>
      </c>
      <c r="CS72" s="2">
        <f t="shared" si="74"/>
        <v>0</v>
      </c>
      <c r="CT72" s="2">
        <f t="shared" si="75"/>
        <v>0</v>
      </c>
      <c r="CU72" s="2">
        <f t="shared" si="76"/>
        <v>0</v>
      </c>
      <c r="CV72" s="2">
        <f t="shared" si="77"/>
        <v>0</v>
      </c>
      <c r="CW72" s="2">
        <f t="shared" si="78"/>
        <v>0</v>
      </c>
      <c r="CX72" s="2">
        <f t="shared" si="79"/>
        <v>0</v>
      </c>
      <c r="CY72" s="2">
        <f t="shared" si="80"/>
        <v>0</v>
      </c>
      <c r="CZ72" s="2">
        <f t="shared" si="81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1005</v>
      </c>
      <c r="DV72" s="2" t="s">
        <v>35</v>
      </c>
      <c r="DW72" s="2" t="s">
        <v>35</v>
      </c>
      <c r="DX72" s="2">
        <v>1</v>
      </c>
      <c r="DY72" s="2"/>
      <c r="DZ72" s="2"/>
      <c r="EA72" s="2"/>
      <c r="EB72" s="2"/>
      <c r="EC72" s="2"/>
      <c r="ED72" s="2"/>
      <c r="EE72" s="2">
        <v>16510488</v>
      </c>
      <c r="EF72" s="2">
        <v>2</v>
      </c>
      <c r="EG72" s="2" t="s">
        <v>18</v>
      </c>
      <c r="EH72" s="2">
        <v>0</v>
      </c>
      <c r="EI72" s="2" t="s">
        <v>6</v>
      </c>
      <c r="EJ72" s="2">
        <v>1</v>
      </c>
      <c r="EK72" s="2">
        <v>11001</v>
      </c>
      <c r="EL72" s="2" t="s">
        <v>109</v>
      </c>
      <c r="EM72" s="2" t="s">
        <v>124</v>
      </c>
      <c r="EN72" s="2"/>
      <c r="EO72" s="2" t="s">
        <v>6</v>
      </c>
      <c r="EP72" s="2"/>
      <c r="EQ72" s="2">
        <v>0</v>
      </c>
      <c r="ER72" s="2">
        <v>140.44999999999999</v>
      </c>
      <c r="ES72" s="2">
        <v>140.44999999999999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82"/>
        <v>0</v>
      </c>
      <c r="FS72" s="2">
        <v>0</v>
      </c>
      <c r="FT72" s="2" t="s">
        <v>21</v>
      </c>
      <c r="FU72" s="2" t="s">
        <v>22</v>
      </c>
      <c r="FV72" s="2"/>
      <c r="FW72" s="2"/>
      <c r="FX72" s="2">
        <v>110.7</v>
      </c>
      <c r="FY72" s="2">
        <v>63.75</v>
      </c>
      <c r="FZ72" s="2"/>
      <c r="GA72" s="2" t="s">
        <v>6</v>
      </c>
      <c r="GB72" s="2"/>
      <c r="GC72" s="2"/>
      <c r="GD72" s="2">
        <v>0</v>
      </c>
      <c r="GE72" s="2"/>
      <c r="GF72" s="2">
        <v>2046761779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83"/>
        <v>0</v>
      </c>
      <c r="GM72" s="2">
        <f t="shared" si="84"/>
        <v>-6761.82</v>
      </c>
      <c r="GN72" s="2">
        <f t="shared" si="85"/>
        <v>-6761.82</v>
      </c>
      <c r="GO72" s="2">
        <f t="shared" si="86"/>
        <v>0</v>
      </c>
      <c r="GP72" s="2">
        <f t="shared" si="87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88"/>
        <v>0</v>
      </c>
      <c r="GW72" s="2">
        <v>1</v>
      </c>
      <c r="GX72" s="2">
        <f t="shared" si="89"/>
        <v>0</v>
      </c>
      <c r="GY72" s="2"/>
      <c r="GZ72" s="2"/>
      <c r="HA72" s="2">
        <v>0</v>
      </c>
      <c r="HB72" s="2">
        <v>0</v>
      </c>
      <c r="HC72" s="2">
        <f t="shared" si="90"/>
        <v>0</v>
      </c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187</v>
      </c>
      <c r="E73" t="s">
        <v>142</v>
      </c>
      <c r="F73" t="s">
        <v>143</v>
      </c>
      <c r="G73" t="s">
        <v>144</v>
      </c>
      <c r="H73" t="s">
        <v>35</v>
      </c>
      <c r="I73">
        <f>I69*J73</f>
        <v>-48.143999999999998</v>
      </c>
      <c r="J73">
        <v>-102</v>
      </c>
      <c r="O73">
        <f t="shared" si="56"/>
        <v>-41314.75</v>
      </c>
      <c r="P73">
        <f t="shared" si="57"/>
        <v>-41314.75</v>
      </c>
      <c r="Q73">
        <f t="shared" si="58"/>
        <v>0</v>
      </c>
      <c r="R73">
        <f t="shared" si="59"/>
        <v>0</v>
      </c>
      <c r="S73">
        <f t="shared" si="60"/>
        <v>0</v>
      </c>
      <c r="T73">
        <f t="shared" si="61"/>
        <v>0</v>
      </c>
      <c r="U73">
        <f t="shared" si="62"/>
        <v>0</v>
      </c>
      <c r="V73">
        <f t="shared" si="63"/>
        <v>0</v>
      </c>
      <c r="W73">
        <f t="shared" si="64"/>
        <v>0</v>
      </c>
      <c r="X73">
        <f t="shared" si="65"/>
        <v>0</v>
      </c>
      <c r="Y73">
        <f t="shared" si="66"/>
        <v>0</v>
      </c>
      <c r="AA73">
        <v>16784196</v>
      </c>
      <c r="AB73">
        <f t="shared" si="67"/>
        <v>140.44999999999999</v>
      </c>
      <c r="AC73">
        <f t="shared" si="52"/>
        <v>140.44999999999999</v>
      </c>
      <c r="AD73">
        <f t="shared" si="93"/>
        <v>0</v>
      </c>
      <c r="AE73">
        <f t="shared" si="94"/>
        <v>0</v>
      </c>
      <c r="AF73">
        <f t="shared" si="94"/>
        <v>0</v>
      </c>
      <c r="AG73">
        <f t="shared" si="69"/>
        <v>0</v>
      </c>
      <c r="AH73">
        <f t="shared" si="95"/>
        <v>0</v>
      </c>
      <c r="AI73">
        <f t="shared" si="95"/>
        <v>0</v>
      </c>
      <c r="AJ73">
        <f t="shared" si="70"/>
        <v>0</v>
      </c>
      <c r="AK73">
        <v>140.44999999999999</v>
      </c>
      <c r="AL73">
        <v>140.44999999999999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111</v>
      </c>
      <c r="AU73">
        <v>64</v>
      </c>
      <c r="AV73">
        <v>1</v>
      </c>
      <c r="AW73">
        <v>1</v>
      </c>
      <c r="AZ73">
        <v>6.11</v>
      </c>
      <c r="BA73">
        <v>1</v>
      </c>
      <c r="BB73">
        <v>1</v>
      </c>
      <c r="BC73">
        <v>6.11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145</v>
      </c>
      <c r="BM73">
        <v>11001</v>
      </c>
      <c r="BN73">
        <v>0</v>
      </c>
      <c r="BO73" t="s">
        <v>6</v>
      </c>
      <c r="BP73">
        <v>0</v>
      </c>
      <c r="BQ73">
        <v>2</v>
      </c>
      <c r="BR73">
        <v>1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123</v>
      </c>
      <c r="CA73">
        <v>75</v>
      </c>
      <c r="CE73">
        <v>0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71"/>
        <v>-41314.75</v>
      </c>
      <c r="CQ73">
        <f t="shared" si="72"/>
        <v>858.14949999999999</v>
      </c>
      <c r="CR73">
        <f t="shared" si="73"/>
        <v>0</v>
      </c>
      <c r="CS73">
        <f t="shared" si="74"/>
        <v>0</v>
      </c>
      <c r="CT73">
        <f t="shared" si="75"/>
        <v>0</v>
      </c>
      <c r="CU73">
        <f t="shared" si="76"/>
        <v>0</v>
      </c>
      <c r="CV73">
        <f t="shared" si="77"/>
        <v>0</v>
      </c>
      <c r="CW73">
        <f t="shared" si="78"/>
        <v>0</v>
      </c>
      <c r="CX73">
        <f t="shared" si="79"/>
        <v>0</v>
      </c>
      <c r="CY73">
        <f t="shared" si="80"/>
        <v>0</v>
      </c>
      <c r="CZ73">
        <f t="shared" si="81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35</v>
      </c>
      <c r="DW73" t="s">
        <v>35</v>
      </c>
      <c r="DX73">
        <v>1</v>
      </c>
      <c r="EE73">
        <v>16510488</v>
      </c>
      <c r="EF73">
        <v>2</v>
      </c>
      <c r="EG73" t="s">
        <v>18</v>
      </c>
      <c r="EH73">
        <v>0</v>
      </c>
      <c r="EI73" t="s">
        <v>6</v>
      </c>
      <c r="EJ73">
        <v>1</v>
      </c>
      <c r="EK73">
        <v>11001</v>
      </c>
      <c r="EL73" t="s">
        <v>109</v>
      </c>
      <c r="EM73" t="s">
        <v>124</v>
      </c>
      <c r="EO73" t="s">
        <v>6</v>
      </c>
      <c r="EQ73">
        <v>0</v>
      </c>
      <c r="ER73">
        <v>140.44999999999999</v>
      </c>
      <c r="ES73">
        <v>140.44999999999999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2"/>
        <v>0</v>
      </c>
      <c r="FS73">
        <v>0</v>
      </c>
      <c r="FT73" t="s">
        <v>21</v>
      </c>
      <c r="FU73" t="s">
        <v>22</v>
      </c>
      <c r="FX73">
        <v>110.7</v>
      </c>
      <c r="FY73">
        <v>63.75</v>
      </c>
      <c r="GA73" t="s">
        <v>6</v>
      </c>
      <c r="GD73">
        <v>0</v>
      </c>
      <c r="GF73">
        <v>2046761779</v>
      </c>
      <c r="GG73">
        <v>1</v>
      </c>
      <c r="GH73">
        <v>1</v>
      </c>
      <c r="GI73">
        <v>4</v>
      </c>
      <c r="GJ73">
        <v>0</v>
      </c>
      <c r="GK73">
        <f>ROUND(R73*(S12)/100,2)</f>
        <v>0</v>
      </c>
      <c r="GL73">
        <f t="shared" si="83"/>
        <v>0</v>
      </c>
      <c r="GM73">
        <f t="shared" si="84"/>
        <v>-41314.75</v>
      </c>
      <c r="GN73">
        <f t="shared" si="85"/>
        <v>-41314.75</v>
      </c>
      <c r="GO73">
        <f t="shared" si="86"/>
        <v>0</v>
      </c>
      <c r="GP73">
        <f t="shared" si="87"/>
        <v>0</v>
      </c>
      <c r="GR73">
        <v>0</v>
      </c>
      <c r="GS73">
        <v>3</v>
      </c>
      <c r="GT73">
        <v>0</v>
      </c>
      <c r="GU73" t="s">
        <v>6</v>
      </c>
      <c r="GV73">
        <f t="shared" si="88"/>
        <v>0</v>
      </c>
      <c r="GW73">
        <v>1</v>
      </c>
      <c r="GX73">
        <f t="shared" si="89"/>
        <v>0</v>
      </c>
      <c r="HA73">
        <v>0</v>
      </c>
      <c r="HB73">
        <v>0</v>
      </c>
      <c r="HC73">
        <f t="shared" si="90"/>
        <v>0</v>
      </c>
      <c r="IK73">
        <v>0</v>
      </c>
    </row>
    <row r="74" spans="1:255" x14ac:dyDescent="0.2">
      <c r="A74" s="2">
        <v>18</v>
      </c>
      <c r="B74" s="2">
        <v>1</v>
      </c>
      <c r="C74" s="2">
        <v>176</v>
      </c>
      <c r="D74" s="2"/>
      <c r="E74" s="2" t="s">
        <v>146</v>
      </c>
      <c r="F74" s="2" t="s">
        <v>147</v>
      </c>
      <c r="G74" s="2" t="s">
        <v>148</v>
      </c>
      <c r="H74" s="2" t="s">
        <v>35</v>
      </c>
      <c r="I74" s="2">
        <f>I68*J74</f>
        <v>48.143999999999998</v>
      </c>
      <c r="J74" s="2">
        <v>102</v>
      </c>
      <c r="K74" s="2"/>
      <c r="L74" s="2"/>
      <c r="M74" s="2"/>
      <c r="N74" s="2"/>
      <c r="O74" s="2">
        <f t="shared" si="56"/>
        <v>4005.58</v>
      </c>
      <c r="P74" s="2">
        <f t="shared" si="57"/>
        <v>4005.58</v>
      </c>
      <c r="Q74" s="2">
        <f t="shared" si="58"/>
        <v>0</v>
      </c>
      <c r="R74" s="2">
        <f t="shared" si="59"/>
        <v>0</v>
      </c>
      <c r="S74" s="2">
        <f t="shared" si="60"/>
        <v>0</v>
      </c>
      <c r="T74" s="2">
        <f t="shared" si="61"/>
        <v>0</v>
      </c>
      <c r="U74" s="2">
        <f t="shared" si="62"/>
        <v>0</v>
      </c>
      <c r="V74" s="2">
        <f t="shared" si="63"/>
        <v>0</v>
      </c>
      <c r="W74" s="2">
        <f t="shared" si="64"/>
        <v>0</v>
      </c>
      <c r="X74" s="2">
        <f t="shared" si="65"/>
        <v>0</v>
      </c>
      <c r="Y74" s="2">
        <f t="shared" si="66"/>
        <v>0</v>
      </c>
      <c r="Z74" s="2"/>
      <c r="AA74" s="2">
        <v>16784195</v>
      </c>
      <c r="AB74" s="2">
        <f t="shared" si="67"/>
        <v>83.2</v>
      </c>
      <c r="AC74" s="2">
        <f t="shared" si="52"/>
        <v>83.2</v>
      </c>
      <c r="AD74" s="2">
        <f t="shared" si="93"/>
        <v>0</v>
      </c>
      <c r="AE74" s="2">
        <f t="shared" si="94"/>
        <v>0</v>
      </c>
      <c r="AF74" s="2">
        <f t="shared" si="94"/>
        <v>0</v>
      </c>
      <c r="AG74" s="2">
        <f t="shared" si="69"/>
        <v>0</v>
      </c>
      <c r="AH74" s="2">
        <f t="shared" si="95"/>
        <v>0</v>
      </c>
      <c r="AI74" s="2">
        <f t="shared" si="95"/>
        <v>0</v>
      </c>
      <c r="AJ74" s="2">
        <f t="shared" si="70"/>
        <v>0</v>
      </c>
      <c r="AK74" s="2">
        <v>83.2</v>
      </c>
      <c r="AL74" s="2">
        <v>83.2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111</v>
      </c>
      <c r="AU74" s="2">
        <v>64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3</v>
      </c>
      <c r="BI74" s="2">
        <v>1</v>
      </c>
      <c r="BJ74" s="2" t="s">
        <v>149</v>
      </c>
      <c r="BK74" s="2"/>
      <c r="BL74" s="2"/>
      <c r="BM74" s="2">
        <v>11001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123</v>
      </c>
      <c r="CA74" s="2">
        <v>75</v>
      </c>
      <c r="CB74" s="2"/>
      <c r="CC74" s="2"/>
      <c r="CD74" s="2"/>
      <c r="CE74" s="2">
        <v>0</v>
      </c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6</v>
      </c>
      <c r="CO74" s="2">
        <v>0</v>
      </c>
      <c r="CP74" s="2">
        <f t="shared" si="71"/>
        <v>4005.58</v>
      </c>
      <c r="CQ74" s="2">
        <f t="shared" si="72"/>
        <v>83.2</v>
      </c>
      <c r="CR74" s="2">
        <f t="shared" si="73"/>
        <v>0</v>
      </c>
      <c r="CS74" s="2">
        <f t="shared" si="74"/>
        <v>0</v>
      </c>
      <c r="CT74" s="2">
        <f t="shared" si="75"/>
        <v>0</v>
      </c>
      <c r="CU74" s="2">
        <f t="shared" si="76"/>
        <v>0</v>
      </c>
      <c r="CV74" s="2">
        <f t="shared" si="77"/>
        <v>0</v>
      </c>
      <c r="CW74" s="2">
        <f t="shared" si="78"/>
        <v>0</v>
      </c>
      <c r="CX74" s="2">
        <f t="shared" si="79"/>
        <v>0</v>
      </c>
      <c r="CY74" s="2">
        <f t="shared" si="80"/>
        <v>0</v>
      </c>
      <c r="CZ74" s="2">
        <f t="shared" si="81"/>
        <v>0</v>
      </c>
      <c r="DA74" s="2"/>
      <c r="DB74" s="2"/>
      <c r="DC74" s="2" t="s">
        <v>6</v>
      </c>
      <c r="DD74" s="2" t="s">
        <v>6</v>
      </c>
      <c r="DE74" s="2" t="s">
        <v>6</v>
      </c>
      <c r="DF74" s="2" t="s">
        <v>6</v>
      </c>
      <c r="DG74" s="2" t="s">
        <v>6</v>
      </c>
      <c r="DH74" s="2" t="s">
        <v>6</v>
      </c>
      <c r="DI74" s="2" t="s">
        <v>6</v>
      </c>
      <c r="DJ74" s="2" t="s">
        <v>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1005</v>
      </c>
      <c r="DV74" s="2" t="s">
        <v>35</v>
      </c>
      <c r="DW74" s="2" t="s">
        <v>35</v>
      </c>
      <c r="DX74" s="2">
        <v>1</v>
      </c>
      <c r="DY74" s="2"/>
      <c r="DZ74" s="2"/>
      <c r="EA74" s="2"/>
      <c r="EB74" s="2"/>
      <c r="EC74" s="2"/>
      <c r="ED74" s="2"/>
      <c r="EE74" s="2">
        <v>16510488</v>
      </c>
      <c r="EF74" s="2">
        <v>2</v>
      </c>
      <c r="EG74" s="2" t="s">
        <v>18</v>
      </c>
      <c r="EH74" s="2">
        <v>0</v>
      </c>
      <c r="EI74" s="2" t="s">
        <v>6</v>
      </c>
      <c r="EJ74" s="2">
        <v>1</v>
      </c>
      <c r="EK74" s="2">
        <v>11001</v>
      </c>
      <c r="EL74" s="2" t="s">
        <v>109</v>
      </c>
      <c r="EM74" s="2" t="s">
        <v>124</v>
      </c>
      <c r="EN74" s="2"/>
      <c r="EO74" s="2" t="s">
        <v>6</v>
      </c>
      <c r="EP74" s="2"/>
      <c r="EQ74" s="2">
        <v>0</v>
      </c>
      <c r="ER74" s="2">
        <v>83.2</v>
      </c>
      <c r="ES74" s="2">
        <v>83.2</v>
      </c>
      <c r="ET74" s="2">
        <v>0</v>
      </c>
      <c r="EU74" s="2">
        <v>0</v>
      </c>
      <c r="EV74" s="2">
        <v>0</v>
      </c>
      <c r="EW74" s="2">
        <v>0</v>
      </c>
      <c r="EX74" s="2">
        <v>0</v>
      </c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82"/>
        <v>0</v>
      </c>
      <c r="FS74" s="2">
        <v>0</v>
      </c>
      <c r="FT74" s="2" t="s">
        <v>21</v>
      </c>
      <c r="FU74" s="2" t="s">
        <v>22</v>
      </c>
      <c r="FV74" s="2"/>
      <c r="FW74" s="2"/>
      <c r="FX74" s="2">
        <v>110.7</v>
      </c>
      <c r="FY74" s="2">
        <v>63.75</v>
      </c>
      <c r="FZ74" s="2"/>
      <c r="GA74" s="2" t="s">
        <v>6</v>
      </c>
      <c r="GB74" s="2"/>
      <c r="GC74" s="2"/>
      <c r="GD74" s="2">
        <v>0</v>
      </c>
      <c r="GE74" s="2"/>
      <c r="GF74" s="2">
        <v>1925995961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83"/>
        <v>0</v>
      </c>
      <c r="GM74" s="2">
        <f t="shared" si="84"/>
        <v>4005.58</v>
      </c>
      <c r="GN74" s="2">
        <f t="shared" si="85"/>
        <v>4005.58</v>
      </c>
      <c r="GO74" s="2">
        <f t="shared" si="86"/>
        <v>0</v>
      </c>
      <c r="GP74" s="2">
        <f t="shared" si="87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88"/>
        <v>0</v>
      </c>
      <c r="GW74" s="2">
        <v>1</v>
      </c>
      <c r="GX74" s="2">
        <f t="shared" si="89"/>
        <v>0</v>
      </c>
      <c r="GY74" s="2"/>
      <c r="GZ74" s="2"/>
      <c r="HA74" s="2">
        <v>0</v>
      </c>
      <c r="HB74" s="2">
        <v>0</v>
      </c>
      <c r="HC74" s="2">
        <f t="shared" si="90"/>
        <v>0</v>
      </c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18</v>
      </c>
      <c r="B75">
        <v>1</v>
      </c>
      <c r="C75">
        <v>188</v>
      </c>
      <c r="E75" t="s">
        <v>146</v>
      </c>
      <c r="F75" t="s">
        <v>147</v>
      </c>
      <c r="G75" t="s">
        <v>148</v>
      </c>
      <c r="H75" t="s">
        <v>35</v>
      </c>
      <c r="I75">
        <f>I69*J75</f>
        <v>48.143999999999998</v>
      </c>
      <c r="J75">
        <v>102</v>
      </c>
      <c r="O75">
        <f t="shared" si="56"/>
        <v>24474.1</v>
      </c>
      <c r="P75">
        <f t="shared" si="57"/>
        <v>24474.1</v>
      </c>
      <c r="Q75">
        <f t="shared" si="58"/>
        <v>0</v>
      </c>
      <c r="R75">
        <f t="shared" si="59"/>
        <v>0</v>
      </c>
      <c r="S75">
        <f t="shared" si="60"/>
        <v>0</v>
      </c>
      <c r="T75">
        <f t="shared" si="61"/>
        <v>0</v>
      </c>
      <c r="U75">
        <f t="shared" si="62"/>
        <v>0</v>
      </c>
      <c r="V75">
        <f t="shared" si="63"/>
        <v>0</v>
      </c>
      <c r="W75">
        <f t="shared" si="64"/>
        <v>0</v>
      </c>
      <c r="X75">
        <f t="shared" si="65"/>
        <v>0</v>
      </c>
      <c r="Y75">
        <f t="shared" si="66"/>
        <v>0</v>
      </c>
      <c r="AA75">
        <v>16784196</v>
      </c>
      <c r="AB75">
        <f t="shared" si="67"/>
        <v>83.2</v>
      </c>
      <c r="AC75">
        <f t="shared" si="52"/>
        <v>83.2</v>
      </c>
      <c r="AD75">
        <f t="shared" si="93"/>
        <v>0</v>
      </c>
      <c r="AE75">
        <f t="shared" si="94"/>
        <v>0</v>
      </c>
      <c r="AF75">
        <f t="shared" si="94"/>
        <v>0</v>
      </c>
      <c r="AG75">
        <f t="shared" si="69"/>
        <v>0</v>
      </c>
      <c r="AH75">
        <f t="shared" si="95"/>
        <v>0</v>
      </c>
      <c r="AI75">
        <f t="shared" si="95"/>
        <v>0</v>
      </c>
      <c r="AJ75">
        <f t="shared" si="70"/>
        <v>0</v>
      </c>
      <c r="AK75">
        <v>83.2</v>
      </c>
      <c r="AL75">
        <v>83.2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111</v>
      </c>
      <c r="AU75">
        <v>64</v>
      </c>
      <c r="AV75">
        <v>1</v>
      </c>
      <c r="AW75">
        <v>1</v>
      </c>
      <c r="AZ75">
        <v>6.11</v>
      </c>
      <c r="BA75">
        <v>1</v>
      </c>
      <c r="BB75">
        <v>1</v>
      </c>
      <c r="BC75">
        <v>6.11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149</v>
      </c>
      <c r="BM75">
        <v>11001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123</v>
      </c>
      <c r="CA75">
        <v>75</v>
      </c>
      <c r="CE75">
        <v>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71"/>
        <v>24474.1</v>
      </c>
      <c r="CQ75">
        <f t="shared" si="72"/>
        <v>508.35200000000003</v>
      </c>
      <c r="CR75">
        <f t="shared" si="73"/>
        <v>0</v>
      </c>
      <c r="CS75">
        <f t="shared" si="74"/>
        <v>0</v>
      </c>
      <c r="CT75">
        <f t="shared" si="75"/>
        <v>0</v>
      </c>
      <c r="CU75">
        <f t="shared" si="76"/>
        <v>0</v>
      </c>
      <c r="CV75">
        <f t="shared" si="77"/>
        <v>0</v>
      </c>
      <c r="CW75">
        <f t="shared" si="78"/>
        <v>0</v>
      </c>
      <c r="CX75">
        <f t="shared" si="79"/>
        <v>0</v>
      </c>
      <c r="CY75">
        <f t="shared" si="80"/>
        <v>0</v>
      </c>
      <c r="CZ75">
        <f t="shared" si="81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35</v>
      </c>
      <c r="DW75" t="s">
        <v>35</v>
      </c>
      <c r="DX75">
        <v>1</v>
      </c>
      <c r="EE75">
        <v>16510488</v>
      </c>
      <c r="EF75">
        <v>2</v>
      </c>
      <c r="EG75" t="s">
        <v>18</v>
      </c>
      <c r="EH75">
        <v>0</v>
      </c>
      <c r="EI75" t="s">
        <v>6</v>
      </c>
      <c r="EJ75">
        <v>1</v>
      </c>
      <c r="EK75">
        <v>11001</v>
      </c>
      <c r="EL75" t="s">
        <v>109</v>
      </c>
      <c r="EM75" t="s">
        <v>124</v>
      </c>
      <c r="EO75" t="s">
        <v>6</v>
      </c>
      <c r="EQ75">
        <v>0</v>
      </c>
      <c r="ER75">
        <v>83.2</v>
      </c>
      <c r="ES75">
        <v>83.2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2"/>
        <v>0</v>
      </c>
      <c r="FS75">
        <v>0</v>
      </c>
      <c r="FT75" t="s">
        <v>21</v>
      </c>
      <c r="FU75" t="s">
        <v>22</v>
      </c>
      <c r="FX75">
        <v>110.7</v>
      </c>
      <c r="FY75">
        <v>63.75</v>
      </c>
      <c r="GA75" t="s">
        <v>6</v>
      </c>
      <c r="GD75">
        <v>0</v>
      </c>
      <c r="GF75">
        <v>1925995961</v>
      </c>
      <c r="GG75">
        <v>1</v>
      </c>
      <c r="GH75">
        <v>1</v>
      </c>
      <c r="GI75">
        <v>4</v>
      </c>
      <c r="GJ75">
        <v>0</v>
      </c>
      <c r="GK75">
        <f>ROUND(R75*(S12)/100,2)</f>
        <v>0</v>
      </c>
      <c r="GL75">
        <f t="shared" si="83"/>
        <v>0</v>
      </c>
      <c r="GM75">
        <f t="shared" si="84"/>
        <v>24474.1</v>
      </c>
      <c r="GN75">
        <f t="shared" si="85"/>
        <v>24474.1</v>
      </c>
      <c r="GO75">
        <f t="shared" si="86"/>
        <v>0</v>
      </c>
      <c r="GP75">
        <f t="shared" si="87"/>
        <v>0</v>
      </c>
      <c r="GR75">
        <v>0</v>
      </c>
      <c r="GS75">
        <v>3</v>
      </c>
      <c r="GT75">
        <v>0</v>
      </c>
      <c r="GU75" t="s">
        <v>6</v>
      </c>
      <c r="GV75">
        <f t="shared" si="88"/>
        <v>0</v>
      </c>
      <c r="GW75">
        <v>1</v>
      </c>
      <c r="GX75">
        <f t="shared" si="89"/>
        <v>0</v>
      </c>
      <c r="HA75">
        <v>0</v>
      </c>
      <c r="HB75">
        <v>0</v>
      </c>
      <c r="HC75">
        <f t="shared" si="90"/>
        <v>0</v>
      </c>
      <c r="IK75">
        <v>0</v>
      </c>
    </row>
    <row r="76" spans="1:255" x14ac:dyDescent="0.2">
      <c r="A76" s="2">
        <v>17</v>
      </c>
      <c r="B76" s="2">
        <v>1</v>
      </c>
      <c r="C76" s="2">
        <f>ROW(SmtRes!A197)</f>
        <v>197</v>
      </c>
      <c r="D76" s="2">
        <f>ROW(EtalonRes!A204)</f>
        <v>204</v>
      </c>
      <c r="E76" s="2" t="s">
        <v>150</v>
      </c>
      <c r="F76" s="2" t="s">
        <v>151</v>
      </c>
      <c r="G76" s="2" t="s">
        <v>152</v>
      </c>
      <c r="H76" s="2" t="s">
        <v>16</v>
      </c>
      <c r="I76" s="2">
        <f>ROUND(95.8/100,9)</f>
        <v>0.95799999999999996</v>
      </c>
      <c r="J76" s="2">
        <v>0</v>
      </c>
      <c r="K76" s="2"/>
      <c r="L76" s="2"/>
      <c r="M76" s="2"/>
      <c r="N76" s="2"/>
      <c r="O76" s="2">
        <f t="shared" si="56"/>
        <v>70.760000000000005</v>
      </c>
      <c r="P76" s="2">
        <f t="shared" si="57"/>
        <v>0.17</v>
      </c>
      <c r="Q76" s="2">
        <f t="shared" si="58"/>
        <v>1.17</v>
      </c>
      <c r="R76" s="2">
        <f t="shared" si="59"/>
        <v>0.32</v>
      </c>
      <c r="S76" s="2">
        <f t="shared" si="60"/>
        <v>69.42</v>
      </c>
      <c r="T76" s="2">
        <f t="shared" si="61"/>
        <v>0</v>
      </c>
      <c r="U76" s="2">
        <f t="shared" si="62"/>
        <v>7.2161349999999986</v>
      </c>
      <c r="V76" s="2">
        <f t="shared" si="63"/>
        <v>2.3949999999999999E-2</v>
      </c>
      <c r="W76" s="2">
        <f t="shared" si="64"/>
        <v>0</v>
      </c>
      <c r="X76" s="2">
        <f t="shared" si="65"/>
        <v>66.25</v>
      </c>
      <c r="Y76" s="2">
        <f t="shared" si="66"/>
        <v>32.78</v>
      </c>
      <c r="Z76" s="2"/>
      <c r="AA76" s="2">
        <v>16784195</v>
      </c>
      <c r="AB76" s="2">
        <f t="shared" si="67"/>
        <v>73.86</v>
      </c>
      <c r="AC76" s="2">
        <f t="shared" si="52"/>
        <v>0.18</v>
      </c>
      <c r="AD76" s="2">
        <f>ROUND(((((ET76*1.25))-((EU76*1.25)))+AE76),2)</f>
        <v>1.22</v>
      </c>
      <c r="AE76" s="2">
        <f>ROUND(((EU76*1.25)),2)</f>
        <v>0.33</v>
      </c>
      <c r="AF76" s="2">
        <f>ROUND(((EV76*1.15)),2)</f>
        <v>72.459999999999994</v>
      </c>
      <c r="AG76" s="2">
        <f t="shared" si="69"/>
        <v>0</v>
      </c>
      <c r="AH76" s="2">
        <f>((EW76*1.15))</f>
        <v>7.5324999999999989</v>
      </c>
      <c r="AI76" s="2">
        <f>((EX76*1.25))</f>
        <v>2.5000000000000001E-2</v>
      </c>
      <c r="AJ76" s="2">
        <f t="shared" si="70"/>
        <v>0</v>
      </c>
      <c r="AK76" s="2">
        <v>64.16</v>
      </c>
      <c r="AL76" s="2">
        <v>0.18</v>
      </c>
      <c r="AM76" s="2">
        <v>0.97</v>
      </c>
      <c r="AN76" s="2">
        <v>0.26</v>
      </c>
      <c r="AO76" s="2">
        <v>63.01</v>
      </c>
      <c r="AP76" s="2">
        <v>0</v>
      </c>
      <c r="AQ76" s="2">
        <v>6.55</v>
      </c>
      <c r="AR76" s="2">
        <v>0.02</v>
      </c>
      <c r="AS76" s="2">
        <v>0</v>
      </c>
      <c r="AT76" s="2">
        <v>95</v>
      </c>
      <c r="AU76" s="2">
        <v>47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0</v>
      </c>
      <c r="BI76" s="2">
        <v>1</v>
      </c>
      <c r="BJ76" s="2" t="s">
        <v>153</v>
      </c>
      <c r="BK76" s="2"/>
      <c r="BL76" s="2"/>
      <c r="BM76" s="2">
        <v>15001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105</v>
      </c>
      <c r="CA76" s="2">
        <v>55</v>
      </c>
      <c r="CB76" s="2"/>
      <c r="CC76" s="2"/>
      <c r="CD76" s="2"/>
      <c r="CE76" s="2">
        <v>0</v>
      </c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824</v>
      </c>
      <c r="CO76" s="2">
        <v>0</v>
      </c>
      <c r="CP76" s="2">
        <f t="shared" si="71"/>
        <v>70.760000000000005</v>
      </c>
      <c r="CQ76" s="2">
        <f t="shared" si="72"/>
        <v>0.18</v>
      </c>
      <c r="CR76" s="2">
        <f t="shared" si="73"/>
        <v>1.22</v>
      </c>
      <c r="CS76" s="2">
        <f t="shared" si="74"/>
        <v>0.33</v>
      </c>
      <c r="CT76" s="2">
        <f t="shared" si="75"/>
        <v>72.459999999999994</v>
      </c>
      <c r="CU76" s="2">
        <f t="shared" si="76"/>
        <v>0</v>
      </c>
      <c r="CV76" s="2">
        <f t="shared" si="77"/>
        <v>7.5324999999999989</v>
      </c>
      <c r="CW76" s="2">
        <f t="shared" si="78"/>
        <v>2.5000000000000001E-2</v>
      </c>
      <c r="CX76" s="2">
        <f t="shared" si="79"/>
        <v>0</v>
      </c>
      <c r="CY76" s="2">
        <f t="shared" si="80"/>
        <v>66.252999999999986</v>
      </c>
      <c r="CZ76" s="2">
        <f t="shared" si="81"/>
        <v>32.777799999999999</v>
      </c>
      <c r="DA76" s="2"/>
      <c r="DB76" s="2"/>
      <c r="DC76" s="2" t="s">
        <v>6</v>
      </c>
      <c r="DD76" s="2" t="s">
        <v>6</v>
      </c>
      <c r="DE76" s="2" t="s">
        <v>27</v>
      </c>
      <c r="DF76" s="2" t="s">
        <v>27</v>
      </c>
      <c r="DG76" s="2" t="s">
        <v>28</v>
      </c>
      <c r="DH76" s="2" t="s">
        <v>6</v>
      </c>
      <c r="DI76" s="2" t="s">
        <v>28</v>
      </c>
      <c r="DJ76" s="2" t="s">
        <v>27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1005</v>
      </c>
      <c r="DV76" s="2" t="s">
        <v>16</v>
      </c>
      <c r="DW76" s="2" t="s">
        <v>16</v>
      </c>
      <c r="DX76" s="2">
        <v>100</v>
      </c>
      <c r="DY76" s="2"/>
      <c r="DZ76" s="2"/>
      <c r="EA76" s="2"/>
      <c r="EB76" s="2"/>
      <c r="EC76" s="2"/>
      <c r="ED76" s="2"/>
      <c r="EE76" s="2">
        <v>16510513</v>
      </c>
      <c r="EF76" s="2">
        <v>2</v>
      </c>
      <c r="EG76" s="2" t="s">
        <v>18</v>
      </c>
      <c r="EH76" s="2">
        <v>0</v>
      </c>
      <c r="EI76" s="2" t="s">
        <v>6</v>
      </c>
      <c r="EJ76" s="2">
        <v>1</v>
      </c>
      <c r="EK76" s="2">
        <v>15001</v>
      </c>
      <c r="EL76" s="2" t="s">
        <v>51</v>
      </c>
      <c r="EM76" s="2" t="s">
        <v>52</v>
      </c>
      <c r="EN76" s="2"/>
      <c r="EO76" s="2" t="s">
        <v>31</v>
      </c>
      <c r="EP76" s="2"/>
      <c r="EQ76" s="2">
        <v>0</v>
      </c>
      <c r="ER76" s="2">
        <v>64.16</v>
      </c>
      <c r="ES76" s="2">
        <v>0.18</v>
      </c>
      <c r="ET76" s="2">
        <v>0.97</v>
      </c>
      <c r="EU76" s="2">
        <v>0.26</v>
      </c>
      <c r="EV76" s="2">
        <v>63.01</v>
      </c>
      <c r="EW76" s="2">
        <v>6.55</v>
      </c>
      <c r="EX76" s="2">
        <v>0.02</v>
      </c>
      <c r="EY76" s="2">
        <v>0</v>
      </c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82"/>
        <v>0</v>
      </c>
      <c r="FS76" s="2">
        <v>0</v>
      </c>
      <c r="FT76" s="2" t="s">
        <v>21</v>
      </c>
      <c r="FU76" s="2" t="s">
        <v>22</v>
      </c>
      <c r="FV76" s="2"/>
      <c r="FW76" s="2"/>
      <c r="FX76" s="2">
        <v>94.5</v>
      </c>
      <c r="FY76" s="2">
        <v>46.75</v>
      </c>
      <c r="FZ76" s="2"/>
      <c r="GA76" s="2" t="s">
        <v>6</v>
      </c>
      <c r="GB76" s="2"/>
      <c r="GC76" s="2"/>
      <c r="GD76" s="2">
        <v>0</v>
      </c>
      <c r="GE76" s="2"/>
      <c r="GF76" s="2">
        <v>-2014629731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83"/>
        <v>0</v>
      </c>
      <c r="GM76" s="2">
        <f t="shared" si="84"/>
        <v>169.79</v>
      </c>
      <c r="GN76" s="2">
        <f t="shared" si="85"/>
        <v>169.79</v>
      </c>
      <c r="GO76" s="2">
        <f t="shared" si="86"/>
        <v>0</v>
      </c>
      <c r="GP76" s="2">
        <f t="shared" si="87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88"/>
        <v>0</v>
      </c>
      <c r="GW76" s="2">
        <v>1</v>
      </c>
      <c r="GX76" s="2">
        <f t="shared" si="89"/>
        <v>0</v>
      </c>
      <c r="GY76" s="2"/>
      <c r="GZ76" s="2"/>
      <c r="HA76" s="2">
        <v>0</v>
      </c>
      <c r="HB76" s="2">
        <v>0</v>
      </c>
      <c r="HC76" s="2">
        <f t="shared" si="90"/>
        <v>0</v>
      </c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17</v>
      </c>
      <c r="B77">
        <v>1</v>
      </c>
      <c r="C77">
        <f>ROW(SmtRes!A204)</f>
        <v>204</v>
      </c>
      <c r="D77">
        <f>ROW(EtalonRes!A210)</f>
        <v>210</v>
      </c>
      <c r="E77" t="s">
        <v>150</v>
      </c>
      <c r="F77" t="s">
        <v>151</v>
      </c>
      <c r="G77" t="s">
        <v>152</v>
      </c>
      <c r="H77" t="s">
        <v>16</v>
      </c>
      <c r="I77">
        <f>ROUND(95.8/100,9)</f>
        <v>0.95799999999999996</v>
      </c>
      <c r="J77">
        <v>0</v>
      </c>
      <c r="O77">
        <f t="shared" si="56"/>
        <v>432.33</v>
      </c>
      <c r="P77">
        <f t="shared" si="57"/>
        <v>1.05</v>
      </c>
      <c r="Q77">
        <f t="shared" si="58"/>
        <v>7.14</v>
      </c>
      <c r="R77">
        <f t="shared" si="59"/>
        <v>1.93</v>
      </c>
      <c r="S77">
        <f t="shared" si="60"/>
        <v>424.14</v>
      </c>
      <c r="T77">
        <f t="shared" si="61"/>
        <v>0</v>
      </c>
      <c r="U77">
        <f t="shared" si="62"/>
        <v>7.2161349999999986</v>
      </c>
      <c r="V77">
        <f t="shared" si="63"/>
        <v>2.3949999999999999E-2</v>
      </c>
      <c r="W77">
        <f t="shared" si="64"/>
        <v>0</v>
      </c>
      <c r="X77">
        <f t="shared" si="65"/>
        <v>404.77</v>
      </c>
      <c r="Y77">
        <f t="shared" si="66"/>
        <v>200.25</v>
      </c>
      <c r="AA77">
        <v>16784196</v>
      </c>
      <c r="AB77">
        <f t="shared" si="67"/>
        <v>73.86</v>
      </c>
      <c r="AC77">
        <f t="shared" si="52"/>
        <v>0.18</v>
      </c>
      <c r="AD77">
        <f>ROUND(((((ET77*1.25))-((EU77*1.25)))+AE77),2)</f>
        <v>1.22</v>
      </c>
      <c r="AE77">
        <f>ROUND(((EU77*1.25)),2)</f>
        <v>0.33</v>
      </c>
      <c r="AF77">
        <f>ROUND(((EV77*1.15)),2)</f>
        <v>72.459999999999994</v>
      </c>
      <c r="AG77">
        <f t="shared" si="69"/>
        <v>0</v>
      </c>
      <c r="AH77">
        <f>((EW77*1.15))</f>
        <v>7.5324999999999989</v>
      </c>
      <c r="AI77">
        <f>((EX77*1.25))</f>
        <v>2.5000000000000001E-2</v>
      </c>
      <c r="AJ77">
        <f t="shared" si="70"/>
        <v>0</v>
      </c>
      <c r="AK77">
        <v>64.16</v>
      </c>
      <c r="AL77">
        <v>0.18</v>
      </c>
      <c r="AM77">
        <v>0.97</v>
      </c>
      <c r="AN77">
        <v>0.26</v>
      </c>
      <c r="AO77">
        <v>63.01</v>
      </c>
      <c r="AP77">
        <v>0</v>
      </c>
      <c r="AQ77">
        <v>6.55</v>
      </c>
      <c r="AR77">
        <v>0.02</v>
      </c>
      <c r="AS77">
        <v>0</v>
      </c>
      <c r="AT77">
        <v>95</v>
      </c>
      <c r="AU77">
        <v>47</v>
      </c>
      <c r="AV77">
        <v>1</v>
      </c>
      <c r="AW77">
        <v>1</v>
      </c>
      <c r="AZ77">
        <v>6.11</v>
      </c>
      <c r="BA77">
        <v>6.11</v>
      </c>
      <c r="BB77">
        <v>6.11</v>
      </c>
      <c r="BC77">
        <v>6.11</v>
      </c>
      <c r="BD77" t="s">
        <v>6</v>
      </c>
      <c r="BE77" t="s">
        <v>6</v>
      </c>
      <c r="BF77" t="s">
        <v>6</v>
      </c>
      <c r="BG77" t="s">
        <v>6</v>
      </c>
      <c r="BH77">
        <v>0</v>
      </c>
      <c r="BI77">
        <v>1</v>
      </c>
      <c r="BJ77" t="s">
        <v>153</v>
      </c>
      <c r="BM77">
        <v>15001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6.11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105</v>
      </c>
      <c r="CA77">
        <v>55</v>
      </c>
      <c r="CE77">
        <v>0</v>
      </c>
      <c r="CF77">
        <v>0</v>
      </c>
      <c r="CG77">
        <v>0</v>
      </c>
      <c r="CM77">
        <v>0</v>
      </c>
      <c r="CN77" t="s">
        <v>824</v>
      </c>
      <c r="CO77">
        <v>0</v>
      </c>
      <c r="CP77">
        <f t="shared" si="71"/>
        <v>432.33</v>
      </c>
      <c r="CQ77">
        <f t="shared" si="72"/>
        <v>1.0998000000000001</v>
      </c>
      <c r="CR77">
        <f t="shared" si="73"/>
        <v>7.4542000000000002</v>
      </c>
      <c r="CS77">
        <f t="shared" si="74"/>
        <v>2.0163000000000002</v>
      </c>
      <c r="CT77">
        <f t="shared" si="75"/>
        <v>442.73059999999998</v>
      </c>
      <c r="CU77">
        <f t="shared" si="76"/>
        <v>0</v>
      </c>
      <c r="CV77">
        <f t="shared" si="77"/>
        <v>7.5324999999999989</v>
      </c>
      <c r="CW77">
        <f t="shared" si="78"/>
        <v>2.5000000000000001E-2</v>
      </c>
      <c r="CX77">
        <f t="shared" si="79"/>
        <v>0</v>
      </c>
      <c r="CY77">
        <f t="shared" si="80"/>
        <v>404.76650000000001</v>
      </c>
      <c r="CZ77">
        <f t="shared" si="81"/>
        <v>200.25290000000001</v>
      </c>
      <c r="DC77" t="s">
        <v>6</v>
      </c>
      <c r="DD77" t="s">
        <v>6</v>
      </c>
      <c r="DE77" t="s">
        <v>27</v>
      </c>
      <c r="DF77" t="s">
        <v>27</v>
      </c>
      <c r="DG77" t="s">
        <v>28</v>
      </c>
      <c r="DH77" t="s">
        <v>6</v>
      </c>
      <c r="DI77" t="s">
        <v>28</v>
      </c>
      <c r="DJ77" t="s">
        <v>27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1005</v>
      </c>
      <c r="DV77" t="s">
        <v>16</v>
      </c>
      <c r="DW77" t="s">
        <v>16</v>
      </c>
      <c r="DX77">
        <v>100</v>
      </c>
      <c r="EE77">
        <v>16510513</v>
      </c>
      <c r="EF77">
        <v>2</v>
      </c>
      <c r="EG77" t="s">
        <v>18</v>
      </c>
      <c r="EH77">
        <v>0</v>
      </c>
      <c r="EI77" t="s">
        <v>6</v>
      </c>
      <c r="EJ77">
        <v>1</v>
      </c>
      <c r="EK77">
        <v>15001</v>
      </c>
      <c r="EL77" t="s">
        <v>51</v>
      </c>
      <c r="EM77" t="s">
        <v>52</v>
      </c>
      <c r="EO77" t="s">
        <v>31</v>
      </c>
      <c r="EQ77">
        <v>0</v>
      </c>
      <c r="ER77">
        <v>64.16</v>
      </c>
      <c r="ES77">
        <v>0.18</v>
      </c>
      <c r="ET77">
        <v>0.97</v>
      </c>
      <c r="EU77">
        <v>0.26</v>
      </c>
      <c r="EV77">
        <v>63.01</v>
      </c>
      <c r="EW77">
        <v>6.55</v>
      </c>
      <c r="EX77">
        <v>0.02</v>
      </c>
      <c r="EY77">
        <v>0</v>
      </c>
      <c r="FQ77">
        <v>0</v>
      </c>
      <c r="FR77">
        <f t="shared" si="82"/>
        <v>0</v>
      </c>
      <c r="FS77">
        <v>0</v>
      </c>
      <c r="FT77" t="s">
        <v>21</v>
      </c>
      <c r="FU77" t="s">
        <v>22</v>
      </c>
      <c r="FX77">
        <v>94.5</v>
      </c>
      <c r="FY77">
        <v>46.75</v>
      </c>
      <c r="GA77" t="s">
        <v>6</v>
      </c>
      <c r="GD77">
        <v>0</v>
      </c>
      <c r="GF77">
        <v>-2014629731</v>
      </c>
      <c r="GG77">
        <v>1</v>
      </c>
      <c r="GH77">
        <v>1</v>
      </c>
      <c r="GI77">
        <v>4</v>
      </c>
      <c r="GJ77">
        <v>0</v>
      </c>
      <c r="GK77">
        <f>ROUND(R77*(S12)/100,2)</f>
        <v>0</v>
      </c>
      <c r="GL77">
        <f t="shared" si="83"/>
        <v>0</v>
      </c>
      <c r="GM77">
        <f t="shared" si="84"/>
        <v>1037.3499999999999</v>
      </c>
      <c r="GN77">
        <f t="shared" si="85"/>
        <v>1037.3499999999999</v>
      </c>
      <c r="GO77">
        <f t="shared" si="86"/>
        <v>0</v>
      </c>
      <c r="GP77">
        <f t="shared" si="87"/>
        <v>0</v>
      </c>
      <c r="GR77">
        <v>0</v>
      </c>
      <c r="GS77">
        <v>3</v>
      </c>
      <c r="GT77">
        <v>0</v>
      </c>
      <c r="GU77" t="s">
        <v>6</v>
      </c>
      <c r="GV77">
        <f t="shared" si="88"/>
        <v>0</v>
      </c>
      <c r="GW77">
        <v>1</v>
      </c>
      <c r="GX77">
        <f t="shared" si="89"/>
        <v>0</v>
      </c>
      <c r="HA77">
        <v>0</v>
      </c>
      <c r="HB77">
        <v>0</v>
      </c>
      <c r="HC77">
        <f t="shared" si="90"/>
        <v>0</v>
      </c>
      <c r="IK77">
        <v>0</v>
      </c>
    </row>
    <row r="78" spans="1:255" x14ac:dyDescent="0.2">
      <c r="A78" s="2">
        <v>18</v>
      </c>
      <c r="B78" s="2">
        <v>1</v>
      </c>
      <c r="C78" s="2">
        <v>197</v>
      </c>
      <c r="D78" s="2"/>
      <c r="E78" s="2" t="s">
        <v>154</v>
      </c>
      <c r="F78" s="2" t="s">
        <v>155</v>
      </c>
      <c r="G78" s="2" t="s">
        <v>156</v>
      </c>
      <c r="H78" s="2" t="s">
        <v>65</v>
      </c>
      <c r="I78" s="2">
        <f>I76*J78</f>
        <v>1.2454E-2</v>
      </c>
      <c r="J78" s="2">
        <v>1.3000000000000001E-2</v>
      </c>
      <c r="K78" s="2"/>
      <c r="L78" s="2"/>
      <c r="M78" s="2"/>
      <c r="N78" s="2"/>
      <c r="O78" s="2">
        <f t="shared" si="56"/>
        <v>0</v>
      </c>
      <c r="P78" s="2">
        <f t="shared" si="57"/>
        <v>0</v>
      </c>
      <c r="Q78" s="2">
        <f t="shared" si="58"/>
        <v>0</v>
      </c>
      <c r="R78" s="2">
        <f t="shared" si="59"/>
        <v>0</v>
      </c>
      <c r="S78" s="2">
        <f t="shared" si="60"/>
        <v>0</v>
      </c>
      <c r="T78" s="2">
        <f t="shared" si="61"/>
        <v>0</v>
      </c>
      <c r="U78" s="2">
        <f t="shared" si="62"/>
        <v>0</v>
      </c>
      <c r="V78" s="2">
        <f t="shared" si="63"/>
        <v>0</v>
      </c>
      <c r="W78" s="2">
        <f t="shared" si="64"/>
        <v>0</v>
      </c>
      <c r="X78" s="2">
        <f t="shared" si="65"/>
        <v>0</v>
      </c>
      <c r="Y78" s="2">
        <f t="shared" si="66"/>
        <v>0</v>
      </c>
      <c r="Z78" s="2"/>
      <c r="AA78" s="2">
        <v>16784195</v>
      </c>
      <c r="AB78" s="2">
        <f t="shared" si="67"/>
        <v>0</v>
      </c>
      <c r="AC78" s="2">
        <f t="shared" si="52"/>
        <v>0</v>
      </c>
      <c r="AD78" s="2">
        <f t="shared" ref="AD78:AD83" si="96">ROUND((((ET78)-(EU78))+AE78),2)</f>
        <v>0</v>
      </c>
      <c r="AE78" s="2">
        <f t="shared" ref="AE78:AF83" si="97">ROUND((EU78),2)</f>
        <v>0</v>
      </c>
      <c r="AF78" s="2">
        <f t="shared" si="97"/>
        <v>0</v>
      </c>
      <c r="AG78" s="2">
        <f t="shared" si="69"/>
        <v>0</v>
      </c>
      <c r="AH78" s="2">
        <f t="shared" ref="AH78:AI83" si="98">(EW78)</f>
        <v>0</v>
      </c>
      <c r="AI78" s="2">
        <f t="shared" si="98"/>
        <v>0</v>
      </c>
      <c r="AJ78" s="2">
        <f t="shared" si="70"/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95</v>
      </c>
      <c r="AU78" s="2">
        <v>47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3</v>
      </c>
      <c r="BI78" s="2">
        <v>1</v>
      </c>
      <c r="BJ78" s="2" t="s">
        <v>6</v>
      </c>
      <c r="BK78" s="2"/>
      <c r="BL78" s="2"/>
      <c r="BM78" s="2">
        <v>15001</v>
      </c>
      <c r="BN78" s="2">
        <v>0</v>
      </c>
      <c r="BO78" s="2" t="s">
        <v>6</v>
      </c>
      <c r="BP78" s="2">
        <v>0</v>
      </c>
      <c r="BQ78" s="2">
        <v>2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105</v>
      </c>
      <c r="CA78" s="2">
        <v>55</v>
      </c>
      <c r="CB78" s="2"/>
      <c r="CC78" s="2"/>
      <c r="CD78" s="2"/>
      <c r="CE78" s="2">
        <v>0</v>
      </c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6</v>
      </c>
      <c r="CO78" s="2">
        <v>0</v>
      </c>
      <c r="CP78" s="2">
        <f t="shared" si="71"/>
        <v>0</v>
      </c>
      <c r="CQ78" s="2">
        <f t="shared" si="72"/>
        <v>0</v>
      </c>
      <c r="CR78" s="2">
        <f t="shared" si="73"/>
        <v>0</v>
      </c>
      <c r="CS78" s="2">
        <f t="shared" si="74"/>
        <v>0</v>
      </c>
      <c r="CT78" s="2">
        <f t="shared" si="75"/>
        <v>0</v>
      </c>
      <c r="CU78" s="2">
        <f t="shared" si="76"/>
        <v>0</v>
      </c>
      <c r="CV78" s="2">
        <f t="shared" si="77"/>
        <v>0</v>
      </c>
      <c r="CW78" s="2">
        <f t="shared" si="78"/>
        <v>0</v>
      </c>
      <c r="CX78" s="2">
        <f t="shared" si="79"/>
        <v>0</v>
      </c>
      <c r="CY78" s="2">
        <f t="shared" si="80"/>
        <v>0</v>
      </c>
      <c r="CZ78" s="2">
        <f t="shared" si="81"/>
        <v>0</v>
      </c>
      <c r="DA78" s="2"/>
      <c r="DB78" s="2"/>
      <c r="DC78" s="2" t="s">
        <v>6</v>
      </c>
      <c r="DD78" s="2" t="s">
        <v>6</v>
      </c>
      <c r="DE78" s="2" t="s">
        <v>6</v>
      </c>
      <c r="DF78" s="2" t="s">
        <v>6</v>
      </c>
      <c r="DG78" s="2" t="s">
        <v>6</v>
      </c>
      <c r="DH78" s="2" t="s">
        <v>6</v>
      </c>
      <c r="DI78" s="2" t="s">
        <v>6</v>
      </c>
      <c r="DJ78" s="2" t="s">
        <v>6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1009</v>
      </c>
      <c r="DV78" s="2" t="s">
        <v>65</v>
      </c>
      <c r="DW78" s="2" t="s">
        <v>65</v>
      </c>
      <c r="DX78" s="2">
        <v>1000</v>
      </c>
      <c r="DY78" s="2"/>
      <c r="DZ78" s="2"/>
      <c r="EA78" s="2"/>
      <c r="EB78" s="2"/>
      <c r="EC78" s="2"/>
      <c r="ED78" s="2"/>
      <c r="EE78" s="2">
        <v>16510513</v>
      </c>
      <c r="EF78" s="2">
        <v>2</v>
      </c>
      <c r="EG78" s="2" t="s">
        <v>18</v>
      </c>
      <c r="EH78" s="2">
        <v>0</v>
      </c>
      <c r="EI78" s="2" t="s">
        <v>6</v>
      </c>
      <c r="EJ78" s="2">
        <v>1</v>
      </c>
      <c r="EK78" s="2">
        <v>15001</v>
      </c>
      <c r="EL78" s="2" t="s">
        <v>51</v>
      </c>
      <c r="EM78" s="2" t="s">
        <v>52</v>
      </c>
      <c r="EN78" s="2"/>
      <c r="EO78" s="2" t="s">
        <v>6</v>
      </c>
      <c r="EP78" s="2"/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82"/>
        <v>0</v>
      </c>
      <c r="FS78" s="2">
        <v>0</v>
      </c>
      <c r="FT78" s="2" t="s">
        <v>21</v>
      </c>
      <c r="FU78" s="2" t="s">
        <v>22</v>
      </c>
      <c r="FV78" s="2"/>
      <c r="FW78" s="2"/>
      <c r="FX78" s="2">
        <v>94.5</v>
      </c>
      <c r="FY78" s="2">
        <v>46.75</v>
      </c>
      <c r="FZ78" s="2"/>
      <c r="GA78" s="2" t="s">
        <v>6</v>
      </c>
      <c r="GB78" s="2"/>
      <c r="GC78" s="2"/>
      <c r="GD78" s="2">
        <v>0</v>
      </c>
      <c r="GE78" s="2"/>
      <c r="GF78" s="2">
        <v>-1212923053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83"/>
        <v>0</v>
      </c>
      <c r="GM78" s="2">
        <f t="shared" si="84"/>
        <v>0</v>
      </c>
      <c r="GN78" s="2">
        <f t="shared" si="85"/>
        <v>0</v>
      </c>
      <c r="GO78" s="2">
        <f t="shared" si="86"/>
        <v>0</v>
      </c>
      <c r="GP78" s="2">
        <f t="shared" si="87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88"/>
        <v>0</v>
      </c>
      <c r="GW78" s="2">
        <v>1</v>
      </c>
      <c r="GX78" s="2">
        <f t="shared" si="89"/>
        <v>0</v>
      </c>
      <c r="GY78" s="2"/>
      <c r="GZ78" s="2"/>
      <c r="HA78" s="2">
        <v>0</v>
      </c>
      <c r="HB78" s="2">
        <v>0</v>
      </c>
      <c r="HC78" s="2">
        <f t="shared" si="90"/>
        <v>0</v>
      </c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18</v>
      </c>
      <c r="B79">
        <v>1</v>
      </c>
      <c r="C79">
        <v>204</v>
      </c>
      <c r="E79" t="s">
        <v>154</v>
      </c>
      <c r="F79" t="s">
        <v>155</v>
      </c>
      <c r="G79" t="s">
        <v>156</v>
      </c>
      <c r="H79" t="s">
        <v>65</v>
      </c>
      <c r="I79">
        <f>I77*J79</f>
        <v>1.2454E-2</v>
      </c>
      <c r="J79">
        <v>1.3000000000000001E-2</v>
      </c>
      <c r="O79">
        <f t="shared" si="56"/>
        <v>0</v>
      </c>
      <c r="P79">
        <f t="shared" si="57"/>
        <v>0</v>
      </c>
      <c r="Q79">
        <f t="shared" si="58"/>
        <v>0</v>
      </c>
      <c r="R79">
        <f t="shared" si="59"/>
        <v>0</v>
      </c>
      <c r="S79">
        <f t="shared" si="60"/>
        <v>0</v>
      </c>
      <c r="T79">
        <f t="shared" si="61"/>
        <v>0</v>
      </c>
      <c r="U79">
        <f t="shared" si="62"/>
        <v>0</v>
      </c>
      <c r="V79">
        <f t="shared" si="63"/>
        <v>0</v>
      </c>
      <c r="W79">
        <f t="shared" si="64"/>
        <v>0</v>
      </c>
      <c r="X79">
        <f t="shared" si="65"/>
        <v>0</v>
      </c>
      <c r="Y79">
        <f t="shared" si="66"/>
        <v>0</v>
      </c>
      <c r="AA79">
        <v>16784196</v>
      </c>
      <c r="AB79">
        <f t="shared" si="67"/>
        <v>0</v>
      </c>
      <c r="AC79">
        <f t="shared" si="52"/>
        <v>0</v>
      </c>
      <c r="AD79">
        <f t="shared" si="96"/>
        <v>0</v>
      </c>
      <c r="AE79">
        <f t="shared" si="97"/>
        <v>0</v>
      </c>
      <c r="AF79">
        <f t="shared" si="97"/>
        <v>0</v>
      </c>
      <c r="AG79">
        <f t="shared" si="69"/>
        <v>0</v>
      </c>
      <c r="AH79">
        <f t="shared" si="98"/>
        <v>0</v>
      </c>
      <c r="AI79">
        <f t="shared" si="98"/>
        <v>0</v>
      </c>
      <c r="AJ79">
        <f t="shared" si="70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95</v>
      </c>
      <c r="AU79">
        <v>47</v>
      </c>
      <c r="AV79">
        <v>1</v>
      </c>
      <c r="AW79">
        <v>1</v>
      </c>
      <c r="AZ79">
        <v>6.11</v>
      </c>
      <c r="BA79">
        <v>1</v>
      </c>
      <c r="BB79">
        <v>1</v>
      </c>
      <c r="BC79">
        <v>6.11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6</v>
      </c>
      <c r="BM79">
        <v>15001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105</v>
      </c>
      <c r="CA79">
        <v>55</v>
      </c>
      <c r="CE79">
        <v>0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71"/>
        <v>0</v>
      </c>
      <c r="CQ79">
        <f t="shared" si="72"/>
        <v>0</v>
      </c>
      <c r="CR79">
        <f t="shared" si="73"/>
        <v>0</v>
      </c>
      <c r="CS79">
        <f t="shared" si="74"/>
        <v>0</v>
      </c>
      <c r="CT79">
        <f t="shared" si="75"/>
        <v>0</v>
      </c>
      <c r="CU79">
        <f t="shared" si="76"/>
        <v>0</v>
      </c>
      <c r="CV79">
        <f t="shared" si="77"/>
        <v>0</v>
      </c>
      <c r="CW79">
        <f t="shared" si="78"/>
        <v>0</v>
      </c>
      <c r="CX79">
        <f t="shared" si="79"/>
        <v>0</v>
      </c>
      <c r="CY79">
        <f t="shared" si="80"/>
        <v>0</v>
      </c>
      <c r="CZ79">
        <f t="shared" si="81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1009</v>
      </c>
      <c r="DV79" t="s">
        <v>65</v>
      </c>
      <c r="DW79" t="s">
        <v>65</v>
      </c>
      <c r="DX79">
        <v>1000</v>
      </c>
      <c r="EE79">
        <v>16510513</v>
      </c>
      <c r="EF79">
        <v>2</v>
      </c>
      <c r="EG79" t="s">
        <v>18</v>
      </c>
      <c r="EH79">
        <v>0</v>
      </c>
      <c r="EI79" t="s">
        <v>6</v>
      </c>
      <c r="EJ79">
        <v>1</v>
      </c>
      <c r="EK79">
        <v>15001</v>
      </c>
      <c r="EL79" t="s">
        <v>51</v>
      </c>
      <c r="EM79" t="s">
        <v>52</v>
      </c>
      <c r="EO79" t="s">
        <v>6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82"/>
        <v>0</v>
      </c>
      <c r="FS79">
        <v>0</v>
      </c>
      <c r="FT79" t="s">
        <v>21</v>
      </c>
      <c r="FU79" t="s">
        <v>22</v>
      </c>
      <c r="FX79">
        <v>94.5</v>
      </c>
      <c r="FY79">
        <v>46.75</v>
      </c>
      <c r="GA79" t="s">
        <v>6</v>
      </c>
      <c r="GD79">
        <v>0</v>
      </c>
      <c r="GF79">
        <v>-1212923053</v>
      </c>
      <c r="GG79">
        <v>1</v>
      </c>
      <c r="GH79">
        <v>1</v>
      </c>
      <c r="GI79">
        <v>4</v>
      </c>
      <c r="GJ79">
        <v>0</v>
      </c>
      <c r="GK79">
        <f>ROUND(R79*(S12)/100,2)</f>
        <v>0</v>
      </c>
      <c r="GL79">
        <f t="shared" si="83"/>
        <v>0</v>
      </c>
      <c r="GM79">
        <f t="shared" si="84"/>
        <v>0</v>
      </c>
      <c r="GN79">
        <f t="shared" si="85"/>
        <v>0</v>
      </c>
      <c r="GO79">
        <f t="shared" si="86"/>
        <v>0</v>
      </c>
      <c r="GP79">
        <f t="shared" si="87"/>
        <v>0</v>
      </c>
      <c r="GR79">
        <v>0</v>
      </c>
      <c r="GS79">
        <v>3</v>
      </c>
      <c r="GT79">
        <v>0</v>
      </c>
      <c r="GU79" t="s">
        <v>6</v>
      </c>
      <c r="GV79">
        <f t="shared" si="88"/>
        <v>0</v>
      </c>
      <c r="GW79">
        <v>1</v>
      </c>
      <c r="GX79">
        <f t="shared" si="89"/>
        <v>0</v>
      </c>
      <c r="HA79">
        <v>0</v>
      </c>
      <c r="HB79">
        <v>0</v>
      </c>
      <c r="HC79">
        <f t="shared" si="90"/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196</v>
      </c>
      <c r="D80" s="2"/>
      <c r="E80" s="2" t="s">
        <v>157</v>
      </c>
      <c r="F80" s="2" t="s">
        <v>158</v>
      </c>
      <c r="G80" s="2" t="s">
        <v>159</v>
      </c>
      <c r="H80" s="2" t="s">
        <v>65</v>
      </c>
      <c r="I80" s="2">
        <f>I76*J80</f>
        <v>1.2454E-2</v>
      </c>
      <c r="J80" s="2">
        <v>1.3000000000000001E-2</v>
      </c>
      <c r="K80" s="2"/>
      <c r="L80" s="2"/>
      <c r="M80" s="2"/>
      <c r="N80" s="2"/>
      <c r="O80" s="2">
        <f t="shared" si="56"/>
        <v>140.72999999999999</v>
      </c>
      <c r="P80" s="2">
        <f t="shared" si="57"/>
        <v>140.72999999999999</v>
      </c>
      <c r="Q80" s="2">
        <f t="shared" si="58"/>
        <v>0</v>
      </c>
      <c r="R80" s="2">
        <f t="shared" si="59"/>
        <v>0</v>
      </c>
      <c r="S80" s="2">
        <f t="shared" si="60"/>
        <v>0</v>
      </c>
      <c r="T80" s="2">
        <f t="shared" si="61"/>
        <v>0</v>
      </c>
      <c r="U80" s="2">
        <f t="shared" si="62"/>
        <v>0</v>
      </c>
      <c r="V80" s="2">
        <f t="shared" si="63"/>
        <v>0</v>
      </c>
      <c r="W80" s="2">
        <f t="shared" si="64"/>
        <v>0</v>
      </c>
      <c r="X80" s="2">
        <f t="shared" si="65"/>
        <v>0</v>
      </c>
      <c r="Y80" s="2">
        <f t="shared" si="66"/>
        <v>0</v>
      </c>
      <c r="Z80" s="2"/>
      <c r="AA80" s="2">
        <v>16784195</v>
      </c>
      <c r="AB80" s="2">
        <f t="shared" si="67"/>
        <v>11300</v>
      </c>
      <c r="AC80" s="2">
        <f t="shared" ref="AC80:AC101" si="99">ROUND((ES80),2)</f>
        <v>11300</v>
      </c>
      <c r="AD80" s="2">
        <f t="shared" si="96"/>
        <v>0</v>
      </c>
      <c r="AE80" s="2">
        <f t="shared" si="97"/>
        <v>0</v>
      </c>
      <c r="AF80" s="2">
        <f t="shared" si="97"/>
        <v>0</v>
      </c>
      <c r="AG80" s="2">
        <f t="shared" si="69"/>
        <v>0</v>
      </c>
      <c r="AH80" s="2">
        <f t="shared" si="98"/>
        <v>0</v>
      </c>
      <c r="AI80" s="2">
        <f t="shared" si="98"/>
        <v>0</v>
      </c>
      <c r="AJ80" s="2">
        <f t="shared" si="70"/>
        <v>0</v>
      </c>
      <c r="AK80" s="2">
        <v>11300</v>
      </c>
      <c r="AL80" s="2">
        <v>11300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95</v>
      </c>
      <c r="AU80" s="2">
        <v>47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3</v>
      </c>
      <c r="BI80" s="2">
        <v>1</v>
      </c>
      <c r="BJ80" s="2" t="s">
        <v>160</v>
      </c>
      <c r="BK80" s="2"/>
      <c r="BL80" s="2"/>
      <c r="BM80" s="2">
        <v>15001</v>
      </c>
      <c r="BN80" s="2">
        <v>0</v>
      </c>
      <c r="BO80" s="2" t="s">
        <v>6</v>
      </c>
      <c r="BP80" s="2">
        <v>0</v>
      </c>
      <c r="BQ80" s="2">
        <v>2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105</v>
      </c>
      <c r="CA80" s="2">
        <v>55</v>
      </c>
      <c r="CB80" s="2"/>
      <c r="CC80" s="2"/>
      <c r="CD80" s="2"/>
      <c r="CE80" s="2">
        <v>0</v>
      </c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71"/>
        <v>140.72999999999999</v>
      </c>
      <c r="CQ80" s="2">
        <f t="shared" si="72"/>
        <v>11300</v>
      </c>
      <c r="CR80" s="2">
        <f t="shared" si="73"/>
        <v>0</v>
      </c>
      <c r="CS80" s="2">
        <f t="shared" si="74"/>
        <v>0</v>
      </c>
      <c r="CT80" s="2">
        <f t="shared" si="75"/>
        <v>0</v>
      </c>
      <c r="CU80" s="2">
        <f t="shared" si="76"/>
        <v>0</v>
      </c>
      <c r="CV80" s="2">
        <f t="shared" si="77"/>
        <v>0</v>
      </c>
      <c r="CW80" s="2">
        <f t="shared" si="78"/>
        <v>0</v>
      </c>
      <c r="CX80" s="2">
        <f t="shared" si="79"/>
        <v>0</v>
      </c>
      <c r="CY80" s="2">
        <f t="shared" si="80"/>
        <v>0</v>
      </c>
      <c r="CZ80" s="2">
        <f t="shared" si="81"/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1009</v>
      </c>
      <c r="DV80" s="2" t="s">
        <v>65</v>
      </c>
      <c r="DW80" s="2" t="s">
        <v>65</v>
      </c>
      <c r="DX80" s="2">
        <v>1000</v>
      </c>
      <c r="DY80" s="2"/>
      <c r="DZ80" s="2"/>
      <c r="EA80" s="2"/>
      <c r="EB80" s="2"/>
      <c r="EC80" s="2"/>
      <c r="ED80" s="2"/>
      <c r="EE80" s="2">
        <v>16510513</v>
      </c>
      <c r="EF80" s="2">
        <v>2</v>
      </c>
      <c r="EG80" s="2" t="s">
        <v>18</v>
      </c>
      <c r="EH80" s="2">
        <v>0</v>
      </c>
      <c r="EI80" s="2" t="s">
        <v>6</v>
      </c>
      <c r="EJ80" s="2">
        <v>1</v>
      </c>
      <c r="EK80" s="2">
        <v>15001</v>
      </c>
      <c r="EL80" s="2" t="s">
        <v>51</v>
      </c>
      <c r="EM80" s="2" t="s">
        <v>52</v>
      </c>
      <c r="EN80" s="2"/>
      <c r="EO80" s="2" t="s">
        <v>6</v>
      </c>
      <c r="EP80" s="2"/>
      <c r="EQ80" s="2">
        <v>0</v>
      </c>
      <c r="ER80" s="2">
        <v>11300</v>
      </c>
      <c r="ES80" s="2">
        <v>11300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82"/>
        <v>0</v>
      </c>
      <c r="FS80" s="2">
        <v>0</v>
      </c>
      <c r="FT80" s="2" t="s">
        <v>21</v>
      </c>
      <c r="FU80" s="2" t="s">
        <v>22</v>
      </c>
      <c r="FV80" s="2"/>
      <c r="FW80" s="2"/>
      <c r="FX80" s="2">
        <v>94.5</v>
      </c>
      <c r="FY80" s="2">
        <v>46.75</v>
      </c>
      <c r="FZ80" s="2"/>
      <c r="GA80" s="2" t="s">
        <v>6</v>
      </c>
      <c r="GB80" s="2"/>
      <c r="GC80" s="2"/>
      <c r="GD80" s="2">
        <v>0</v>
      </c>
      <c r="GE80" s="2"/>
      <c r="GF80" s="2">
        <v>-1036077714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83"/>
        <v>0</v>
      </c>
      <c r="GM80" s="2">
        <f t="shared" si="84"/>
        <v>140.72999999999999</v>
      </c>
      <c r="GN80" s="2">
        <f t="shared" si="85"/>
        <v>140.72999999999999</v>
      </c>
      <c r="GO80" s="2">
        <f t="shared" si="86"/>
        <v>0</v>
      </c>
      <c r="GP80" s="2">
        <f t="shared" si="87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88"/>
        <v>0</v>
      </c>
      <c r="GW80" s="2">
        <v>1</v>
      </c>
      <c r="GX80" s="2">
        <f t="shared" si="89"/>
        <v>0</v>
      </c>
      <c r="GY80" s="2"/>
      <c r="GZ80" s="2"/>
      <c r="HA80" s="2">
        <v>0</v>
      </c>
      <c r="HB80" s="2">
        <v>0</v>
      </c>
      <c r="HC80" s="2">
        <f t="shared" si="90"/>
        <v>0</v>
      </c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203</v>
      </c>
      <c r="E81" t="s">
        <v>157</v>
      </c>
      <c r="F81" t="s">
        <v>158</v>
      </c>
      <c r="G81" t="s">
        <v>159</v>
      </c>
      <c r="H81" t="s">
        <v>65</v>
      </c>
      <c r="I81">
        <f>I77*J81</f>
        <v>1.2454E-2</v>
      </c>
      <c r="J81">
        <v>1.3000000000000001E-2</v>
      </c>
      <c r="O81">
        <f t="shared" si="56"/>
        <v>859.86</v>
      </c>
      <c r="P81">
        <f t="shared" si="57"/>
        <v>859.86</v>
      </c>
      <c r="Q81">
        <f t="shared" si="58"/>
        <v>0</v>
      </c>
      <c r="R81">
        <f t="shared" si="59"/>
        <v>0</v>
      </c>
      <c r="S81">
        <f t="shared" si="60"/>
        <v>0</v>
      </c>
      <c r="T81">
        <f t="shared" si="61"/>
        <v>0</v>
      </c>
      <c r="U81">
        <f t="shared" si="62"/>
        <v>0</v>
      </c>
      <c r="V81">
        <f t="shared" si="63"/>
        <v>0</v>
      </c>
      <c r="W81">
        <f t="shared" si="64"/>
        <v>0</v>
      </c>
      <c r="X81">
        <f t="shared" si="65"/>
        <v>0</v>
      </c>
      <c r="Y81">
        <f t="shared" si="66"/>
        <v>0</v>
      </c>
      <c r="AA81">
        <v>16784196</v>
      </c>
      <c r="AB81">
        <f t="shared" si="67"/>
        <v>11300</v>
      </c>
      <c r="AC81">
        <f t="shared" si="99"/>
        <v>11300</v>
      </c>
      <c r="AD81">
        <f t="shared" si="96"/>
        <v>0</v>
      </c>
      <c r="AE81">
        <f t="shared" si="97"/>
        <v>0</v>
      </c>
      <c r="AF81">
        <f t="shared" si="97"/>
        <v>0</v>
      </c>
      <c r="AG81">
        <f t="shared" si="69"/>
        <v>0</v>
      </c>
      <c r="AH81">
        <f t="shared" si="98"/>
        <v>0</v>
      </c>
      <c r="AI81">
        <f t="shared" si="98"/>
        <v>0</v>
      </c>
      <c r="AJ81">
        <f t="shared" si="70"/>
        <v>0</v>
      </c>
      <c r="AK81">
        <v>11300</v>
      </c>
      <c r="AL81">
        <v>11300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95</v>
      </c>
      <c r="AU81">
        <v>47</v>
      </c>
      <c r="AV81">
        <v>1</v>
      </c>
      <c r="AW81">
        <v>1</v>
      </c>
      <c r="AZ81">
        <v>6.11</v>
      </c>
      <c r="BA81">
        <v>1</v>
      </c>
      <c r="BB81">
        <v>1</v>
      </c>
      <c r="BC81">
        <v>6.11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160</v>
      </c>
      <c r="BM81">
        <v>15001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105</v>
      </c>
      <c r="CA81">
        <v>55</v>
      </c>
      <c r="CE81">
        <v>0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71"/>
        <v>859.86</v>
      </c>
      <c r="CQ81">
        <f t="shared" si="72"/>
        <v>69043</v>
      </c>
      <c r="CR81">
        <f t="shared" si="73"/>
        <v>0</v>
      </c>
      <c r="CS81">
        <f t="shared" si="74"/>
        <v>0</v>
      </c>
      <c r="CT81">
        <f t="shared" si="75"/>
        <v>0</v>
      </c>
      <c r="CU81">
        <f t="shared" si="76"/>
        <v>0</v>
      </c>
      <c r="CV81">
        <f t="shared" si="77"/>
        <v>0</v>
      </c>
      <c r="CW81">
        <f t="shared" si="78"/>
        <v>0</v>
      </c>
      <c r="CX81">
        <f t="shared" si="79"/>
        <v>0</v>
      </c>
      <c r="CY81">
        <f t="shared" si="80"/>
        <v>0</v>
      </c>
      <c r="CZ81">
        <f t="shared" si="81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1009</v>
      </c>
      <c r="DV81" t="s">
        <v>65</v>
      </c>
      <c r="DW81" t="s">
        <v>65</v>
      </c>
      <c r="DX81">
        <v>1000</v>
      </c>
      <c r="EE81">
        <v>16510513</v>
      </c>
      <c r="EF81">
        <v>2</v>
      </c>
      <c r="EG81" t="s">
        <v>18</v>
      </c>
      <c r="EH81">
        <v>0</v>
      </c>
      <c r="EI81" t="s">
        <v>6</v>
      </c>
      <c r="EJ81">
        <v>1</v>
      </c>
      <c r="EK81">
        <v>15001</v>
      </c>
      <c r="EL81" t="s">
        <v>51</v>
      </c>
      <c r="EM81" t="s">
        <v>52</v>
      </c>
      <c r="EO81" t="s">
        <v>6</v>
      </c>
      <c r="EQ81">
        <v>0</v>
      </c>
      <c r="ER81">
        <v>11300</v>
      </c>
      <c r="ES81">
        <v>11300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82"/>
        <v>0</v>
      </c>
      <c r="FS81">
        <v>0</v>
      </c>
      <c r="FT81" t="s">
        <v>21</v>
      </c>
      <c r="FU81" t="s">
        <v>22</v>
      </c>
      <c r="FX81">
        <v>94.5</v>
      </c>
      <c r="FY81">
        <v>46.75</v>
      </c>
      <c r="GA81" t="s">
        <v>6</v>
      </c>
      <c r="GD81">
        <v>0</v>
      </c>
      <c r="GF81">
        <v>-1036077714</v>
      </c>
      <c r="GG81">
        <v>1</v>
      </c>
      <c r="GH81">
        <v>1</v>
      </c>
      <c r="GI81">
        <v>4</v>
      </c>
      <c r="GJ81">
        <v>0</v>
      </c>
      <c r="GK81">
        <f>ROUND(R81*(S12)/100,2)</f>
        <v>0</v>
      </c>
      <c r="GL81">
        <f t="shared" si="83"/>
        <v>0</v>
      </c>
      <c r="GM81">
        <f t="shared" si="84"/>
        <v>859.86</v>
      </c>
      <c r="GN81">
        <f t="shared" si="85"/>
        <v>859.86</v>
      </c>
      <c r="GO81">
        <f t="shared" si="86"/>
        <v>0</v>
      </c>
      <c r="GP81">
        <f t="shared" si="87"/>
        <v>0</v>
      </c>
      <c r="GR81">
        <v>0</v>
      </c>
      <c r="GS81">
        <v>3</v>
      </c>
      <c r="GT81">
        <v>0</v>
      </c>
      <c r="GU81" t="s">
        <v>6</v>
      </c>
      <c r="GV81">
        <f t="shared" si="88"/>
        <v>0</v>
      </c>
      <c r="GW81">
        <v>1</v>
      </c>
      <c r="GX81">
        <f t="shared" si="89"/>
        <v>0</v>
      </c>
      <c r="HA81">
        <v>0</v>
      </c>
      <c r="HB81">
        <v>0</v>
      </c>
      <c r="HC81">
        <f t="shared" si="90"/>
        <v>0</v>
      </c>
      <c r="IK81">
        <v>0</v>
      </c>
    </row>
    <row r="82" spans="1:255" x14ac:dyDescent="0.2">
      <c r="A82" s="2">
        <v>17</v>
      </c>
      <c r="B82" s="2">
        <v>1</v>
      </c>
      <c r="C82" s="2">
        <f>ROW(SmtRes!A209)</f>
        <v>209</v>
      </c>
      <c r="D82" s="2">
        <f>ROW(EtalonRes!A215)</f>
        <v>215</v>
      </c>
      <c r="E82" s="2" t="s">
        <v>161</v>
      </c>
      <c r="F82" s="2" t="s">
        <v>162</v>
      </c>
      <c r="G82" s="2" t="s">
        <v>163</v>
      </c>
      <c r="H82" s="2" t="s">
        <v>16</v>
      </c>
      <c r="I82" s="2">
        <f>ROUND(47.5/100,9)</f>
        <v>0.47499999999999998</v>
      </c>
      <c r="J82" s="2">
        <v>0</v>
      </c>
      <c r="K82" s="2"/>
      <c r="L82" s="2"/>
      <c r="M82" s="2"/>
      <c r="N82" s="2"/>
      <c r="O82" s="2">
        <f t="shared" si="56"/>
        <v>310.64999999999998</v>
      </c>
      <c r="P82" s="2">
        <f t="shared" si="57"/>
        <v>0</v>
      </c>
      <c r="Q82" s="2">
        <f t="shared" si="58"/>
        <v>32.9</v>
      </c>
      <c r="R82" s="2">
        <f t="shared" si="59"/>
        <v>2.25</v>
      </c>
      <c r="S82" s="2">
        <f t="shared" si="60"/>
        <v>277.75</v>
      </c>
      <c r="T82" s="2">
        <f t="shared" si="61"/>
        <v>0</v>
      </c>
      <c r="U82" s="2">
        <f t="shared" si="62"/>
        <v>35.292499999999997</v>
      </c>
      <c r="V82" s="2">
        <f t="shared" si="63"/>
        <v>0.16624999999999998</v>
      </c>
      <c r="W82" s="2">
        <f t="shared" si="64"/>
        <v>0</v>
      </c>
      <c r="X82" s="2">
        <f t="shared" si="65"/>
        <v>215.6</v>
      </c>
      <c r="Y82" s="2">
        <f t="shared" si="66"/>
        <v>140</v>
      </c>
      <c r="Z82" s="2"/>
      <c r="AA82" s="2">
        <v>16784195</v>
      </c>
      <c r="AB82" s="2">
        <f t="shared" si="67"/>
        <v>654</v>
      </c>
      <c r="AC82" s="2">
        <f t="shared" si="99"/>
        <v>0</v>
      </c>
      <c r="AD82" s="2">
        <f t="shared" si="96"/>
        <v>69.260000000000005</v>
      </c>
      <c r="AE82" s="2">
        <f t="shared" si="97"/>
        <v>4.7300000000000004</v>
      </c>
      <c r="AF82" s="2">
        <f t="shared" si="97"/>
        <v>584.74</v>
      </c>
      <c r="AG82" s="2">
        <f t="shared" si="69"/>
        <v>0</v>
      </c>
      <c r="AH82" s="2">
        <f t="shared" si="98"/>
        <v>74.3</v>
      </c>
      <c r="AI82" s="2">
        <f t="shared" si="98"/>
        <v>0.35</v>
      </c>
      <c r="AJ82" s="2">
        <f t="shared" si="70"/>
        <v>0</v>
      </c>
      <c r="AK82" s="2">
        <v>654</v>
      </c>
      <c r="AL82" s="2">
        <v>0</v>
      </c>
      <c r="AM82" s="2">
        <v>69.260000000000005</v>
      </c>
      <c r="AN82" s="2">
        <v>4.7300000000000004</v>
      </c>
      <c r="AO82" s="2">
        <v>584.74</v>
      </c>
      <c r="AP82" s="2">
        <v>0</v>
      </c>
      <c r="AQ82" s="2">
        <v>74.3</v>
      </c>
      <c r="AR82" s="2">
        <v>0.35</v>
      </c>
      <c r="AS82" s="2">
        <v>0</v>
      </c>
      <c r="AT82" s="2">
        <v>77</v>
      </c>
      <c r="AU82" s="2">
        <v>50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0</v>
      </c>
      <c r="BI82" s="2">
        <v>1</v>
      </c>
      <c r="BJ82" s="2" t="s">
        <v>164</v>
      </c>
      <c r="BK82" s="2"/>
      <c r="BL82" s="2"/>
      <c r="BM82" s="2">
        <v>63001</v>
      </c>
      <c r="BN82" s="2">
        <v>0</v>
      </c>
      <c r="BO82" s="2" t="s">
        <v>6</v>
      </c>
      <c r="BP82" s="2">
        <v>0</v>
      </c>
      <c r="BQ82" s="2">
        <v>6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77</v>
      </c>
      <c r="CA82" s="2">
        <v>50</v>
      </c>
      <c r="CB82" s="2"/>
      <c r="CC82" s="2"/>
      <c r="CD82" s="2"/>
      <c r="CE82" s="2">
        <v>0</v>
      </c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71"/>
        <v>310.64999999999998</v>
      </c>
      <c r="CQ82" s="2">
        <f t="shared" si="72"/>
        <v>0</v>
      </c>
      <c r="CR82" s="2">
        <f t="shared" si="73"/>
        <v>69.260000000000005</v>
      </c>
      <c r="CS82" s="2">
        <f t="shared" si="74"/>
        <v>4.7300000000000004</v>
      </c>
      <c r="CT82" s="2">
        <f t="shared" si="75"/>
        <v>584.74</v>
      </c>
      <c r="CU82" s="2">
        <f t="shared" si="76"/>
        <v>0</v>
      </c>
      <c r="CV82" s="2">
        <f t="shared" si="77"/>
        <v>74.3</v>
      </c>
      <c r="CW82" s="2">
        <f t="shared" si="78"/>
        <v>0.35</v>
      </c>
      <c r="CX82" s="2">
        <f t="shared" si="79"/>
        <v>0</v>
      </c>
      <c r="CY82" s="2">
        <f t="shared" si="80"/>
        <v>215.6</v>
      </c>
      <c r="CZ82" s="2">
        <f t="shared" si="81"/>
        <v>140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1005</v>
      </c>
      <c r="DV82" s="2" t="s">
        <v>16</v>
      </c>
      <c r="DW82" s="2" t="s">
        <v>16</v>
      </c>
      <c r="DX82" s="2">
        <v>100</v>
      </c>
      <c r="DY82" s="2"/>
      <c r="DZ82" s="2"/>
      <c r="EA82" s="2"/>
      <c r="EB82" s="2"/>
      <c r="EC82" s="2"/>
      <c r="ED82" s="2"/>
      <c r="EE82" s="2">
        <v>16510572</v>
      </c>
      <c r="EF82" s="2">
        <v>6</v>
      </c>
      <c r="EG82" s="2" t="s">
        <v>90</v>
      </c>
      <c r="EH82" s="2">
        <v>0</v>
      </c>
      <c r="EI82" s="2" t="s">
        <v>6</v>
      </c>
      <c r="EJ82" s="2">
        <v>1</v>
      </c>
      <c r="EK82" s="2">
        <v>63001</v>
      </c>
      <c r="EL82" s="2" t="s">
        <v>165</v>
      </c>
      <c r="EM82" s="2" t="s">
        <v>166</v>
      </c>
      <c r="EN82" s="2"/>
      <c r="EO82" s="2" t="s">
        <v>6</v>
      </c>
      <c r="EP82" s="2"/>
      <c r="EQ82" s="2">
        <v>131072</v>
      </c>
      <c r="ER82" s="2">
        <v>654</v>
      </c>
      <c r="ES82" s="2">
        <v>0</v>
      </c>
      <c r="ET82" s="2">
        <v>69.260000000000005</v>
      </c>
      <c r="EU82" s="2">
        <v>4.7300000000000004</v>
      </c>
      <c r="EV82" s="2">
        <v>584.74</v>
      </c>
      <c r="EW82" s="2">
        <v>74.3</v>
      </c>
      <c r="EX82" s="2">
        <v>0.35</v>
      </c>
      <c r="EY82" s="2">
        <v>0</v>
      </c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82"/>
        <v>0</v>
      </c>
      <c r="FS82" s="2">
        <v>0</v>
      </c>
      <c r="FT82" s="2"/>
      <c r="FU82" s="2"/>
      <c r="FV82" s="2"/>
      <c r="FW82" s="2"/>
      <c r="FX82" s="2">
        <v>77</v>
      </c>
      <c r="FY82" s="2">
        <v>50</v>
      </c>
      <c r="FZ82" s="2"/>
      <c r="GA82" s="2" t="s">
        <v>6</v>
      </c>
      <c r="GB82" s="2"/>
      <c r="GC82" s="2"/>
      <c r="GD82" s="2">
        <v>0</v>
      </c>
      <c r="GE82" s="2"/>
      <c r="GF82" s="2">
        <v>1410032296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83"/>
        <v>0</v>
      </c>
      <c r="GM82" s="2">
        <f t="shared" si="84"/>
        <v>666.25</v>
      </c>
      <c r="GN82" s="2">
        <f t="shared" si="85"/>
        <v>666.25</v>
      </c>
      <c r="GO82" s="2">
        <f t="shared" si="86"/>
        <v>0</v>
      </c>
      <c r="GP82" s="2">
        <f t="shared" si="87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88"/>
        <v>0</v>
      </c>
      <c r="GW82" s="2">
        <v>1</v>
      </c>
      <c r="GX82" s="2">
        <f t="shared" si="89"/>
        <v>0</v>
      </c>
      <c r="GY82" s="2"/>
      <c r="GZ82" s="2"/>
      <c r="HA82" s="2">
        <v>0</v>
      </c>
      <c r="HB82" s="2">
        <v>0</v>
      </c>
      <c r="HC82" s="2">
        <f t="shared" si="90"/>
        <v>0</v>
      </c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17</v>
      </c>
      <c r="B83">
        <v>1</v>
      </c>
      <c r="C83">
        <f>ROW(SmtRes!A214)</f>
        <v>214</v>
      </c>
      <c r="D83">
        <f>ROW(EtalonRes!A220)</f>
        <v>220</v>
      </c>
      <c r="E83" t="s">
        <v>161</v>
      </c>
      <c r="F83" t="s">
        <v>162</v>
      </c>
      <c r="G83" t="s">
        <v>163</v>
      </c>
      <c r="H83" t="s">
        <v>16</v>
      </c>
      <c r="I83">
        <f>ROUND(47.5/100,9)</f>
        <v>0.47499999999999998</v>
      </c>
      <c r="J83">
        <v>0</v>
      </c>
      <c r="O83">
        <f t="shared" si="56"/>
        <v>1898.07</v>
      </c>
      <c r="P83">
        <f t="shared" si="57"/>
        <v>0</v>
      </c>
      <c r="Q83">
        <f t="shared" si="58"/>
        <v>201.01</v>
      </c>
      <c r="R83">
        <f t="shared" si="59"/>
        <v>13.73</v>
      </c>
      <c r="S83">
        <f t="shared" si="60"/>
        <v>1697.06</v>
      </c>
      <c r="T83">
        <f t="shared" si="61"/>
        <v>0</v>
      </c>
      <c r="U83">
        <f t="shared" si="62"/>
        <v>35.292499999999997</v>
      </c>
      <c r="V83">
        <f t="shared" si="63"/>
        <v>0.16624999999999998</v>
      </c>
      <c r="W83">
        <f t="shared" si="64"/>
        <v>0</v>
      </c>
      <c r="X83">
        <f t="shared" si="65"/>
        <v>1317.31</v>
      </c>
      <c r="Y83">
        <f t="shared" si="66"/>
        <v>855.4</v>
      </c>
      <c r="AA83">
        <v>16784196</v>
      </c>
      <c r="AB83">
        <f t="shared" si="67"/>
        <v>654</v>
      </c>
      <c r="AC83">
        <f t="shared" si="99"/>
        <v>0</v>
      </c>
      <c r="AD83">
        <f t="shared" si="96"/>
        <v>69.260000000000005</v>
      </c>
      <c r="AE83">
        <f t="shared" si="97"/>
        <v>4.7300000000000004</v>
      </c>
      <c r="AF83">
        <f t="shared" si="97"/>
        <v>584.74</v>
      </c>
      <c r="AG83">
        <f t="shared" si="69"/>
        <v>0</v>
      </c>
      <c r="AH83">
        <f t="shared" si="98"/>
        <v>74.3</v>
      </c>
      <c r="AI83">
        <f t="shared" si="98"/>
        <v>0.35</v>
      </c>
      <c r="AJ83">
        <f t="shared" si="70"/>
        <v>0</v>
      </c>
      <c r="AK83">
        <v>654</v>
      </c>
      <c r="AL83">
        <v>0</v>
      </c>
      <c r="AM83">
        <v>69.260000000000005</v>
      </c>
      <c r="AN83">
        <v>4.7300000000000004</v>
      </c>
      <c r="AO83">
        <v>584.74</v>
      </c>
      <c r="AP83">
        <v>0</v>
      </c>
      <c r="AQ83">
        <v>74.3</v>
      </c>
      <c r="AR83">
        <v>0.35</v>
      </c>
      <c r="AS83">
        <v>0</v>
      </c>
      <c r="AT83">
        <v>77</v>
      </c>
      <c r="AU83">
        <v>50</v>
      </c>
      <c r="AV83">
        <v>1</v>
      </c>
      <c r="AW83">
        <v>1</v>
      </c>
      <c r="AZ83">
        <v>6.11</v>
      </c>
      <c r="BA83">
        <v>6.11</v>
      </c>
      <c r="BB83">
        <v>6.11</v>
      </c>
      <c r="BC83">
        <v>6.11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164</v>
      </c>
      <c r="BM83">
        <v>63001</v>
      </c>
      <c r="BN83">
        <v>0</v>
      </c>
      <c r="BO83" t="s">
        <v>6</v>
      </c>
      <c r="BP83">
        <v>0</v>
      </c>
      <c r="BQ83">
        <v>6</v>
      </c>
      <c r="BR83">
        <v>0</v>
      </c>
      <c r="BS83">
        <v>6.11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77</v>
      </c>
      <c r="CA83">
        <v>50</v>
      </c>
      <c r="CE83">
        <v>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71"/>
        <v>1898.07</v>
      </c>
      <c r="CQ83">
        <f t="shared" si="72"/>
        <v>0</v>
      </c>
      <c r="CR83">
        <f t="shared" si="73"/>
        <v>423.17860000000007</v>
      </c>
      <c r="CS83">
        <f t="shared" si="74"/>
        <v>28.900300000000005</v>
      </c>
      <c r="CT83">
        <f t="shared" si="75"/>
        <v>3572.7614000000003</v>
      </c>
      <c r="CU83">
        <f t="shared" si="76"/>
        <v>0</v>
      </c>
      <c r="CV83">
        <f t="shared" si="77"/>
        <v>74.3</v>
      </c>
      <c r="CW83">
        <f t="shared" si="78"/>
        <v>0.35</v>
      </c>
      <c r="CX83">
        <f t="shared" si="79"/>
        <v>0</v>
      </c>
      <c r="CY83">
        <f t="shared" si="80"/>
        <v>1317.3082999999999</v>
      </c>
      <c r="CZ83">
        <f t="shared" si="81"/>
        <v>855.39499999999998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16</v>
      </c>
      <c r="DW83" t="s">
        <v>16</v>
      </c>
      <c r="DX83">
        <v>100</v>
      </c>
      <c r="EE83">
        <v>16510572</v>
      </c>
      <c r="EF83">
        <v>6</v>
      </c>
      <c r="EG83" t="s">
        <v>90</v>
      </c>
      <c r="EH83">
        <v>0</v>
      </c>
      <c r="EI83" t="s">
        <v>6</v>
      </c>
      <c r="EJ83">
        <v>1</v>
      </c>
      <c r="EK83">
        <v>63001</v>
      </c>
      <c r="EL83" t="s">
        <v>165</v>
      </c>
      <c r="EM83" t="s">
        <v>166</v>
      </c>
      <c r="EO83" t="s">
        <v>6</v>
      </c>
      <c r="EQ83">
        <v>131072</v>
      </c>
      <c r="ER83">
        <v>654</v>
      </c>
      <c r="ES83">
        <v>0</v>
      </c>
      <c r="ET83">
        <v>69.260000000000005</v>
      </c>
      <c r="EU83">
        <v>4.7300000000000004</v>
      </c>
      <c r="EV83">
        <v>584.74</v>
      </c>
      <c r="EW83">
        <v>74.3</v>
      </c>
      <c r="EX83">
        <v>0.35</v>
      </c>
      <c r="EY83">
        <v>0</v>
      </c>
      <c r="FQ83">
        <v>0</v>
      </c>
      <c r="FR83">
        <f t="shared" si="82"/>
        <v>0</v>
      </c>
      <c r="FS83">
        <v>0</v>
      </c>
      <c r="FX83">
        <v>77</v>
      </c>
      <c r="FY83">
        <v>50</v>
      </c>
      <c r="GA83" t="s">
        <v>6</v>
      </c>
      <c r="GD83">
        <v>0</v>
      </c>
      <c r="GF83">
        <v>1410032296</v>
      </c>
      <c r="GG83">
        <v>1</v>
      </c>
      <c r="GH83">
        <v>1</v>
      </c>
      <c r="GI83">
        <v>4</v>
      </c>
      <c r="GJ83">
        <v>0</v>
      </c>
      <c r="GK83">
        <f>ROUND(R83*(S12)/100,2)</f>
        <v>0</v>
      </c>
      <c r="GL83">
        <f t="shared" si="83"/>
        <v>0</v>
      </c>
      <c r="GM83">
        <f t="shared" si="84"/>
        <v>4070.78</v>
      </c>
      <c r="GN83">
        <f t="shared" si="85"/>
        <v>4070.78</v>
      </c>
      <c r="GO83">
        <f t="shared" si="86"/>
        <v>0</v>
      </c>
      <c r="GP83">
        <f t="shared" si="87"/>
        <v>0</v>
      </c>
      <c r="GR83">
        <v>0</v>
      </c>
      <c r="GS83">
        <v>3</v>
      </c>
      <c r="GT83">
        <v>0</v>
      </c>
      <c r="GU83" t="s">
        <v>6</v>
      </c>
      <c r="GV83">
        <f t="shared" si="88"/>
        <v>0</v>
      </c>
      <c r="GW83">
        <v>1</v>
      </c>
      <c r="GX83">
        <f t="shared" si="89"/>
        <v>0</v>
      </c>
      <c r="HA83">
        <v>0</v>
      </c>
      <c r="HB83">
        <v>0</v>
      </c>
      <c r="HC83">
        <f t="shared" si="90"/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ROW(SmtRes!A224)</f>
        <v>224</v>
      </c>
      <c r="D84" s="2">
        <f>ROW(EtalonRes!A230)</f>
        <v>230</v>
      </c>
      <c r="E84" s="2" t="s">
        <v>167</v>
      </c>
      <c r="F84" s="2" t="s">
        <v>168</v>
      </c>
      <c r="G84" s="2" t="s">
        <v>169</v>
      </c>
      <c r="H84" s="2" t="s">
        <v>16</v>
      </c>
      <c r="I84" s="2">
        <f>ROUND(47.5/100,9)</f>
        <v>0.47499999999999998</v>
      </c>
      <c r="J84" s="2">
        <v>0</v>
      </c>
      <c r="K84" s="2"/>
      <c r="L84" s="2"/>
      <c r="M84" s="2"/>
      <c r="N84" s="2"/>
      <c r="O84" s="2">
        <f t="shared" si="56"/>
        <v>821.04</v>
      </c>
      <c r="P84" s="2">
        <f t="shared" si="57"/>
        <v>1.51</v>
      </c>
      <c r="Q84" s="2">
        <f t="shared" si="58"/>
        <v>18.850000000000001</v>
      </c>
      <c r="R84" s="2">
        <f t="shared" si="59"/>
        <v>10.41</v>
      </c>
      <c r="S84" s="2">
        <f t="shared" si="60"/>
        <v>800.68</v>
      </c>
      <c r="T84" s="2">
        <f t="shared" si="61"/>
        <v>0</v>
      </c>
      <c r="U84" s="2">
        <f t="shared" si="62"/>
        <v>87.219737499999979</v>
      </c>
      <c r="V84" s="2">
        <f t="shared" si="63"/>
        <v>0.97968749999999993</v>
      </c>
      <c r="W84" s="2">
        <f t="shared" si="64"/>
        <v>0</v>
      </c>
      <c r="X84" s="2">
        <f t="shared" si="65"/>
        <v>770.54</v>
      </c>
      <c r="Y84" s="2">
        <f t="shared" si="66"/>
        <v>381.21</v>
      </c>
      <c r="Z84" s="2"/>
      <c r="AA84" s="2">
        <v>16784195</v>
      </c>
      <c r="AB84" s="2">
        <f t="shared" si="67"/>
        <v>1728.51</v>
      </c>
      <c r="AC84" s="2">
        <f t="shared" si="99"/>
        <v>3.18</v>
      </c>
      <c r="AD84" s="2">
        <f>ROUND(((((ET84*1.25))-((EU84*1.25)))+AE84),2)</f>
        <v>39.69</v>
      </c>
      <c r="AE84" s="2">
        <f>ROUND(((EU84*1.25)),2)</f>
        <v>21.91</v>
      </c>
      <c r="AF84" s="2">
        <f>ROUND(((EV84*1.15)),2)</f>
        <v>1685.64</v>
      </c>
      <c r="AG84" s="2">
        <f t="shared" si="69"/>
        <v>0</v>
      </c>
      <c r="AH84" s="2">
        <f>((EW84*1.15))</f>
        <v>183.62049999999996</v>
      </c>
      <c r="AI84" s="2">
        <f>((EX84*1.25))</f>
        <v>2.0625</v>
      </c>
      <c r="AJ84" s="2">
        <f t="shared" si="70"/>
        <v>0</v>
      </c>
      <c r="AK84" s="2">
        <v>1500.7</v>
      </c>
      <c r="AL84" s="2">
        <v>3.18</v>
      </c>
      <c r="AM84" s="2">
        <v>31.75</v>
      </c>
      <c r="AN84" s="2">
        <v>17.53</v>
      </c>
      <c r="AO84" s="2">
        <v>1465.77</v>
      </c>
      <c r="AP84" s="2">
        <v>0</v>
      </c>
      <c r="AQ84" s="2">
        <v>159.66999999999999</v>
      </c>
      <c r="AR84" s="2">
        <v>1.65</v>
      </c>
      <c r="AS84" s="2">
        <v>0</v>
      </c>
      <c r="AT84" s="2">
        <v>95</v>
      </c>
      <c r="AU84" s="2">
        <v>47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0</v>
      </c>
      <c r="BI84" s="2">
        <v>1</v>
      </c>
      <c r="BJ84" s="2" t="s">
        <v>170</v>
      </c>
      <c r="BK84" s="2"/>
      <c r="BL84" s="2"/>
      <c r="BM84" s="2">
        <v>15001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105</v>
      </c>
      <c r="CA84" s="2">
        <v>55</v>
      </c>
      <c r="CB84" s="2"/>
      <c r="CC84" s="2"/>
      <c r="CD84" s="2"/>
      <c r="CE84" s="2">
        <v>0</v>
      </c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824</v>
      </c>
      <c r="CO84" s="2">
        <v>0</v>
      </c>
      <c r="CP84" s="2">
        <f t="shared" si="71"/>
        <v>821.04</v>
      </c>
      <c r="CQ84" s="2">
        <f t="shared" si="72"/>
        <v>3.18</v>
      </c>
      <c r="CR84" s="2">
        <f t="shared" si="73"/>
        <v>39.69</v>
      </c>
      <c r="CS84" s="2">
        <f t="shared" si="74"/>
        <v>21.91</v>
      </c>
      <c r="CT84" s="2">
        <f t="shared" si="75"/>
        <v>1685.64</v>
      </c>
      <c r="CU84" s="2">
        <f t="shared" si="76"/>
        <v>0</v>
      </c>
      <c r="CV84" s="2">
        <f t="shared" si="77"/>
        <v>183.62049999999996</v>
      </c>
      <c r="CW84" s="2">
        <f t="shared" si="78"/>
        <v>2.0625</v>
      </c>
      <c r="CX84" s="2">
        <f t="shared" si="79"/>
        <v>0</v>
      </c>
      <c r="CY84" s="2">
        <f t="shared" si="80"/>
        <v>770.53549999999984</v>
      </c>
      <c r="CZ84" s="2">
        <f t="shared" si="81"/>
        <v>381.21229999999997</v>
      </c>
      <c r="DA84" s="2"/>
      <c r="DB84" s="2"/>
      <c r="DC84" s="2" t="s">
        <v>6</v>
      </c>
      <c r="DD84" s="2" t="s">
        <v>6</v>
      </c>
      <c r="DE84" s="2" t="s">
        <v>27</v>
      </c>
      <c r="DF84" s="2" t="s">
        <v>27</v>
      </c>
      <c r="DG84" s="2" t="s">
        <v>28</v>
      </c>
      <c r="DH84" s="2" t="s">
        <v>6</v>
      </c>
      <c r="DI84" s="2" t="s">
        <v>28</v>
      </c>
      <c r="DJ84" s="2" t="s">
        <v>27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1005</v>
      </c>
      <c r="DV84" s="2" t="s">
        <v>16</v>
      </c>
      <c r="DW84" s="2" t="s">
        <v>16</v>
      </c>
      <c r="DX84" s="2">
        <v>100</v>
      </c>
      <c r="DY84" s="2"/>
      <c r="DZ84" s="2"/>
      <c r="EA84" s="2"/>
      <c r="EB84" s="2"/>
      <c r="EC84" s="2"/>
      <c r="ED84" s="2"/>
      <c r="EE84" s="2">
        <v>16510513</v>
      </c>
      <c r="EF84" s="2">
        <v>2</v>
      </c>
      <c r="EG84" s="2" t="s">
        <v>18</v>
      </c>
      <c r="EH84" s="2">
        <v>0</v>
      </c>
      <c r="EI84" s="2" t="s">
        <v>6</v>
      </c>
      <c r="EJ84" s="2">
        <v>1</v>
      </c>
      <c r="EK84" s="2">
        <v>15001</v>
      </c>
      <c r="EL84" s="2" t="s">
        <v>51</v>
      </c>
      <c r="EM84" s="2" t="s">
        <v>52</v>
      </c>
      <c r="EN84" s="2"/>
      <c r="EO84" s="2" t="s">
        <v>31</v>
      </c>
      <c r="EP84" s="2"/>
      <c r="EQ84" s="2">
        <v>131072</v>
      </c>
      <c r="ER84" s="2">
        <v>1500.7</v>
      </c>
      <c r="ES84" s="2">
        <v>3.18</v>
      </c>
      <c r="ET84" s="2">
        <v>31.75</v>
      </c>
      <c r="EU84" s="2">
        <v>17.53</v>
      </c>
      <c r="EV84" s="2">
        <v>1465.77</v>
      </c>
      <c r="EW84" s="2">
        <v>159.66999999999999</v>
      </c>
      <c r="EX84" s="2">
        <v>1.65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82"/>
        <v>0</v>
      </c>
      <c r="FS84" s="2">
        <v>0</v>
      </c>
      <c r="FT84" s="2" t="s">
        <v>21</v>
      </c>
      <c r="FU84" s="2" t="s">
        <v>22</v>
      </c>
      <c r="FV84" s="2"/>
      <c r="FW84" s="2"/>
      <c r="FX84" s="2">
        <v>94.5</v>
      </c>
      <c r="FY84" s="2">
        <v>46.75</v>
      </c>
      <c r="FZ84" s="2"/>
      <c r="GA84" s="2" t="s">
        <v>6</v>
      </c>
      <c r="GB84" s="2"/>
      <c r="GC84" s="2"/>
      <c r="GD84" s="2">
        <v>0</v>
      </c>
      <c r="GE84" s="2"/>
      <c r="GF84" s="2">
        <v>2062515713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83"/>
        <v>0</v>
      </c>
      <c r="GM84" s="2">
        <f t="shared" si="84"/>
        <v>1972.79</v>
      </c>
      <c r="GN84" s="2">
        <f t="shared" si="85"/>
        <v>1972.79</v>
      </c>
      <c r="GO84" s="2">
        <f t="shared" si="86"/>
        <v>0</v>
      </c>
      <c r="GP84" s="2">
        <f t="shared" si="87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88"/>
        <v>0</v>
      </c>
      <c r="GW84" s="2">
        <v>1</v>
      </c>
      <c r="GX84" s="2">
        <f t="shared" si="89"/>
        <v>0</v>
      </c>
      <c r="GY84" s="2"/>
      <c r="GZ84" s="2"/>
      <c r="HA84" s="2">
        <v>0</v>
      </c>
      <c r="HB84" s="2">
        <v>0</v>
      </c>
      <c r="HC84" s="2">
        <f t="shared" si="90"/>
        <v>0</v>
      </c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ROW(SmtRes!A234)</f>
        <v>234</v>
      </c>
      <c r="D85">
        <f>ROW(EtalonRes!A240)</f>
        <v>240</v>
      </c>
      <c r="E85" t="s">
        <v>167</v>
      </c>
      <c r="F85" t="s">
        <v>168</v>
      </c>
      <c r="G85" t="s">
        <v>169</v>
      </c>
      <c r="H85" t="s">
        <v>16</v>
      </c>
      <c r="I85">
        <f>ROUND(47.5/100,9)</f>
        <v>0.47499999999999998</v>
      </c>
      <c r="J85">
        <v>0</v>
      </c>
      <c r="O85">
        <f t="shared" si="56"/>
        <v>5016.57</v>
      </c>
      <c r="P85">
        <f t="shared" si="57"/>
        <v>9.23</v>
      </c>
      <c r="Q85">
        <f t="shared" si="58"/>
        <v>115.19</v>
      </c>
      <c r="R85">
        <f t="shared" si="59"/>
        <v>63.59</v>
      </c>
      <c r="S85">
        <f t="shared" si="60"/>
        <v>4892.1499999999996</v>
      </c>
      <c r="T85">
        <f t="shared" si="61"/>
        <v>0</v>
      </c>
      <c r="U85">
        <f t="shared" si="62"/>
        <v>87.219737499999979</v>
      </c>
      <c r="V85">
        <f t="shared" si="63"/>
        <v>0.97968749999999993</v>
      </c>
      <c r="W85">
        <f t="shared" si="64"/>
        <v>0</v>
      </c>
      <c r="X85">
        <f t="shared" si="65"/>
        <v>4707.95</v>
      </c>
      <c r="Y85">
        <f t="shared" si="66"/>
        <v>2329.1999999999998</v>
      </c>
      <c r="AA85">
        <v>16784196</v>
      </c>
      <c r="AB85">
        <f t="shared" si="67"/>
        <v>1728.51</v>
      </c>
      <c r="AC85">
        <f t="shared" si="99"/>
        <v>3.18</v>
      </c>
      <c r="AD85">
        <f>ROUND(((((ET85*1.25))-((EU85*1.25)))+AE85),2)</f>
        <v>39.69</v>
      </c>
      <c r="AE85">
        <f>ROUND(((EU85*1.25)),2)</f>
        <v>21.91</v>
      </c>
      <c r="AF85">
        <f>ROUND(((EV85*1.15)),2)</f>
        <v>1685.64</v>
      </c>
      <c r="AG85">
        <f t="shared" si="69"/>
        <v>0</v>
      </c>
      <c r="AH85">
        <f>((EW85*1.15))</f>
        <v>183.62049999999996</v>
      </c>
      <c r="AI85">
        <f>((EX85*1.25))</f>
        <v>2.0625</v>
      </c>
      <c r="AJ85">
        <f t="shared" si="70"/>
        <v>0</v>
      </c>
      <c r="AK85">
        <v>1500.7</v>
      </c>
      <c r="AL85">
        <v>3.18</v>
      </c>
      <c r="AM85">
        <v>31.75</v>
      </c>
      <c r="AN85">
        <v>17.53</v>
      </c>
      <c r="AO85">
        <v>1465.77</v>
      </c>
      <c r="AP85">
        <v>0</v>
      </c>
      <c r="AQ85">
        <v>159.66999999999999</v>
      </c>
      <c r="AR85">
        <v>1.65</v>
      </c>
      <c r="AS85">
        <v>0</v>
      </c>
      <c r="AT85">
        <v>95</v>
      </c>
      <c r="AU85">
        <v>47</v>
      </c>
      <c r="AV85">
        <v>1</v>
      </c>
      <c r="AW85">
        <v>1</v>
      </c>
      <c r="AZ85">
        <v>6.11</v>
      </c>
      <c r="BA85">
        <v>6.11</v>
      </c>
      <c r="BB85">
        <v>6.11</v>
      </c>
      <c r="BC85">
        <v>6.11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170</v>
      </c>
      <c r="BM85">
        <v>15001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6.11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105</v>
      </c>
      <c r="CA85">
        <v>55</v>
      </c>
      <c r="CE85">
        <v>0</v>
      </c>
      <c r="CF85">
        <v>0</v>
      </c>
      <c r="CG85">
        <v>0</v>
      </c>
      <c r="CM85">
        <v>0</v>
      </c>
      <c r="CN85" t="s">
        <v>824</v>
      </c>
      <c r="CO85">
        <v>0</v>
      </c>
      <c r="CP85">
        <f t="shared" si="71"/>
        <v>5016.57</v>
      </c>
      <c r="CQ85">
        <f t="shared" si="72"/>
        <v>19.429800000000004</v>
      </c>
      <c r="CR85">
        <f t="shared" si="73"/>
        <v>242.5059</v>
      </c>
      <c r="CS85">
        <f t="shared" si="74"/>
        <v>133.87010000000001</v>
      </c>
      <c r="CT85">
        <f t="shared" si="75"/>
        <v>10299.260400000001</v>
      </c>
      <c r="CU85">
        <f t="shared" si="76"/>
        <v>0</v>
      </c>
      <c r="CV85">
        <f t="shared" si="77"/>
        <v>183.62049999999996</v>
      </c>
      <c r="CW85">
        <f t="shared" si="78"/>
        <v>2.0625</v>
      </c>
      <c r="CX85">
        <f t="shared" si="79"/>
        <v>0</v>
      </c>
      <c r="CY85">
        <f t="shared" si="80"/>
        <v>4707.9529999999995</v>
      </c>
      <c r="CZ85">
        <f t="shared" si="81"/>
        <v>2329.1977999999999</v>
      </c>
      <c r="DC85" t="s">
        <v>6</v>
      </c>
      <c r="DD85" t="s">
        <v>6</v>
      </c>
      <c r="DE85" t="s">
        <v>27</v>
      </c>
      <c r="DF85" t="s">
        <v>27</v>
      </c>
      <c r="DG85" t="s">
        <v>28</v>
      </c>
      <c r="DH85" t="s">
        <v>6</v>
      </c>
      <c r="DI85" t="s">
        <v>28</v>
      </c>
      <c r="DJ85" t="s">
        <v>27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16</v>
      </c>
      <c r="DW85" t="s">
        <v>16</v>
      </c>
      <c r="DX85">
        <v>100</v>
      </c>
      <c r="EE85">
        <v>16510513</v>
      </c>
      <c r="EF85">
        <v>2</v>
      </c>
      <c r="EG85" t="s">
        <v>18</v>
      </c>
      <c r="EH85">
        <v>0</v>
      </c>
      <c r="EI85" t="s">
        <v>6</v>
      </c>
      <c r="EJ85">
        <v>1</v>
      </c>
      <c r="EK85">
        <v>15001</v>
      </c>
      <c r="EL85" t="s">
        <v>51</v>
      </c>
      <c r="EM85" t="s">
        <v>52</v>
      </c>
      <c r="EO85" t="s">
        <v>31</v>
      </c>
      <c r="EQ85">
        <v>131072</v>
      </c>
      <c r="ER85">
        <v>1500.7</v>
      </c>
      <c r="ES85">
        <v>3.18</v>
      </c>
      <c r="ET85">
        <v>31.75</v>
      </c>
      <c r="EU85">
        <v>17.53</v>
      </c>
      <c r="EV85">
        <v>1465.77</v>
      </c>
      <c r="EW85">
        <v>159.66999999999999</v>
      </c>
      <c r="EX85">
        <v>1.65</v>
      </c>
      <c r="EY85">
        <v>0</v>
      </c>
      <c r="FQ85">
        <v>0</v>
      </c>
      <c r="FR85">
        <f t="shared" si="82"/>
        <v>0</v>
      </c>
      <c r="FS85">
        <v>0</v>
      </c>
      <c r="FT85" t="s">
        <v>21</v>
      </c>
      <c r="FU85" t="s">
        <v>22</v>
      </c>
      <c r="FX85">
        <v>94.5</v>
      </c>
      <c r="FY85">
        <v>46.75</v>
      </c>
      <c r="GA85" t="s">
        <v>6</v>
      </c>
      <c r="GD85">
        <v>0</v>
      </c>
      <c r="GF85">
        <v>2062515713</v>
      </c>
      <c r="GG85">
        <v>1</v>
      </c>
      <c r="GH85">
        <v>1</v>
      </c>
      <c r="GI85">
        <v>4</v>
      </c>
      <c r="GJ85">
        <v>0</v>
      </c>
      <c r="GK85">
        <f>ROUND(R85*(S12)/100,2)</f>
        <v>0</v>
      </c>
      <c r="GL85">
        <f t="shared" si="83"/>
        <v>0</v>
      </c>
      <c r="GM85">
        <f t="shared" si="84"/>
        <v>12053.72</v>
      </c>
      <c r="GN85">
        <f t="shared" si="85"/>
        <v>12053.72</v>
      </c>
      <c r="GO85">
        <f t="shared" si="86"/>
        <v>0</v>
      </c>
      <c r="GP85">
        <f t="shared" si="87"/>
        <v>0</v>
      </c>
      <c r="GR85">
        <v>0</v>
      </c>
      <c r="GS85">
        <v>3</v>
      </c>
      <c r="GT85">
        <v>0</v>
      </c>
      <c r="GU85" t="s">
        <v>6</v>
      </c>
      <c r="GV85">
        <f t="shared" si="88"/>
        <v>0</v>
      </c>
      <c r="GW85">
        <v>1</v>
      </c>
      <c r="GX85">
        <f t="shared" si="89"/>
        <v>0</v>
      </c>
      <c r="HA85">
        <v>0</v>
      </c>
      <c r="HB85">
        <v>0</v>
      </c>
      <c r="HC85">
        <f t="shared" si="90"/>
        <v>0</v>
      </c>
      <c r="IK85">
        <v>0</v>
      </c>
    </row>
    <row r="86" spans="1:255" x14ac:dyDescent="0.2">
      <c r="A86" s="2">
        <v>18</v>
      </c>
      <c r="B86" s="2">
        <v>1</v>
      </c>
      <c r="C86" s="2">
        <v>222</v>
      </c>
      <c r="D86" s="2"/>
      <c r="E86" s="2" t="s">
        <v>171</v>
      </c>
      <c r="F86" s="2" t="s">
        <v>172</v>
      </c>
      <c r="G86" s="2" t="s">
        <v>173</v>
      </c>
      <c r="H86" s="2" t="s">
        <v>65</v>
      </c>
      <c r="I86" s="2">
        <f>I84*J86</f>
        <v>2.375E-2</v>
      </c>
      <c r="J86" s="2">
        <v>0.05</v>
      </c>
      <c r="K86" s="2"/>
      <c r="L86" s="2"/>
      <c r="M86" s="2"/>
      <c r="N86" s="2"/>
      <c r="O86" s="2">
        <f t="shared" si="56"/>
        <v>213.75</v>
      </c>
      <c r="P86" s="2">
        <f t="shared" si="57"/>
        <v>213.75</v>
      </c>
      <c r="Q86" s="2">
        <f t="shared" si="58"/>
        <v>0</v>
      </c>
      <c r="R86" s="2">
        <f t="shared" si="59"/>
        <v>0</v>
      </c>
      <c r="S86" s="2">
        <f t="shared" si="60"/>
        <v>0</v>
      </c>
      <c r="T86" s="2">
        <f t="shared" si="61"/>
        <v>0</v>
      </c>
      <c r="U86" s="2">
        <f t="shared" si="62"/>
        <v>0</v>
      </c>
      <c r="V86" s="2">
        <f t="shared" si="63"/>
        <v>0</v>
      </c>
      <c r="W86" s="2">
        <f t="shared" si="64"/>
        <v>0</v>
      </c>
      <c r="X86" s="2">
        <f t="shared" si="65"/>
        <v>0</v>
      </c>
      <c r="Y86" s="2">
        <f t="shared" si="66"/>
        <v>0</v>
      </c>
      <c r="Z86" s="2"/>
      <c r="AA86" s="2">
        <v>16784195</v>
      </c>
      <c r="AB86" s="2">
        <f t="shared" si="67"/>
        <v>9000</v>
      </c>
      <c r="AC86" s="2">
        <f t="shared" si="99"/>
        <v>9000</v>
      </c>
      <c r="AD86" s="2">
        <f t="shared" ref="AD86:AD101" si="100">ROUND((((ET86)-(EU86))+AE86),2)</f>
        <v>0</v>
      </c>
      <c r="AE86" s="2">
        <f t="shared" ref="AE86:AE101" si="101">ROUND((EU86),2)</f>
        <v>0</v>
      </c>
      <c r="AF86" s="2">
        <f t="shared" ref="AF86:AF101" si="102">ROUND((EV86),2)</f>
        <v>0</v>
      </c>
      <c r="AG86" s="2">
        <f t="shared" si="69"/>
        <v>0</v>
      </c>
      <c r="AH86" s="2">
        <f t="shared" ref="AH86:AH101" si="103">(EW86)</f>
        <v>0</v>
      </c>
      <c r="AI86" s="2">
        <f t="shared" ref="AI86:AI101" si="104">(EX86)</f>
        <v>0</v>
      </c>
      <c r="AJ86" s="2">
        <f t="shared" si="70"/>
        <v>0</v>
      </c>
      <c r="AK86" s="2">
        <v>9000</v>
      </c>
      <c r="AL86" s="2">
        <v>9000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95</v>
      </c>
      <c r="AU86" s="2">
        <v>47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3</v>
      </c>
      <c r="BI86" s="2">
        <v>1</v>
      </c>
      <c r="BJ86" s="2" t="s">
        <v>174</v>
      </c>
      <c r="BK86" s="2"/>
      <c r="BL86" s="2"/>
      <c r="BM86" s="2">
        <v>15001</v>
      </c>
      <c r="BN86" s="2">
        <v>0</v>
      </c>
      <c r="BO86" s="2" t="s">
        <v>6</v>
      </c>
      <c r="BP86" s="2">
        <v>0</v>
      </c>
      <c r="BQ86" s="2">
        <v>2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105</v>
      </c>
      <c r="CA86" s="2">
        <v>55</v>
      </c>
      <c r="CB86" s="2"/>
      <c r="CC86" s="2"/>
      <c r="CD86" s="2"/>
      <c r="CE86" s="2">
        <v>0</v>
      </c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6</v>
      </c>
      <c r="CO86" s="2">
        <v>0</v>
      </c>
      <c r="CP86" s="2">
        <f t="shared" si="71"/>
        <v>213.75</v>
      </c>
      <c r="CQ86" s="2">
        <f t="shared" si="72"/>
        <v>9000</v>
      </c>
      <c r="CR86" s="2">
        <f t="shared" si="73"/>
        <v>0</v>
      </c>
      <c r="CS86" s="2">
        <f t="shared" si="74"/>
        <v>0</v>
      </c>
      <c r="CT86" s="2">
        <f t="shared" si="75"/>
        <v>0</v>
      </c>
      <c r="CU86" s="2">
        <f t="shared" si="76"/>
        <v>0</v>
      </c>
      <c r="CV86" s="2">
        <f t="shared" si="77"/>
        <v>0</v>
      </c>
      <c r="CW86" s="2">
        <f t="shared" si="78"/>
        <v>0</v>
      </c>
      <c r="CX86" s="2">
        <f t="shared" si="79"/>
        <v>0</v>
      </c>
      <c r="CY86" s="2">
        <f t="shared" si="80"/>
        <v>0</v>
      </c>
      <c r="CZ86" s="2">
        <f t="shared" si="81"/>
        <v>0</v>
      </c>
      <c r="DA86" s="2"/>
      <c r="DB86" s="2"/>
      <c r="DC86" s="2" t="s">
        <v>6</v>
      </c>
      <c r="DD86" s="2" t="s">
        <v>6</v>
      </c>
      <c r="DE86" s="2" t="s">
        <v>6</v>
      </c>
      <c r="DF86" s="2" t="s">
        <v>6</v>
      </c>
      <c r="DG86" s="2" t="s">
        <v>6</v>
      </c>
      <c r="DH86" s="2" t="s">
        <v>6</v>
      </c>
      <c r="DI86" s="2" t="s">
        <v>6</v>
      </c>
      <c r="DJ86" s="2" t="s">
        <v>6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1009</v>
      </c>
      <c r="DV86" s="2" t="s">
        <v>65</v>
      </c>
      <c r="DW86" s="2" t="s">
        <v>65</v>
      </c>
      <c r="DX86" s="2">
        <v>1000</v>
      </c>
      <c r="DY86" s="2"/>
      <c r="DZ86" s="2"/>
      <c r="EA86" s="2"/>
      <c r="EB86" s="2"/>
      <c r="EC86" s="2"/>
      <c r="ED86" s="2"/>
      <c r="EE86" s="2">
        <v>16510513</v>
      </c>
      <c r="EF86" s="2">
        <v>2</v>
      </c>
      <c r="EG86" s="2" t="s">
        <v>18</v>
      </c>
      <c r="EH86" s="2">
        <v>0</v>
      </c>
      <c r="EI86" s="2" t="s">
        <v>6</v>
      </c>
      <c r="EJ86" s="2">
        <v>1</v>
      </c>
      <c r="EK86" s="2">
        <v>15001</v>
      </c>
      <c r="EL86" s="2" t="s">
        <v>51</v>
      </c>
      <c r="EM86" s="2" t="s">
        <v>52</v>
      </c>
      <c r="EN86" s="2"/>
      <c r="EO86" s="2" t="s">
        <v>6</v>
      </c>
      <c r="EP86" s="2"/>
      <c r="EQ86" s="2">
        <v>0</v>
      </c>
      <c r="ER86" s="2">
        <v>9000</v>
      </c>
      <c r="ES86" s="2">
        <v>9000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82"/>
        <v>0</v>
      </c>
      <c r="FS86" s="2">
        <v>0</v>
      </c>
      <c r="FT86" s="2" t="s">
        <v>21</v>
      </c>
      <c r="FU86" s="2" t="s">
        <v>22</v>
      </c>
      <c r="FV86" s="2"/>
      <c r="FW86" s="2"/>
      <c r="FX86" s="2">
        <v>94.5</v>
      </c>
      <c r="FY86" s="2">
        <v>46.75</v>
      </c>
      <c r="FZ86" s="2"/>
      <c r="GA86" s="2" t="s">
        <v>6</v>
      </c>
      <c r="GB86" s="2"/>
      <c r="GC86" s="2"/>
      <c r="GD86" s="2">
        <v>0</v>
      </c>
      <c r="GE86" s="2"/>
      <c r="GF86" s="2">
        <v>-195795605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83"/>
        <v>0</v>
      </c>
      <c r="GM86" s="2">
        <f t="shared" si="84"/>
        <v>213.75</v>
      </c>
      <c r="GN86" s="2">
        <f t="shared" si="85"/>
        <v>213.75</v>
      </c>
      <c r="GO86" s="2">
        <f t="shared" si="86"/>
        <v>0</v>
      </c>
      <c r="GP86" s="2">
        <f t="shared" si="87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88"/>
        <v>0</v>
      </c>
      <c r="GW86" s="2">
        <v>1</v>
      </c>
      <c r="GX86" s="2">
        <f t="shared" si="89"/>
        <v>0</v>
      </c>
      <c r="GY86" s="2"/>
      <c r="GZ86" s="2"/>
      <c r="HA86" s="2">
        <v>0</v>
      </c>
      <c r="HB86" s="2">
        <v>0</v>
      </c>
      <c r="HC86" s="2">
        <f t="shared" si="90"/>
        <v>0</v>
      </c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18</v>
      </c>
      <c r="B87">
        <v>1</v>
      </c>
      <c r="C87">
        <v>232</v>
      </c>
      <c r="E87" t="s">
        <v>171</v>
      </c>
      <c r="F87" t="s">
        <v>172</v>
      </c>
      <c r="G87" t="s">
        <v>173</v>
      </c>
      <c r="H87" t="s">
        <v>65</v>
      </c>
      <c r="I87">
        <f>I85*J87</f>
        <v>2.375E-2</v>
      </c>
      <c r="J87">
        <v>0.05</v>
      </c>
      <c r="O87">
        <f t="shared" si="56"/>
        <v>1306.01</v>
      </c>
      <c r="P87">
        <f t="shared" si="57"/>
        <v>1306.01</v>
      </c>
      <c r="Q87">
        <f t="shared" si="58"/>
        <v>0</v>
      </c>
      <c r="R87">
        <f t="shared" si="59"/>
        <v>0</v>
      </c>
      <c r="S87">
        <f t="shared" si="60"/>
        <v>0</v>
      </c>
      <c r="T87">
        <f t="shared" si="61"/>
        <v>0</v>
      </c>
      <c r="U87">
        <f t="shared" si="62"/>
        <v>0</v>
      </c>
      <c r="V87">
        <f t="shared" si="63"/>
        <v>0</v>
      </c>
      <c r="W87">
        <f t="shared" si="64"/>
        <v>0</v>
      </c>
      <c r="X87">
        <f t="shared" si="65"/>
        <v>0</v>
      </c>
      <c r="Y87">
        <f t="shared" si="66"/>
        <v>0</v>
      </c>
      <c r="AA87">
        <v>16784196</v>
      </c>
      <c r="AB87">
        <f t="shared" si="67"/>
        <v>9000</v>
      </c>
      <c r="AC87">
        <f t="shared" si="99"/>
        <v>9000</v>
      </c>
      <c r="AD87">
        <f t="shared" si="100"/>
        <v>0</v>
      </c>
      <c r="AE87">
        <f t="shared" si="101"/>
        <v>0</v>
      </c>
      <c r="AF87">
        <f t="shared" si="102"/>
        <v>0</v>
      </c>
      <c r="AG87">
        <f t="shared" si="69"/>
        <v>0</v>
      </c>
      <c r="AH87">
        <f t="shared" si="103"/>
        <v>0</v>
      </c>
      <c r="AI87">
        <f t="shared" si="104"/>
        <v>0</v>
      </c>
      <c r="AJ87">
        <f t="shared" si="70"/>
        <v>0</v>
      </c>
      <c r="AK87">
        <v>9000</v>
      </c>
      <c r="AL87">
        <v>9000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95</v>
      </c>
      <c r="AU87">
        <v>47</v>
      </c>
      <c r="AV87">
        <v>1</v>
      </c>
      <c r="AW87">
        <v>1</v>
      </c>
      <c r="AZ87">
        <v>6.11</v>
      </c>
      <c r="BA87">
        <v>1</v>
      </c>
      <c r="BB87">
        <v>1</v>
      </c>
      <c r="BC87">
        <v>6.11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174</v>
      </c>
      <c r="BM87">
        <v>15001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105</v>
      </c>
      <c r="CA87">
        <v>55</v>
      </c>
      <c r="CE87">
        <v>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71"/>
        <v>1306.01</v>
      </c>
      <c r="CQ87">
        <f t="shared" si="72"/>
        <v>54990</v>
      </c>
      <c r="CR87">
        <f t="shared" si="73"/>
        <v>0</v>
      </c>
      <c r="CS87">
        <f t="shared" si="74"/>
        <v>0</v>
      </c>
      <c r="CT87">
        <f t="shared" si="75"/>
        <v>0</v>
      </c>
      <c r="CU87">
        <f t="shared" si="76"/>
        <v>0</v>
      </c>
      <c r="CV87">
        <f t="shared" si="77"/>
        <v>0</v>
      </c>
      <c r="CW87">
        <f t="shared" si="78"/>
        <v>0</v>
      </c>
      <c r="CX87">
        <f t="shared" si="79"/>
        <v>0</v>
      </c>
      <c r="CY87">
        <f t="shared" si="80"/>
        <v>0</v>
      </c>
      <c r="CZ87">
        <f t="shared" si="81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65</v>
      </c>
      <c r="DW87" t="s">
        <v>65</v>
      </c>
      <c r="DX87">
        <v>1000</v>
      </c>
      <c r="EE87">
        <v>16510513</v>
      </c>
      <c r="EF87">
        <v>2</v>
      </c>
      <c r="EG87" t="s">
        <v>18</v>
      </c>
      <c r="EH87">
        <v>0</v>
      </c>
      <c r="EI87" t="s">
        <v>6</v>
      </c>
      <c r="EJ87">
        <v>1</v>
      </c>
      <c r="EK87">
        <v>15001</v>
      </c>
      <c r="EL87" t="s">
        <v>51</v>
      </c>
      <c r="EM87" t="s">
        <v>52</v>
      </c>
      <c r="EO87" t="s">
        <v>6</v>
      </c>
      <c r="EQ87">
        <v>0</v>
      </c>
      <c r="ER87">
        <v>9000</v>
      </c>
      <c r="ES87">
        <v>9000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82"/>
        <v>0</v>
      </c>
      <c r="FS87">
        <v>0</v>
      </c>
      <c r="FT87" t="s">
        <v>21</v>
      </c>
      <c r="FU87" t="s">
        <v>22</v>
      </c>
      <c r="FX87">
        <v>94.5</v>
      </c>
      <c r="FY87">
        <v>46.75</v>
      </c>
      <c r="GA87" t="s">
        <v>6</v>
      </c>
      <c r="GD87">
        <v>0</v>
      </c>
      <c r="GF87">
        <v>-195795605</v>
      </c>
      <c r="GG87">
        <v>1</v>
      </c>
      <c r="GH87">
        <v>1</v>
      </c>
      <c r="GI87">
        <v>4</v>
      </c>
      <c r="GJ87">
        <v>0</v>
      </c>
      <c r="GK87">
        <f>ROUND(R87*(S12)/100,2)</f>
        <v>0</v>
      </c>
      <c r="GL87">
        <f t="shared" si="83"/>
        <v>0</v>
      </c>
      <c r="GM87">
        <f t="shared" si="84"/>
        <v>1306.01</v>
      </c>
      <c r="GN87">
        <f t="shared" si="85"/>
        <v>1306.01</v>
      </c>
      <c r="GO87">
        <f t="shared" si="86"/>
        <v>0</v>
      </c>
      <c r="GP87">
        <f t="shared" si="87"/>
        <v>0</v>
      </c>
      <c r="GR87">
        <v>0</v>
      </c>
      <c r="GS87">
        <v>3</v>
      </c>
      <c r="GT87">
        <v>0</v>
      </c>
      <c r="GU87" t="s">
        <v>6</v>
      </c>
      <c r="GV87">
        <f t="shared" si="88"/>
        <v>0</v>
      </c>
      <c r="GW87">
        <v>1</v>
      </c>
      <c r="GX87">
        <f t="shared" si="89"/>
        <v>0</v>
      </c>
      <c r="HA87">
        <v>0</v>
      </c>
      <c r="HB87">
        <v>0</v>
      </c>
      <c r="HC87">
        <f t="shared" si="90"/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223</v>
      </c>
      <c r="D88" s="2"/>
      <c r="E88" s="2" t="s">
        <v>175</v>
      </c>
      <c r="F88" s="2" t="s">
        <v>176</v>
      </c>
      <c r="G88" s="2" t="s">
        <v>177</v>
      </c>
      <c r="H88" s="2" t="s">
        <v>35</v>
      </c>
      <c r="I88" s="2">
        <f>I84*J88</f>
        <v>47.5</v>
      </c>
      <c r="J88" s="2">
        <v>100</v>
      </c>
      <c r="K88" s="2"/>
      <c r="L88" s="2"/>
      <c r="M88" s="2"/>
      <c r="N88" s="2"/>
      <c r="O88" s="2">
        <f t="shared" ref="O88:O121" si="105">ROUND(CP88,2)</f>
        <v>4071.23</v>
      </c>
      <c r="P88" s="2">
        <f t="shared" ref="P88:P121" si="106">ROUND(CQ88*I88,2)</f>
        <v>4071.23</v>
      </c>
      <c r="Q88" s="2">
        <f t="shared" ref="Q88:Q121" si="107">ROUND(CR88*I88,2)</f>
        <v>0</v>
      </c>
      <c r="R88" s="2">
        <f t="shared" ref="R88:R121" si="108">ROUND(CS88*I88,2)</f>
        <v>0</v>
      </c>
      <c r="S88" s="2">
        <f t="shared" ref="S88:S121" si="109">ROUND(CT88*I88,2)</f>
        <v>0</v>
      </c>
      <c r="T88" s="2">
        <f t="shared" ref="T88:T121" si="110">ROUND(CU88*I88,2)</f>
        <v>0</v>
      </c>
      <c r="U88" s="2">
        <f t="shared" ref="U88:U121" si="111">CV88*I88</f>
        <v>0</v>
      </c>
      <c r="V88" s="2">
        <f t="shared" ref="V88:V121" si="112">CW88*I88</f>
        <v>0</v>
      </c>
      <c r="W88" s="2">
        <f t="shared" ref="W88:W121" si="113">ROUND(CX88*I88,2)</f>
        <v>0</v>
      </c>
      <c r="X88" s="2">
        <f t="shared" ref="X88:X121" si="114">ROUND(CY88,2)</f>
        <v>0</v>
      </c>
      <c r="Y88" s="2">
        <f t="shared" ref="Y88:Y121" si="115">ROUND(CZ88,2)</f>
        <v>0</v>
      </c>
      <c r="Z88" s="2"/>
      <c r="AA88" s="2">
        <v>16784195</v>
      </c>
      <c r="AB88" s="2">
        <f t="shared" ref="AB88:AB119" si="116">ROUND((AC88+AD88+AF88),2)</f>
        <v>85.71</v>
      </c>
      <c r="AC88" s="2">
        <f t="shared" si="99"/>
        <v>85.71</v>
      </c>
      <c r="AD88" s="2">
        <f t="shared" si="100"/>
        <v>0</v>
      </c>
      <c r="AE88" s="2">
        <f t="shared" si="101"/>
        <v>0</v>
      </c>
      <c r="AF88" s="2">
        <f t="shared" si="102"/>
        <v>0</v>
      </c>
      <c r="AG88" s="2">
        <f t="shared" ref="AG88:AG121" si="117">ROUND((AP88),2)</f>
        <v>0</v>
      </c>
      <c r="AH88" s="2">
        <f t="shared" si="103"/>
        <v>0</v>
      </c>
      <c r="AI88" s="2">
        <f t="shared" si="104"/>
        <v>0</v>
      </c>
      <c r="AJ88" s="2">
        <f t="shared" ref="AJ88:AJ121" si="118">(AS88)</f>
        <v>0</v>
      </c>
      <c r="AK88" s="2">
        <v>85.71</v>
      </c>
      <c r="AL88" s="2">
        <v>85.71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95</v>
      </c>
      <c r="AU88" s="2">
        <v>47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3</v>
      </c>
      <c r="BI88" s="2">
        <v>1</v>
      </c>
      <c r="BJ88" s="2" t="s">
        <v>178</v>
      </c>
      <c r="BK88" s="2"/>
      <c r="BL88" s="2"/>
      <c r="BM88" s="2">
        <v>15001</v>
      </c>
      <c r="BN88" s="2">
        <v>0</v>
      </c>
      <c r="BO88" s="2" t="s">
        <v>6</v>
      </c>
      <c r="BP88" s="2">
        <v>0</v>
      </c>
      <c r="BQ88" s="2">
        <v>2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105</v>
      </c>
      <c r="CA88" s="2">
        <v>55</v>
      </c>
      <c r="CB88" s="2"/>
      <c r="CC88" s="2"/>
      <c r="CD88" s="2"/>
      <c r="CE88" s="2">
        <v>0</v>
      </c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ref="CP88:CP121" si="119">(P88+Q88+S88)</f>
        <v>4071.23</v>
      </c>
      <c r="CQ88" s="2">
        <f t="shared" ref="CQ88:CQ121" si="120">AC88*BC88</f>
        <v>85.71</v>
      </c>
      <c r="CR88" s="2">
        <f t="shared" ref="CR88:CR121" si="121">AD88*BB88</f>
        <v>0</v>
      </c>
      <c r="CS88" s="2">
        <f t="shared" ref="CS88:CS121" si="122">AE88*BS88</f>
        <v>0</v>
      </c>
      <c r="CT88" s="2">
        <f t="shared" ref="CT88:CT121" si="123">AF88*BA88</f>
        <v>0</v>
      </c>
      <c r="CU88" s="2">
        <f t="shared" ref="CU88:CU121" si="124">AG88</f>
        <v>0</v>
      </c>
      <c r="CV88" s="2">
        <f t="shared" ref="CV88:CV121" si="125">AH88</f>
        <v>0</v>
      </c>
      <c r="CW88" s="2">
        <f t="shared" ref="CW88:CW121" si="126">AI88</f>
        <v>0</v>
      </c>
      <c r="CX88" s="2">
        <f t="shared" ref="CX88:CX121" si="127">AJ88</f>
        <v>0</v>
      </c>
      <c r="CY88" s="2">
        <f t="shared" ref="CY88:CY121" si="128">(((S88+R88)*AT88)/100)</f>
        <v>0</v>
      </c>
      <c r="CZ88" s="2">
        <f t="shared" ref="CZ88:CZ121" si="129">(((S88+R88)*AU88)/100)</f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1005</v>
      </c>
      <c r="DV88" s="2" t="s">
        <v>35</v>
      </c>
      <c r="DW88" s="2" t="s">
        <v>35</v>
      </c>
      <c r="DX88" s="2">
        <v>1</v>
      </c>
      <c r="DY88" s="2"/>
      <c r="DZ88" s="2"/>
      <c r="EA88" s="2"/>
      <c r="EB88" s="2"/>
      <c r="EC88" s="2"/>
      <c r="ED88" s="2"/>
      <c r="EE88" s="2">
        <v>16510513</v>
      </c>
      <c r="EF88" s="2">
        <v>2</v>
      </c>
      <c r="EG88" s="2" t="s">
        <v>18</v>
      </c>
      <c r="EH88" s="2">
        <v>0</v>
      </c>
      <c r="EI88" s="2" t="s">
        <v>6</v>
      </c>
      <c r="EJ88" s="2">
        <v>1</v>
      </c>
      <c r="EK88" s="2">
        <v>15001</v>
      </c>
      <c r="EL88" s="2" t="s">
        <v>51</v>
      </c>
      <c r="EM88" s="2" t="s">
        <v>52</v>
      </c>
      <c r="EN88" s="2"/>
      <c r="EO88" s="2" t="s">
        <v>6</v>
      </c>
      <c r="EP88" s="2"/>
      <c r="EQ88" s="2">
        <v>0</v>
      </c>
      <c r="ER88" s="2">
        <v>85.71</v>
      </c>
      <c r="ES88" s="2">
        <v>85.71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ref="FR88:FR119" si="130">ROUND(IF(AND(BH88=3,BI88=3),P88,0),2)</f>
        <v>0</v>
      </c>
      <c r="FS88" s="2">
        <v>0</v>
      </c>
      <c r="FT88" s="2" t="s">
        <v>21</v>
      </c>
      <c r="FU88" s="2" t="s">
        <v>22</v>
      </c>
      <c r="FV88" s="2"/>
      <c r="FW88" s="2"/>
      <c r="FX88" s="2">
        <v>94.5</v>
      </c>
      <c r="FY88" s="2">
        <v>46.75</v>
      </c>
      <c r="FZ88" s="2"/>
      <c r="GA88" s="2" t="s">
        <v>6</v>
      </c>
      <c r="GB88" s="2"/>
      <c r="GC88" s="2"/>
      <c r="GD88" s="2">
        <v>0</v>
      </c>
      <c r="GE88" s="2"/>
      <c r="GF88" s="2">
        <v>797365537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ref="GL88:GL119" si="131">ROUND(IF(AND(BH88=3,BI88=3,FS88&lt;&gt;0),P88,0),2)</f>
        <v>0</v>
      </c>
      <c r="GM88" s="2">
        <f t="shared" ref="GM88:GM121" si="132">ROUND(O88+X88+Y88+GK88,2)+GX88</f>
        <v>4071.23</v>
      </c>
      <c r="GN88" s="2">
        <f t="shared" ref="GN88:GN121" si="133">IF(OR(BI88=0,BI88=1),ROUND(O88+X88+Y88+GK88,2),0)</f>
        <v>4071.23</v>
      </c>
      <c r="GO88" s="2">
        <f t="shared" ref="GO88:GO121" si="134">IF(BI88=2,ROUND(O88+X88+Y88+GK88,2),0)</f>
        <v>0</v>
      </c>
      <c r="GP88" s="2">
        <f t="shared" ref="GP88:GP121" si="135">IF(BI88=4,ROUND(O88+X88+Y88+GK88,2)+GX88,0)</f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ref="GV88:GV121" si="136">ROUND((GT88),2)</f>
        <v>0</v>
      </c>
      <c r="GW88" s="2">
        <v>1</v>
      </c>
      <c r="GX88" s="2">
        <f t="shared" ref="GX88:GX121" si="137">ROUND(HC88*I88,2)</f>
        <v>0</v>
      </c>
      <c r="GY88" s="2"/>
      <c r="GZ88" s="2"/>
      <c r="HA88" s="2">
        <v>0</v>
      </c>
      <c r="HB88" s="2">
        <v>0</v>
      </c>
      <c r="HC88" s="2">
        <f t="shared" ref="HC88:HC121" si="138">GV88*GW88</f>
        <v>0</v>
      </c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233</v>
      </c>
      <c r="E89" t="s">
        <v>175</v>
      </c>
      <c r="F89" t="s">
        <v>176</v>
      </c>
      <c r="G89" t="s">
        <v>177</v>
      </c>
      <c r="H89" t="s">
        <v>35</v>
      </c>
      <c r="I89">
        <f>I85*J89</f>
        <v>47.5</v>
      </c>
      <c r="J89">
        <v>100</v>
      </c>
      <c r="O89">
        <f t="shared" si="105"/>
        <v>24875.18</v>
      </c>
      <c r="P89">
        <f t="shared" si="106"/>
        <v>24875.18</v>
      </c>
      <c r="Q89">
        <f t="shared" si="107"/>
        <v>0</v>
      </c>
      <c r="R89">
        <f t="shared" si="108"/>
        <v>0</v>
      </c>
      <c r="S89">
        <f t="shared" si="109"/>
        <v>0</v>
      </c>
      <c r="T89">
        <f t="shared" si="110"/>
        <v>0</v>
      </c>
      <c r="U89">
        <f t="shared" si="111"/>
        <v>0</v>
      </c>
      <c r="V89">
        <f t="shared" si="112"/>
        <v>0</v>
      </c>
      <c r="W89">
        <f t="shared" si="113"/>
        <v>0</v>
      </c>
      <c r="X89">
        <f t="shared" si="114"/>
        <v>0</v>
      </c>
      <c r="Y89">
        <f t="shared" si="115"/>
        <v>0</v>
      </c>
      <c r="AA89">
        <v>16784196</v>
      </c>
      <c r="AB89">
        <f t="shared" si="116"/>
        <v>85.71</v>
      </c>
      <c r="AC89">
        <f t="shared" si="99"/>
        <v>85.71</v>
      </c>
      <c r="AD89">
        <f t="shared" si="100"/>
        <v>0</v>
      </c>
      <c r="AE89">
        <f t="shared" si="101"/>
        <v>0</v>
      </c>
      <c r="AF89">
        <f t="shared" si="102"/>
        <v>0</v>
      </c>
      <c r="AG89">
        <f t="shared" si="117"/>
        <v>0</v>
      </c>
      <c r="AH89">
        <f t="shared" si="103"/>
        <v>0</v>
      </c>
      <c r="AI89">
        <f t="shared" si="104"/>
        <v>0</v>
      </c>
      <c r="AJ89">
        <f t="shared" si="118"/>
        <v>0</v>
      </c>
      <c r="AK89">
        <v>85.71</v>
      </c>
      <c r="AL89">
        <v>85.71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95</v>
      </c>
      <c r="AU89">
        <v>47</v>
      </c>
      <c r="AV89">
        <v>1</v>
      </c>
      <c r="AW89">
        <v>1</v>
      </c>
      <c r="AZ89">
        <v>6.11</v>
      </c>
      <c r="BA89">
        <v>1</v>
      </c>
      <c r="BB89">
        <v>1</v>
      </c>
      <c r="BC89">
        <v>6.11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178</v>
      </c>
      <c r="BM89">
        <v>15001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105</v>
      </c>
      <c r="CA89">
        <v>55</v>
      </c>
      <c r="CE89">
        <v>0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119"/>
        <v>24875.18</v>
      </c>
      <c r="CQ89">
        <f t="shared" si="120"/>
        <v>523.68809999999996</v>
      </c>
      <c r="CR89">
        <f t="shared" si="121"/>
        <v>0</v>
      </c>
      <c r="CS89">
        <f t="shared" si="122"/>
        <v>0</v>
      </c>
      <c r="CT89">
        <f t="shared" si="123"/>
        <v>0</v>
      </c>
      <c r="CU89">
        <f t="shared" si="124"/>
        <v>0</v>
      </c>
      <c r="CV89">
        <f t="shared" si="125"/>
        <v>0</v>
      </c>
      <c r="CW89">
        <f t="shared" si="126"/>
        <v>0</v>
      </c>
      <c r="CX89">
        <f t="shared" si="127"/>
        <v>0</v>
      </c>
      <c r="CY89">
        <f t="shared" si="128"/>
        <v>0</v>
      </c>
      <c r="CZ89">
        <f t="shared" si="129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35</v>
      </c>
      <c r="DW89" t="s">
        <v>35</v>
      </c>
      <c r="DX89">
        <v>1</v>
      </c>
      <c r="EE89">
        <v>16510513</v>
      </c>
      <c r="EF89">
        <v>2</v>
      </c>
      <c r="EG89" t="s">
        <v>18</v>
      </c>
      <c r="EH89">
        <v>0</v>
      </c>
      <c r="EI89" t="s">
        <v>6</v>
      </c>
      <c r="EJ89">
        <v>1</v>
      </c>
      <c r="EK89">
        <v>15001</v>
      </c>
      <c r="EL89" t="s">
        <v>51</v>
      </c>
      <c r="EM89" t="s">
        <v>52</v>
      </c>
      <c r="EO89" t="s">
        <v>6</v>
      </c>
      <c r="EQ89">
        <v>0</v>
      </c>
      <c r="ER89">
        <v>85.71</v>
      </c>
      <c r="ES89">
        <v>85.71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130"/>
        <v>0</v>
      </c>
      <c r="FS89">
        <v>0</v>
      </c>
      <c r="FT89" t="s">
        <v>21</v>
      </c>
      <c r="FU89" t="s">
        <v>22</v>
      </c>
      <c r="FX89">
        <v>94.5</v>
      </c>
      <c r="FY89">
        <v>46.75</v>
      </c>
      <c r="GA89" t="s">
        <v>6</v>
      </c>
      <c r="GD89">
        <v>0</v>
      </c>
      <c r="GF89">
        <v>797365537</v>
      </c>
      <c r="GG89">
        <v>1</v>
      </c>
      <c r="GH89">
        <v>1</v>
      </c>
      <c r="GI89">
        <v>4</v>
      </c>
      <c r="GJ89">
        <v>0</v>
      </c>
      <c r="GK89">
        <f>ROUND(R89*(S12)/100,2)</f>
        <v>0</v>
      </c>
      <c r="GL89">
        <f t="shared" si="131"/>
        <v>0</v>
      </c>
      <c r="GM89">
        <f t="shared" si="132"/>
        <v>24875.18</v>
      </c>
      <c r="GN89">
        <f t="shared" si="133"/>
        <v>24875.18</v>
      </c>
      <c r="GO89">
        <f t="shared" si="134"/>
        <v>0</v>
      </c>
      <c r="GP89">
        <f t="shared" si="135"/>
        <v>0</v>
      </c>
      <c r="GR89">
        <v>0</v>
      </c>
      <c r="GS89">
        <v>3</v>
      </c>
      <c r="GT89">
        <v>0</v>
      </c>
      <c r="GU89" t="s">
        <v>6</v>
      </c>
      <c r="GV89">
        <f t="shared" si="136"/>
        <v>0</v>
      </c>
      <c r="GW89">
        <v>1</v>
      </c>
      <c r="GX89">
        <f t="shared" si="137"/>
        <v>0</v>
      </c>
      <c r="HA89">
        <v>0</v>
      </c>
      <c r="HB89">
        <v>0</v>
      </c>
      <c r="HC89">
        <f t="shared" si="138"/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224</v>
      </c>
      <c r="D90" s="2"/>
      <c r="E90" s="2" t="s">
        <v>179</v>
      </c>
      <c r="F90" s="2" t="s">
        <v>180</v>
      </c>
      <c r="G90" s="2" t="s">
        <v>181</v>
      </c>
      <c r="H90" s="2" t="s">
        <v>65</v>
      </c>
      <c r="I90" s="2">
        <f>I84*J90</f>
        <v>0.17812500000000001</v>
      </c>
      <c r="J90" s="2">
        <v>0.37500000000000006</v>
      </c>
      <c r="K90" s="2"/>
      <c r="L90" s="2"/>
      <c r="M90" s="2"/>
      <c r="N90" s="2"/>
      <c r="O90" s="2">
        <f t="shared" si="105"/>
        <v>520.02</v>
      </c>
      <c r="P90" s="2">
        <f t="shared" si="106"/>
        <v>520.02</v>
      </c>
      <c r="Q90" s="2">
        <f t="shared" si="107"/>
        <v>0</v>
      </c>
      <c r="R90" s="2">
        <f t="shared" si="108"/>
        <v>0</v>
      </c>
      <c r="S90" s="2">
        <f t="shared" si="109"/>
        <v>0</v>
      </c>
      <c r="T90" s="2">
        <f t="shared" si="110"/>
        <v>0</v>
      </c>
      <c r="U90" s="2">
        <f t="shared" si="111"/>
        <v>0</v>
      </c>
      <c r="V90" s="2">
        <f t="shared" si="112"/>
        <v>0</v>
      </c>
      <c r="W90" s="2">
        <f t="shared" si="113"/>
        <v>0</v>
      </c>
      <c r="X90" s="2">
        <f t="shared" si="114"/>
        <v>0</v>
      </c>
      <c r="Y90" s="2">
        <f t="shared" si="115"/>
        <v>0</v>
      </c>
      <c r="Z90" s="2"/>
      <c r="AA90" s="2">
        <v>16784195</v>
      </c>
      <c r="AB90" s="2">
        <f t="shared" si="116"/>
        <v>2919.43</v>
      </c>
      <c r="AC90" s="2">
        <f t="shared" si="99"/>
        <v>2919.43</v>
      </c>
      <c r="AD90" s="2">
        <f t="shared" si="100"/>
        <v>0</v>
      </c>
      <c r="AE90" s="2">
        <f t="shared" si="101"/>
        <v>0</v>
      </c>
      <c r="AF90" s="2">
        <f t="shared" si="102"/>
        <v>0</v>
      </c>
      <c r="AG90" s="2">
        <f t="shared" si="117"/>
        <v>0</v>
      </c>
      <c r="AH90" s="2">
        <f t="shared" si="103"/>
        <v>0</v>
      </c>
      <c r="AI90" s="2">
        <f t="shared" si="104"/>
        <v>0</v>
      </c>
      <c r="AJ90" s="2">
        <f t="shared" si="118"/>
        <v>0</v>
      </c>
      <c r="AK90" s="2">
        <v>2919.43</v>
      </c>
      <c r="AL90" s="2">
        <v>2919.43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95</v>
      </c>
      <c r="AU90" s="2">
        <v>47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3</v>
      </c>
      <c r="BI90" s="2">
        <v>1</v>
      </c>
      <c r="BJ90" s="2" t="s">
        <v>182</v>
      </c>
      <c r="BK90" s="2"/>
      <c r="BL90" s="2"/>
      <c r="BM90" s="2">
        <v>15001</v>
      </c>
      <c r="BN90" s="2">
        <v>0</v>
      </c>
      <c r="BO90" s="2" t="s">
        <v>6</v>
      </c>
      <c r="BP90" s="2">
        <v>0</v>
      </c>
      <c r="BQ90" s="2">
        <v>2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105</v>
      </c>
      <c r="CA90" s="2">
        <v>55</v>
      </c>
      <c r="CB90" s="2"/>
      <c r="CC90" s="2"/>
      <c r="CD90" s="2"/>
      <c r="CE90" s="2">
        <v>0</v>
      </c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6</v>
      </c>
      <c r="CO90" s="2">
        <v>0</v>
      </c>
      <c r="CP90" s="2">
        <f t="shared" si="119"/>
        <v>520.02</v>
      </c>
      <c r="CQ90" s="2">
        <f t="shared" si="120"/>
        <v>2919.43</v>
      </c>
      <c r="CR90" s="2">
        <f t="shared" si="121"/>
        <v>0</v>
      </c>
      <c r="CS90" s="2">
        <f t="shared" si="122"/>
        <v>0</v>
      </c>
      <c r="CT90" s="2">
        <f t="shared" si="123"/>
        <v>0</v>
      </c>
      <c r="CU90" s="2">
        <f t="shared" si="124"/>
        <v>0</v>
      </c>
      <c r="CV90" s="2">
        <f t="shared" si="125"/>
        <v>0</v>
      </c>
      <c r="CW90" s="2">
        <f t="shared" si="126"/>
        <v>0</v>
      </c>
      <c r="CX90" s="2">
        <f t="shared" si="127"/>
        <v>0</v>
      </c>
      <c r="CY90" s="2">
        <f t="shared" si="128"/>
        <v>0</v>
      </c>
      <c r="CZ90" s="2">
        <f t="shared" si="129"/>
        <v>0</v>
      </c>
      <c r="DA90" s="2"/>
      <c r="DB90" s="2"/>
      <c r="DC90" s="2" t="s">
        <v>6</v>
      </c>
      <c r="DD90" s="2" t="s">
        <v>6</v>
      </c>
      <c r="DE90" s="2" t="s">
        <v>6</v>
      </c>
      <c r="DF90" s="2" t="s">
        <v>6</v>
      </c>
      <c r="DG90" s="2" t="s">
        <v>6</v>
      </c>
      <c r="DH90" s="2" t="s">
        <v>6</v>
      </c>
      <c r="DI90" s="2" t="s">
        <v>6</v>
      </c>
      <c r="DJ90" s="2" t="s">
        <v>6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1009</v>
      </c>
      <c r="DV90" s="2" t="s">
        <v>65</v>
      </c>
      <c r="DW90" s="2" t="s">
        <v>65</v>
      </c>
      <c r="DX90" s="2">
        <v>1000</v>
      </c>
      <c r="DY90" s="2"/>
      <c r="DZ90" s="2"/>
      <c r="EA90" s="2"/>
      <c r="EB90" s="2"/>
      <c r="EC90" s="2"/>
      <c r="ED90" s="2"/>
      <c r="EE90" s="2">
        <v>16510513</v>
      </c>
      <c r="EF90" s="2">
        <v>2</v>
      </c>
      <c r="EG90" s="2" t="s">
        <v>18</v>
      </c>
      <c r="EH90" s="2">
        <v>0</v>
      </c>
      <c r="EI90" s="2" t="s">
        <v>6</v>
      </c>
      <c r="EJ90" s="2">
        <v>1</v>
      </c>
      <c r="EK90" s="2">
        <v>15001</v>
      </c>
      <c r="EL90" s="2" t="s">
        <v>51</v>
      </c>
      <c r="EM90" s="2" t="s">
        <v>52</v>
      </c>
      <c r="EN90" s="2"/>
      <c r="EO90" s="2" t="s">
        <v>6</v>
      </c>
      <c r="EP90" s="2"/>
      <c r="EQ90" s="2">
        <v>0</v>
      </c>
      <c r="ER90" s="2">
        <v>2919.43</v>
      </c>
      <c r="ES90" s="2">
        <v>2919.43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130"/>
        <v>0</v>
      </c>
      <c r="FS90" s="2">
        <v>0</v>
      </c>
      <c r="FT90" s="2" t="s">
        <v>21</v>
      </c>
      <c r="FU90" s="2" t="s">
        <v>22</v>
      </c>
      <c r="FV90" s="2"/>
      <c r="FW90" s="2"/>
      <c r="FX90" s="2">
        <v>94.5</v>
      </c>
      <c r="FY90" s="2">
        <v>46.75</v>
      </c>
      <c r="FZ90" s="2"/>
      <c r="GA90" s="2" t="s">
        <v>6</v>
      </c>
      <c r="GB90" s="2"/>
      <c r="GC90" s="2"/>
      <c r="GD90" s="2">
        <v>0</v>
      </c>
      <c r="GE90" s="2"/>
      <c r="GF90" s="2">
        <v>824424713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131"/>
        <v>0</v>
      </c>
      <c r="GM90" s="2">
        <f t="shared" si="132"/>
        <v>520.02</v>
      </c>
      <c r="GN90" s="2">
        <f t="shared" si="133"/>
        <v>520.02</v>
      </c>
      <c r="GO90" s="2">
        <f t="shared" si="134"/>
        <v>0</v>
      </c>
      <c r="GP90" s="2">
        <f t="shared" si="135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136"/>
        <v>0</v>
      </c>
      <c r="GW90" s="2">
        <v>1</v>
      </c>
      <c r="GX90" s="2">
        <f t="shared" si="137"/>
        <v>0</v>
      </c>
      <c r="GY90" s="2"/>
      <c r="GZ90" s="2"/>
      <c r="HA90" s="2">
        <v>0</v>
      </c>
      <c r="HB90" s="2">
        <v>0</v>
      </c>
      <c r="HC90" s="2">
        <f t="shared" si="138"/>
        <v>0</v>
      </c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234</v>
      </c>
      <c r="E91" t="s">
        <v>179</v>
      </c>
      <c r="F91" t="s">
        <v>180</v>
      </c>
      <c r="G91" t="s">
        <v>181</v>
      </c>
      <c r="H91" t="s">
        <v>65</v>
      </c>
      <c r="I91">
        <f>I85*J91</f>
        <v>0.17812500000000001</v>
      </c>
      <c r="J91">
        <v>0.37500000000000006</v>
      </c>
      <c r="O91">
        <f t="shared" si="105"/>
        <v>3177.34</v>
      </c>
      <c r="P91">
        <f t="shared" si="106"/>
        <v>3177.34</v>
      </c>
      <c r="Q91">
        <f t="shared" si="107"/>
        <v>0</v>
      </c>
      <c r="R91">
        <f t="shared" si="108"/>
        <v>0</v>
      </c>
      <c r="S91">
        <f t="shared" si="109"/>
        <v>0</v>
      </c>
      <c r="T91">
        <f t="shared" si="110"/>
        <v>0</v>
      </c>
      <c r="U91">
        <f t="shared" si="111"/>
        <v>0</v>
      </c>
      <c r="V91">
        <f t="shared" si="112"/>
        <v>0</v>
      </c>
      <c r="W91">
        <f t="shared" si="113"/>
        <v>0</v>
      </c>
      <c r="X91">
        <f t="shared" si="114"/>
        <v>0</v>
      </c>
      <c r="Y91">
        <f t="shared" si="115"/>
        <v>0</v>
      </c>
      <c r="AA91">
        <v>16784196</v>
      </c>
      <c r="AB91">
        <f t="shared" si="116"/>
        <v>2919.43</v>
      </c>
      <c r="AC91">
        <f t="shared" si="99"/>
        <v>2919.43</v>
      </c>
      <c r="AD91">
        <f t="shared" si="100"/>
        <v>0</v>
      </c>
      <c r="AE91">
        <f t="shared" si="101"/>
        <v>0</v>
      </c>
      <c r="AF91">
        <f t="shared" si="102"/>
        <v>0</v>
      </c>
      <c r="AG91">
        <f t="shared" si="117"/>
        <v>0</v>
      </c>
      <c r="AH91">
        <f t="shared" si="103"/>
        <v>0</v>
      </c>
      <c r="AI91">
        <f t="shared" si="104"/>
        <v>0</v>
      </c>
      <c r="AJ91">
        <f t="shared" si="118"/>
        <v>0</v>
      </c>
      <c r="AK91">
        <v>2919.43</v>
      </c>
      <c r="AL91">
        <v>2919.43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95</v>
      </c>
      <c r="AU91">
        <v>47</v>
      </c>
      <c r="AV91">
        <v>1</v>
      </c>
      <c r="AW91">
        <v>1</v>
      </c>
      <c r="AZ91">
        <v>6.11</v>
      </c>
      <c r="BA91">
        <v>1</v>
      </c>
      <c r="BB91">
        <v>1</v>
      </c>
      <c r="BC91">
        <v>6.11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1</v>
      </c>
      <c r="BJ91" t="s">
        <v>182</v>
      </c>
      <c r="BM91">
        <v>15001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105</v>
      </c>
      <c r="CA91">
        <v>55</v>
      </c>
      <c r="CE91">
        <v>0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119"/>
        <v>3177.34</v>
      </c>
      <c r="CQ91">
        <f t="shared" si="120"/>
        <v>17837.7173</v>
      </c>
      <c r="CR91">
        <f t="shared" si="121"/>
        <v>0</v>
      </c>
      <c r="CS91">
        <f t="shared" si="122"/>
        <v>0</v>
      </c>
      <c r="CT91">
        <f t="shared" si="123"/>
        <v>0</v>
      </c>
      <c r="CU91">
        <f t="shared" si="124"/>
        <v>0</v>
      </c>
      <c r="CV91">
        <f t="shared" si="125"/>
        <v>0</v>
      </c>
      <c r="CW91">
        <f t="shared" si="126"/>
        <v>0</v>
      </c>
      <c r="CX91">
        <f t="shared" si="127"/>
        <v>0</v>
      </c>
      <c r="CY91">
        <f t="shared" si="128"/>
        <v>0</v>
      </c>
      <c r="CZ91">
        <f t="shared" si="129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1009</v>
      </c>
      <c r="DV91" t="s">
        <v>65</v>
      </c>
      <c r="DW91" t="s">
        <v>65</v>
      </c>
      <c r="DX91">
        <v>1000</v>
      </c>
      <c r="EE91">
        <v>16510513</v>
      </c>
      <c r="EF91">
        <v>2</v>
      </c>
      <c r="EG91" t="s">
        <v>18</v>
      </c>
      <c r="EH91">
        <v>0</v>
      </c>
      <c r="EI91" t="s">
        <v>6</v>
      </c>
      <c r="EJ91">
        <v>1</v>
      </c>
      <c r="EK91">
        <v>15001</v>
      </c>
      <c r="EL91" t="s">
        <v>51</v>
      </c>
      <c r="EM91" t="s">
        <v>52</v>
      </c>
      <c r="EO91" t="s">
        <v>6</v>
      </c>
      <c r="EQ91">
        <v>0</v>
      </c>
      <c r="ER91">
        <v>2919.43</v>
      </c>
      <c r="ES91">
        <v>2919.43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130"/>
        <v>0</v>
      </c>
      <c r="FS91">
        <v>0</v>
      </c>
      <c r="FT91" t="s">
        <v>21</v>
      </c>
      <c r="FU91" t="s">
        <v>22</v>
      </c>
      <c r="FX91">
        <v>94.5</v>
      </c>
      <c r="FY91">
        <v>46.75</v>
      </c>
      <c r="GA91" t="s">
        <v>6</v>
      </c>
      <c r="GD91">
        <v>0</v>
      </c>
      <c r="GF91">
        <v>824424713</v>
      </c>
      <c r="GG91">
        <v>1</v>
      </c>
      <c r="GH91">
        <v>1</v>
      </c>
      <c r="GI91">
        <v>4</v>
      </c>
      <c r="GJ91">
        <v>0</v>
      </c>
      <c r="GK91">
        <f>ROUND(R91*(S12)/100,2)</f>
        <v>0</v>
      </c>
      <c r="GL91">
        <f t="shared" si="131"/>
        <v>0</v>
      </c>
      <c r="GM91">
        <f t="shared" si="132"/>
        <v>3177.34</v>
      </c>
      <c r="GN91">
        <f t="shared" si="133"/>
        <v>3177.34</v>
      </c>
      <c r="GO91">
        <f t="shared" si="134"/>
        <v>0</v>
      </c>
      <c r="GP91">
        <f t="shared" si="135"/>
        <v>0</v>
      </c>
      <c r="GR91">
        <v>0</v>
      </c>
      <c r="GS91">
        <v>3</v>
      </c>
      <c r="GT91">
        <v>0</v>
      </c>
      <c r="GU91" t="s">
        <v>6</v>
      </c>
      <c r="GV91">
        <f t="shared" si="136"/>
        <v>0</v>
      </c>
      <c r="GW91">
        <v>1</v>
      </c>
      <c r="GX91">
        <f t="shared" si="137"/>
        <v>0</v>
      </c>
      <c r="HA91">
        <v>0</v>
      </c>
      <c r="HB91">
        <v>0</v>
      </c>
      <c r="HC91">
        <f t="shared" si="138"/>
        <v>0</v>
      </c>
      <c r="IK91">
        <v>0</v>
      </c>
    </row>
    <row r="92" spans="1:255" x14ac:dyDescent="0.2">
      <c r="A92" s="2">
        <v>17</v>
      </c>
      <c r="B92" s="2">
        <v>1</v>
      </c>
      <c r="C92" s="2">
        <f>ROW(SmtRes!A239)</f>
        <v>239</v>
      </c>
      <c r="D92" s="2">
        <f>ROW(EtalonRes!A246)</f>
        <v>246</v>
      </c>
      <c r="E92" s="2" t="s">
        <v>183</v>
      </c>
      <c r="F92" s="2" t="s">
        <v>184</v>
      </c>
      <c r="G92" s="2" t="s">
        <v>185</v>
      </c>
      <c r="H92" s="2" t="s">
        <v>16</v>
      </c>
      <c r="I92" s="2">
        <f>ROUND(14.6/100,9)</f>
        <v>0.14599999999999999</v>
      </c>
      <c r="J92" s="2">
        <v>0</v>
      </c>
      <c r="K92" s="2"/>
      <c r="L92" s="2"/>
      <c r="M92" s="2"/>
      <c r="N92" s="2"/>
      <c r="O92" s="2">
        <f t="shared" si="105"/>
        <v>356.07</v>
      </c>
      <c r="P92" s="2">
        <f t="shared" si="106"/>
        <v>164.06</v>
      </c>
      <c r="Q92" s="2">
        <f t="shared" si="107"/>
        <v>3.06</v>
      </c>
      <c r="R92" s="2">
        <f t="shared" si="108"/>
        <v>1.32</v>
      </c>
      <c r="S92" s="2">
        <f t="shared" si="109"/>
        <v>188.95</v>
      </c>
      <c r="T92" s="2">
        <f t="shared" si="110"/>
        <v>0</v>
      </c>
      <c r="U92" s="2">
        <f t="shared" si="111"/>
        <v>21.326219999999999</v>
      </c>
      <c r="V92" s="2">
        <f t="shared" si="112"/>
        <v>9.7820000000000004E-2</v>
      </c>
      <c r="W92" s="2">
        <f t="shared" si="113"/>
        <v>0</v>
      </c>
      <c r="X92" s="2">
        <f t="shared" si="114"/>
        <v>150.31</v>
      </c>
      <c r="Y92" s="2">
        <f t="shared" si="115"/>
        <v>95.14</v>
      </c>
      <c r="Z92" s="2"/>
      <c r="AA92" s="2">
        <v>16784195</v>
      </c>
      <c r="AB92" s="2">
        <f t="shared" si="116"/>
        <v>2438.85</v>
      </c>
      <c r="AC92" s="2">
        <f t="shared" si="99"/>
        <v>1123.73</v>
      </c>
      <c r="AD92" s="2">
        <f t="shared" si="100"/>
        <v>20.94</v>
      </c>
      <c r="AE92" s="2">
        <f t="shared" si="101"/>
        <v>9.0500000000000007</v>
      </c>
      <c r="AF92" s="2">
        <f t="shared" si="102"/>
        <v>1294.18</v>
      </c>
      <c r="AG92" s="2">
        <f t="shared" si="117"/>
        <v>0</v>
      </c>
      <c r="AH92" s="2">
        <f t="shared" si="103"/>
        <v>146.07</v>
      </c>
      <c r="AI92" s="2">
        <f t="shared" si="104"/>
        <v>0.67</v>
      </c>
      <c r="AJ92" s="2">
        <f t="shared" si="118"/>
        <v>0</v>
      </c>
      <c r="AK92" s="2">
        <v>2438.85</v>
      </c>
      <c r="AL92" s="2">
        <v>1123.73</v>
      </c>
      <c r="AM92" s="2">
        <v>20.94</v>
      </c>
      <c r="AN92" s="2">
        <v>9.0500000000000007</v>
      </c>
      <c r="AO92" s="2">
        <v>1294.18</v>
      </c>
      <c r="AP92" s="2">
        <v>0</v>
      </c>
      <c r="AQ92" s="2">
        <v>146.07</v>
      </c>
      <c r="AR92" s="2">
        <v>0.67</v>
      </c>
      <c r="AS92" s="2">
        <v>0</v>
      </c>
      <c r="AT92" s="2">
        <v>79</v>
      </c>
      <c r="AU92" s="2">
        <v>50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0</v>
      </c>
      <c r="BI92" s="2">
        <v>1</v>
      </c>
      <c r="BJ92" s="2" t="s">
        <v>186</v>
      </c>
      <c r="BK92" s="2"/>
      <c r="BL92" s="2"/>
      <c r="BM92" s="2">
        <v>61001</v>
      </c>
      <c r="BN92" s="2">
        <v>0</v>
      </c>
      <c r="BO92" s="2" t="s">
        <v>6</v>
      </c>
      <c r="BP92" s="2">
        <v>0</v>
      </c>
      <c r="BQ92" s="2">
        <v>6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79</v>
      </c>
      <c r="CA92" s="2">
        <v>50</v>
      </c>
      <c r="CB92" s="2"/>
      <c r="CC92" s="2"/>
      <c r="CD92" s="2"/>
      <c r="CE92" s="2">
        <v>0</v>
      </c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6</v>
      </c>
      <c r="CO92" s="2">
        <v>0</v>
      </c>
      <c r="CP92" s="2">
        <f t="shared" si="119"/>
        <v>356.07</v>
      </c>
      <c r="CQ92" s="2">
        <f t="shared" si="120"/>
        <v>1123.73</v>
      </c>
      <c r="CR92" s="2">
        <f t="shared" si="121"/>
        <v>20.94</v>
      </c>
      <c r="CS92" s="2">
        <f t="shared" si="122"/>
        <v>9.0500000000000007</v>
      </c>
      <c r="CT92" s="2">
        <f t="shared" si="123"/>
        <v>1294.18</v>
      </c>
      <c r="CU92" s="2">
        <f t="shared" si="124"/>
        <v>0</v>
      </c>
      <c r="CV92" s="2">
        <f t="shared" si="125"/>
        <v>146.07</v>
      </c>
      <c r="CW92" s="2">
        <f t="shared" si="126"/>
        <v>0.67</v>
      </c>
      <c r="CX92" s="2">
        <f t="shared" si="127"/>
        <v>0</v>
      </c>
      <c r="CY92" s="2">
        <f t="shared" si="128"/>
        <v>150.31329999999997</v>
      </c>
      <c r="CZ92" s="2">
        <f t="shared" si="129"/>
        <v>95.135000000000005</v>
      </c>
      <c r="DA92" s="2"/>
      <c r="DB92" s="2"/>
      <c r="DC92" s="2" t="s">
        <v>6</v>
      </c>
      <c r="DD92" s="2" t="s">
        <v>6</v>
      </c>
      <c r="DE92" s="2" t="s">
        <v>6</v>
      </c>
      <c r="DF92" s="2" t="s">
        <v>6</v>
      </c>
      <c r="DG92" s="2" t="s">
        <v>6</v>
      </c>
      <c r="DH92" s="2" t="s">
        <v>6</v>
      </c>
      <c r="DI92" s="2" t="s">
        <v>6</v>
      </c>
      <c r="DJ92" s="2" t="s">
        <v>6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1005</v>
      </c>
      <c r="DV92" s="2" t="s">
        <v>16</v>
      </c>
      <c r="DW92" s="2" t="s">
        <v>16</v>
      </c>
      <c r="DX92" s="2">
        <v>100</v>
      </c>
      <c r="DY92" s="2"/>
      <c r="DZ92" s="2"/>
      <c r="EA92" s="2"/>
      <c r="EB92" s="2"/>
      <c r="EC92" s="2"/>
      <c r="ED92" s="2"/>
      <c r="EE92" s="2">
        <v>16510570</v>
      </c>
      <c r="EF92" s="2">
        <v>6</v>
      </c>
      <c r="EG92" s="2" t="s">
        <v>90</v>
      </c>
      <c r="EH92" s="2">
        <v>0</v>
      </c>
      <c r="EI92" s="2" t="s">
        <v>6</v>
      </c>
      <c r="EJ92" s="2">
        <v>1</v>
      </c>
      <c r="EK92" s="2">
        <v>61001</v>
      </c>
      <c r="EL92" s="2" t="s">
        <v>187</v>
      </c>
      <c r="EM92" s="2" t="s">
        <v>188</v>
      </c>
      <c r="EN92" s="2"/>
      <c r="EO92" s="2" t="s">
        <v>6</v>
      </c>
      <c r="EP92" s="2"/>
      <c r="EQ92" s="2">
        <v>131072</v>
      </c>
      <c r="ER92" s="2">
        <v>2438.85</v>
      </c>
      <c r="ES92" s="2">
        <v>1123.73</v>
      </c>
      <c r="ET92" s="2">
        <v>20.94</v>
      </c>
      <c r="EU92" s="2">
        <v>9.0500000000000007</v>
      </c>
      <c r="EV92" s="2">
        <v>1294.18</v>
      </c>
      <c r="EW92" s="2">
        <v>146.07</v>
      </c>
      <c r="EX92" s="2">
        <v>0.67</v>
      </c>
      <c r="EY92" s="2">
        <v>0</v>
      </c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si="130"/>
        <v>0</v>
      </c>
      <c r="FS92" s="2">
        <v>0</v>
      </c>
      <c r="FT92" s="2"/>
      <c r="FU92" s="2"/>
      <c r="FV92" s="2"/>
      <c r="FW92" s="2"/>
      <c r="FX92" s="2">
        <v>79</v>
      </c>
      <c r="FY92" s="2">
        <v>50</v>
      </c>
      <c r="FZ92" s="2"/>
      <c r="GA92" s="2" t="s">
        <v>6</v>
      </c>
      <c r="GB92" s="2"/>
      <c r="GC92" s="2"/>
      <c r="GD92" s="2">
        <v>0</v>
      </c>
      <c r="GE92" s="2"/>
      <c r="GF92" s="2">
        <v>-1946768305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si="131"/>
        <v>0</v>
      </c>
      <c r="GM92" s="2">
        <f t="shared" si="132"/>
        <v>601.52</v>
      </c>
      <c r="GN92" s="2">
        <f t="shared" si="133"/>
        <v>601.52</v>
      </c>
      <c r="GO92" s="2">
        <f t="shared" si="134"/>
        <v>0</v>
      </c>
      <c r="GP92" s="2">
        <f t="shared" si="135"/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si="136"/>
        <v>0</v>
      </c>
      <c r="GW92" s="2">
        <v>1</v>
      </c>
      <c r="GX92" s="2">
        <f t="shared" si="137"/>
        <v>0</v>
      </c>
      <c r="GY92" s="2"/>
      <c r="GZ92" s="2"/>
      <c r="HA92" s="2">
        <v>0</v>
      </c>
      <c r="HB92" s="2">
        <v>0</v>
      </c>
      <c r="HC92" s="2">
        <f t="shared" si="138"/>
        <v>0</v>
      </c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17</v>
      </c>
      <c r="B93">
        <v>1</v>
      </c>
      <c r="C93">
        <f>ROW(SmtRes!A244)</f>
        <v>244</v>
      </c>
      <c r="D93">
        <f>ROW(EtalonRes!A252)</f>
        <v>252</v>
      </c>
      <c r="E93" t="s">
        <v>183</v>
      </c>
      <c r="F93" t="s">
        <v>184</v>
      </c>
      <c r="G93" t="s">
        <v>185</v>
      </c>
      <c r="H93" t="s">
        <v>16</v>
      </c>
      <c r="I93">
        <f>ROUND(14.6/100,9)</f>
        <v>0.14599999999999999</v>
      </c>
      <c r="J93">
        <v>0</v>
      </c>
      <c r="O93">
        <f t="shared" si="105"/>
        <v>2175.6</v>
      </c>
      <c r="P93">
        <f t="shared" si="106"/>
        <v>1002.43</v>
      </c>
      <c r="Q93">
        <f t="shared" si="107"/>
        <v>18.68</v>
      </c>
      <c r="R93">
        <f t="shared" si="108"/>
        <v>8.07</v>
      </c>
      <c r="S93">
        <f t="shared" si="109"/>
        <v>1154.49</v>
      </c>
      <c r="T93">
        <f t="shared" si="110"/>
        <v>0</v>
      </c>
      <c r="U93">
        <f t="shared" si="111"/>
        <v>21.326219999999999</v>
      </c>
      <c r="V93">
        <f t="shared" si="112"/>
        <v>9.7820000000000004E-2</v>
      </c>
      <c r="W93">
        <f t="shared" si="113"/>
        <v>0</v>
      </c>
      <c r="X93">
        <f t="shared" si="114"/>
        <v>918.42</v>
      </c>
      <c r="Y93">
        <f t="shared" si="115"/>
        <v>581.28</v>
      </c>
      <c r="AA93">
        <v>16784196</v>
      </c>
      <c r="AB93">
        <f t="shared" si="116"/>
        <v>2438.85</v>
      </c>
      <c r="AC93">
        <f t="shared" si="99"/>
        <v>1123.73</v>
      </c>
      <c r="AD93">
        <f t="shared" si="100"/>
        <v>20.94</v>
      </c>
      <c r="AE93">
        <f t="shared" si="101"/>
        <v>9.0500000000000007</v>
      </c>
      <c r="AF93">
        <f t="shared" si="102"/>
        <v>1294.18</v>
      </c>
      <c r="AG93">
        <f t="shared" si="117"/>
        <v>0</v>
      </c>
      <c r="AH93">
        <f t="shared" si="103"/>
        <v>146.07</v>
      </c>
      <c r="AI93">
        <f t="shared" si="104"/>
        <v>0.67</v>
      </c>
      <c r="AJ93">
        <f t="shared" si="118"/>
        <v>0</v>
      </c>
      <c r="AK93">
        <v>2438.85</v>
      </c>
      <c r="AL93">
        <v>1123.73</v>
      </c>
      <c r="AM93">
        <v>20.94</v>
      </c>
      <c r="AN93">
        <v>9.0500000000000007</v>
      </c>
      <c r="AO93">
        <v>1294.18</v>
      </c>
      <c r="AP93">
        <v>0</v>
      </c>
      <c r="AQ93">
        <v>146.07</v>
      </c>
      <c r="AR93">
        <v>0.67</v>
      </c>
      <c r="AS93">
        <v>0</v>
      </c>
      <c r="AT93">
        <v>79</v>
      </c>
      <c r="AU93">
        <v>50</v>
      </c>
      <c r="AV93">
        <v>1</v>
      </c>
      <c r="AW93">
        <v>1</v>
      </c>
      <c r="AZ93">
        <v>6.11</v>
      </c>
      <c r="BA93">
        <v>6.11</v>
      </c>
      <c r="BB93">
        <v>6.11</v>
      </c>
      <c r="BC93">
        <v>6.11</v>
      </c>
      <c r="BD93" t="s">
        <v>6</v>
      </c>
      <c r="BE93" t="s">
        <v>6</v>
      </c>
      <c r="BF93" t="s">
        <v>6</v>
      </c>
      <c r="BG93" t="s">
        <v>6</v>
      </c>
      <c r="BH93">
        <v>0</v>
      </c>
      <c r="BI93">
        <v>1</v>
      </c>
      <c r="BJ93" t="s">
        <v>186</v>
      </c>
      <c r="BM93">
        <v>61001</v>
      </c>
      <c r="BN93">
        <v>0</v>
      </c>
      <c r="BO93" t="s">
        <v>6</v>
      </c>
      <c r="BP93">
        <v>0</v>
      </c>
      <c r="BQ93">
        <v>6</v>
      </c>
      <c r="BR93">
        <v>0</v>
      </c>
      <c r="BS93">
        <v>6.11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79</v>
      </c>
      <c r="CA93">
        <v>50</v>
      </c>
      <c r="CE93">
        <v>0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119"/>
        <v>2175.6</v>
      </c>
      <c r="CQ93">
        <f t="shared" si="120"/>
        <v>6865.9903000000004</v>
      </c>
      <c r="CR93">
        <f t="shared" si="121"/>
        <v>127.94340000000001</v>
      </c>
      <c r="CS93">
        <f t="shared" si="122"/>
        <v>55.295500000000004</v>
      </c>
      <c r="CT93">
        <f t="shared" si="123"/>
        <v>7907.439800000001</v>
      </c>
      <c r="CU93">
        <f t="shared" si="124"/>
        <v>0</v>
      </c>
      <c r="CV93">
        <f t="shared" si="125"/>
        <v>146.07</v>
      </c>
      <c r="CW93">
        <f t="shared" si="126"/>
        <v>0.67</v>
      </c>
      <c r="CX93">
        <f t="shared" si="127"/>
        <v>0</v>
      </c>
      <c r="CY93">
        <f t="shared" si="128"/>
        <v>918.42239999999993</v>
      </c>
      <c r="CZ93">
        <f t="shared" si="129"/>
        <v>581.28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1005</v>
      </c>
      <c r="DV93" t="s">
        <v>16</v>
      </c>
      <c r="DW93" t="s">
        <v>16</v>
      </c>
      <c r="DX93">
        <v>100</v>
      </c>
      <c r="EE93">
        <v>16510570</v>
      </c>
      <c r="EF93">
        <v>6</v>
      </c>
      <c r="EG93" t="s">
        <v>90</v>
      </c>
      <c r="EH93">
        <v>0</v>
      </c>
      <c r="EI93" t="s">
        <v>6</v>
      </c>
      <c r="EJ93">
        <v>1</v>
      </c>
      <c r="EK93">
        <v>61001</v>
      </c>
      <c r="EL93" t="s">
        <v>187</v>
      </c>
      <c r="EM93" t="s">
        <v>188</v>
      </c>
      <c r="EO93" t="s">
        <v>6</v>
      </c>
      <c r="EQ93">
        <v>131072</v>
      </c>
      <c r="ER93">
        <v>2438.85</v>
      </c>
      <c r="ES93">
        <v>1123.73</v>
      </c>
      <c r="ET93">
        <v>20.94</v>
      </c>
      <c r="EU93">
        <v>9.0500000000000007</v>
      </c>
      <c r="EV93">
        <v>1294.18</v>
      </c>
      <c r="EW93">
        <v>146.07</v>
      </c>
      <c r="EX93">
        <v>0.67</v>
      </c>
      <c r="EY93">
        <v>0</v>
      </c>
      <c r="FQ93">
        <v>0</v>
      </c>
      <c r="FR93">
        <f t="shared" si="130"/>
        <v>0</v>
      </c>
      <c r="FS93">
        <v>0</v>
      </c>
      <c r="FX93">
        <v>79</v>
      </c>
      <c r="FY93">
        <v>50</v>
      </c>
      <c r="GA93" t="s">
        <v>6</v>
      </c>
      <c r="GD93">
        <v>0</v>
      </c>
      <c r="GF93">
        <v>-1946768305</v>
      </c>
      <c r="GG93">
        <v>1</v>
      </c>
      <c r="GH93">
        <v>1</v>
      </c>
      <c r="GI93">
        <v>4</v>
      </c>
      <c r="GJ93">
        <v>0</v>
      </c>
      <c r="GK93">
        <f>ROUND(R93*(S12)/100,2)</f>
        <v>0</v>
      </c>
      <c r="GL93">
        <f t="shared" si="131"/>
        <v>0</v>
      </c>
      <c r="GM93">
        <f t="shared" si="132"/>
        <v>3675.3</v>
      </c>
      <c r="GN93">
        <f t="shared" si="133"/>
        <v>3675.3</v>
      </c>
      <c r="GO93">
        <f t="shared" si="134"/>
        <v>0</v>
      </c>
      <c r="GP93">
        <f t="shared" si="135"/>
        <v>0</v>
      </c>
      <c r="GR93">
        <v>0</v>
      </c>
      <c r="GS93">
        <v>3</v>
      </c>
      <c r="GT93">
        <v>0</v>
      </c>
      <c r="GU93" t="s">
        <v>6</v>
      </c>
      <c r="GV93">
        <f t="shared" si="136"/>
        <v>0</v>
      </c>
      <c r="GW93">
        <v>1</v>
      </c>
      <c r="GX93">
        <f t="shared" si="137"/>
        <v>0</v>
      </c>
      <c r="HA93">
        <v>0</v>
      </c>
      <c r="HB93">
        <v>0</v>
      </c>
      <c r="HC93">
        <f t="shared" si="138"/>
        <v>0</v>
      </c>
      <c r="IK93">
        <v>0</v>
      </c>
    </row>
    <row r="94" spans="1:255" x14ac:dyDescent="0.2">
      <c r="A94" s="2">
        <v>17</v>
      </c>
      <c r="B94" s="2">
        <v>1</v>
      </c>
      <c r="C94" s="2">
        <f>ROW(SmtRes!A256)</f>
        <v>256</v>
      </c>
      <c r="D94" s="2">
        <f>ROW(EtalonRes!A264)</f>
        <v>264</v>
      </c>
      <c r="E94" s="2" t="s">
        <v>189</v>
      </c>
      <c r="F94" s="2" t="s">
        <v>190</v>
      </c>
      <c r="G94" s="2" t="s">
        <v>191</v>
      </c>
      <c r="H94" s="2" t="s">
        <v>16</v>
      </c>
      <c r="I94" s="2">
        <f>ROUND(48.3/100,9)</f>
        <v>0.48299999999999998</v>
      </c>
      <c r="J94" s="2">
        <v>0</v>
      </c>
      <c r="K94" s="2"/>
      <c r="L94" s="2"/>
      <c r="M94" s="2"/>
      <c r="N94" s="2"/>
      <c r="O94" s="2">
        <f t="shared" si="105"/>
        <v>366.6</v>
      </c>
      <c r="P94" s="2">
        <f t="shared" si="106"/>
        <v>239.67</v>
      </c>
      <c r="Q94" s="2">
        <f t="shared" si="107"/>
        <v>3.41</v>
      </c>
      <c r="R94" s="2">
        <f t="shared" si="108"/>
        <v>0.99</v>
      </c>
      <c r="S94" s="2">
        <f t="shared" si="109"/>
        <v>123.52</v>
      </c>
      <c r="T94" s="2">
        <f t="shared" si="110"/>
        <v>0</v>
      </c>
      <c r="U94" s="2">
        <f t="shared" si="111"/>
        <v>14.296800000000001</v>
      </c>
      <c r="V94" s="2">
        <f t="shared" si="112"/>
        <v>7.7280000000000001E-2</v>
      </c>
      <c r="W94" s="2">
        <f t="shared" si="113"/>
        <v>0</v>
      </c>
      <c r="X94" s="2">
        <f t="shared" si="114"/>
        <v>99.61</v>
      </c>
      <c r="Y94" s="2">
        <f t="shared" si="115"/>
        <v>62.26</v>
      </c>
      <c r="Z94" s="2"/>
      <c r="AA94" s="2">
        <v>16784195</v>
      </c>
      <c r="AB94" s="2">
        <f t="shared" si="116"/>
        <v>759.03</v>
      </c>
      <c r="AC94" s="2">
        <f t="shared" si="99"/>
        <v>496.22</v>
      </c>
      <c r="AD94" s="2">
        <f t="shared" si="100"/>
        <v>7.07</v>
      </c>
      <c r="AE94" s="2">
        <f t="shared" si="101"/>
        <v>2.0499999999999998</v>
      </c>
      <c r="AF94" s="2">
        <f t="shared" si="102"/>
        <v>255.74</v>
      </c>
      <c r="AG94" s="2">
        <f t="shared" si="117"/>
        <v>0</v>
      </c>
      <c r="AH94" s="2">
        <f t="shared" si="103"/>
        <v>29.6</v>
      </c>
      <c r="AI94" s="2">
        <f t="shared" si="104"/>
        <v>0.16</v>
      </c>
      <c r="AJ94" s="2">
        <f t="shared" si="118"/>
        <v>0</v>
      </c>
      <c r="AK94" s="2">
        <v>759.03</v>
      </c>
      <c r="AL94" s="2">
        <v>496.22</v>
      </c>
      <c r="AM94" s="2">
        <v>7.07</v>
      </c>
      <c r="AN94" s="2">
        <v>2.0499999999999998</v>
      </c>
      <c r="AO94" s="2">
        <v>255.74</v>
      </c>
      <c r="AP94" s="2">
        <v>0</v>
      </c>
      <c r="AQ94" s="2">
        <v>29.6</v>
      </c>
      <c r="AR94" s="2">
        <v>0.16</v>
      </c>
      <c r="AS94" s="2">
        <v>0</v>
      </c>
      <c r="AT94" s="2">
        <v>80</v>
      </c>
      <c r="AU94" s="2">
        <v>50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0</v>
      </c>
      <c r="BI94" s="2">
        <v>1</v>
      </c>
      <c r="BJ94" s="2" t="s">
        <v>192</v>
      </c>
      <c r="BK94" s="2"/>
      <c r="BL94" s="2"/>
      <c r="BM94" s="2">
        <v>62001</v>
      </c>
      <c r="BN94" s="2">
        <v>0</v>
      </c>
      <c r="BO94" s="2" t="s">
        <v>6</v>
      </c>
      <c r="BP94" s="2">
        <v>0</v>
      </c>
      <c r="BQ94" s="2">
        <v>6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80</v>
      </c>
      <c r="CA94" s="2">
        <v>50</v>
      </c>
      <c r="CB94" s="2"/>
      <c r="CC94" s="2"/>
      <c r="CD94" s="2"/>
      <c r="CE94" s="2">
        <v>0</v>
      </c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6</v>
      </c>
      <c r="CO94" s="2">
        <v>0</v>
      </c>
      <c r="CP94" s="2">
        <f t="shared" si="119"/>
        <v>366.59999999999997</v>
      </c>
      <c r="CQ94" s="2">
        <f t="shared" si="120"/>
        <v>496.22</v>
      </c>
      <c r="CR94" s="2">
        <f t="shared" si="121"/>
        <v>7.07</v>
      </c>
      <c r="CS94" s="2">
        <f t="shared" si="122"/>
        <v>2.0499999999999998</v>
      </c>
      <c r="CT94" s="2">
        <f t="shared" si="123"/>
        <v>255.74</v>
      </c>
      <c r="CU94" s="2">
        <f t="shared" si="124"/>
        <v>0</v>
      </c>
      <c r="CV94" s="2">
        <f t="shared" si="125"/>
        <v>29.6</v>
      </c>
      <c r="CW94" s="2">
        <f t="shared" si="126"/>
        <v>0.16</v>
      </c>
      <c r="CX94" s="2">
        <f t="shared" si="127"/>
        <v>0</v>
      </c>
      <c r="CY94" s="2">
        <f t="shared" si="128"/>
        <v>99.60799999999999</v>
      </c>
      <c r="CZ94" s="2">
        <f t="shared" si="129"/>
        <v>62.255000000000003</v>
      </c>
      <c r="DA94" s="2"/>
      <c r="DB94" s="2"/>
      <c r="DC94" s="2" t="s">
        <v>6</v>
      </c>
      <c r="DD94" s="2" t="s">
        <v>6</v>
      </c>
      <c r="DE94" s="2" t="s">
        <v>6</v>
      </c>
      <c r="DF94" s="2" t="s">
        <v>6</v>
      </c>
      <c r="DG94" s="2" t="s">
        <v>6</v>
      </c>
      <c r="DH94" s="2" t="s">
        <v>6</v>
      </c>
      <c r="DI94" s="2" t="s">
        <v>6</v>
      </c>
      <c r="DJ94" s="2" t="s">
        <v>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1005</v>
      </c>
      <c r="DV94" s="2" t="s">
        <v>16</v>
      </c>
      <c r="DW94" s="2" t="s">
        <v>16</v>
      </c>
      <c r="DX94" s="2">
        <v>100</v>
      </c>
      <c r="DY94" s="2"/>
      <c r="DZ94" s="2"/>
      <c r="EA94" s="2"/>
      <c r="EB94" s="2"/>
      <c r="EC94" s="2"/>
      <c r="ED94" s="2"/>
      <c r="EE94" s="2">
        <v>16510571</v>
      </c>
      <c r="EF94" s="2">
        <v>6</v>
      </c>
      <c r="EG94" s="2" t="s">
        <v>90</v>
      </c>
      <c r="EH94" s="2">
        <v>0</v>
      </c>
      <c r="EI94" s="2" t="s">
        <v>6</v>
      </c>
      <c r="EJ94" s="2">
        <v>1</v>
      </c>
      <c r="EK94" s="2">
        <v>62001</v>
      </c>
      <c r="EL94" s="2" t="s">
        <v>193</v>
      </c>
      <c r="EM94" s="2" t="s">
        <v>194</v>
      </c>
      <c r="EN94" s="2"/>
      <c r="EO94" s="2" t="s">
        <v>6</v>
      </c>
      <c r="EP94" s="2"/>
      <c r="EQ94" s="2">
        <v>0</v>
      </c>
      <c r="ER94" s="2">
        <v>759.03</v>
      </c>
      <c r="ES94" s="2">
        <v>496.22</v>
      </c>
      <c r="ET94" s="2">
        <v>7.07</v>
      </c>
      <c r="EU94" s="2">
        <v>2.0499999999999998</v>
      </c>
      <c r="EV94" s="2">
        <v>255.74</v>
      </c>
      <c r="EW94" s="2">
        <v>29.6</v>
      </c>
      <c r="EX94" s="2">
        <v>0.16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130"/>
        <v>0</v>
      </c>
      <c r="FS94" s="2">
        <v>0</v>
      </c>
      <c r="FT94" s="2"/>
      <c r="FU94" s="2"/>
      <c r="FV94" s="2"/>
      <c r="FW94" s="2"/>
      <c r="FX94" s="2">
        <v>80</v>
      </c>
      <c r="FY94" s="2">
        <v>50</v>
      </c>
      <c r="FZ94" s="2"/>
      <c r="GA94" s="2" t="s">
        <v>6</v>
      </c>
      <c r="GB94" s="2"/>
      <c r="GC94" s="2"/>
      <c r="GD94" s="2">
        <v>0</v>
      </c>
      <c r="GE94" s="2"/>
      <c r="GF94" s="2">
        <v>-2059184300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131"/>
        <v>0</v>
      </c>
      <c r="GM94" s="2">
        <f t="shared" si="132"/>
        <v>528.47</v>
      </c>
      <c r="GN94" s="2">
        <f t="shared" si="133"/>
        <v>528.47</v>
      </c>
      <c r="GO94" s="2">
        <f t="shared" si="134"/>
        <v>0</v>
      </c>
      <c r="GP94" s="2">
        <f t="shared" si="135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36"/>
        <v>0</v>
      </c>
      <c r="GW94" s="2">
        <v>1</v>
      </c>
      <c r="GX94" s="2">
        <f t="shared" si="137"/>
        <v>0</v>
      </c>
      <c r="GY94" s="2"/>
      <c r="GZ94" s="2"/>
      <c r="HA94" s="2">
        <v>0</v>
      </c>
      <c r="HB94" s="2">
        <v>0</v>
      </c>
      <c r="HC94" s="2">
        <f t="shared" si="138"/>
        <v>0</v>
      </c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C95">
        <f>ROW(SmtRes!A268)</f>
        <v>268</v>
      </c>
      <c r="D95">
        <f>ROW(EtalonRes!A276)</f>
        <v>276</v>
      </c>
      <c r="E95" t="s">
        <v>189</v>
      </c>
      <c r="F95" t="s">
        <v>190</v>
      </c>
      <c r="G95" t="s">
        <v>191</v>
      </c>
      <c r="H95" t="s">
        <v>16</v>
      </c>
      <c r="I95">
        <f>ROUND(48.3/100,9)</f>
        <v>0.48299999999999998</v>
      </c>
      <c r="J95">
        <v>0</v>
      </c>
      <c r="O95">
        <f t="shared" si="105"/>
        <v>2239.9899999999998</v>
      </c>
      <c r="P95">
        <f t="shared" si="106"/>
        <v>1464.41</v>
      </c>
      <c r="Q95">
        <f t="shared" si="107"/>
        <v>20.86</v>
      </c>
      <c r="R95">
        <f t="shared" si="108"/>
        <v>6.05</v>
      </c>
      <c r="S95">
        <f t="shared" si="109"/>
        <v>754.72</v>
      </c>
      <c r="T95">
        <f t="shared" si="110"/>
        <v>0</v>
      </c>
      <c r="U95">
        <f t="shared" si="111"/>
        <v>14.296800000000001</v>
      </c>
      <c r="V95">
        <f t="shared" si="112"/>
        <v>7.7280000000000001E-2</v>
      </c>
      <c r="W95">
        <f t="shared" si="113"/>
        <v>0</v>
      </c>
      <c r="X95">
        <f t="shared" si="114"/>
        <v>608.62</v>
      </c>
      <c r="Y95">
        <f t="shared" si="115"/>
        <v>380.39</v>
      </c>
      <c r="AA95">
        <v>16784196</v>
      </c>
      <c r="AB95">
        <f t="shared" si="116"/>
        <v>759.03</v>
      </c>
      <c r="AC95">
        <f t="shared" si="99"/>
        <v>496.22</v>
      </c>
      <c r="AD95">
        <f t="shared" si="100"/>
        <v>7.07</v>
      </c>
      <c r="AE95">
        <f t="shared" si="101"/>
        <v>2.0499999999999998</v>
      </c>
      <c r="AF95">
        <f t="shared" si="102"/>
        <v>255.74</v>
      </c>
      <c r="AG95">
        <f t="shared" si="117"/>
        <v>0</v>
      </c>
      <c r="AH95">
        <f t="shared" si="103"/>
        <v>29.6</v>
      </c>
      <c r="AI95">
        <f t="shared" si="104"/>
        <v>0.16</v>
      </c>
      <c r="AJ95">
        <f t="shared" si="118"/>
        <v>0</v>
      </c>
      <c r="AK95">
        <v>759.03</v>
      </c>
      <c r="AL95">
        <v>496.22</v>
      </c>
      <c r="AM95">
        <v>7.07</v>
      </c>
      <c r="AN95">
        <v>2.0499999999999998</v>
      </c>
      <c r="AO95">
        <v>255.74</v>
      </c>
      <c r="AP95">
        <v>0</v>
      </c>
      <c r="AQ95">
        <v>29.6</v>
      </c>
      <c r="AR95">
        <v>0.16</v>
      </c>
      <c r="AS95">
        <v>0</v>
      </c>
      <c r="AT95">
        <v>80</v>
      </c>
      <c r="AU95">
        <v>50</v>
      </c>
      <c r="AV95">
        <v>1</v>
      </c>
      <c r="AW95">
        <v>1</v>
      </c>
      <c r="AZ95">
        <v>6.11</v>
      </c>
      <c r="BA95">
        <v>6.11</v>
      </c>
      <c r="BB95">
        <v>6.11</v>
      </c>
      <c r="BC95">
        <v>6.11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192</v>
      </c>
      <c r="BM95">
        <v>62001</v>
      </c>
      <c r="BN95">
        <v>0</v>
      </c>
      <c r="BO95" t="s">
        <v>6</v>
      </c>
      <c r="BP95">
        <v>0</v>
      </c>
      <c r="BQ95">
        <v>6</v>
      </c>
      <c r="BR95">
        <v>0</v>
      </c>
      <c r="BS95">
        <v>6.11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80</v>
      </c>
      <c r="CA95">
        <v>50</v>
      </c>
      <c r="CE95">
        <v>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19"/>
        <v>2239.9899999999998</v>
      </c>
      <c r="CQ95">
        <f t="shared" si="120"/>
        <v>3031.9042000000004</v>
      </c>
      <c r="CR95">
        <f t="shared" si="121"/>
        <v>43.197700000000005</v>
      </c>
      <c r="CS95">
        <f t="shared" si="122"/>
        <v>12.525499999999999</v>
      </c>
      <c r="CT95">
        <f t="shared" si="123"/>
        <v>1562.5714</v>
      </c>
      <c r="CU95">
        <f t="shared" si="124"/>
        <v>0</v>
      </c>
      <c r="CV95">
        <f t="shared" si="125"/>
        <v>29.6</v>
      </c>
      <c r="CW95">
        <f t="shared" si="126"/>
        <v>0.16</v>
      </c>
      <c r="CX95">
        <f t="shared" si="127"/>
        <v>0</v>
      </c>
      <c r="CY95">
        <f t="shared" si="128"/>
        <v>608.61599999999999</v>
      </c>
      <c r="CZ95">
        <f t="shared" si="129"/>
        <v>380.38499999999999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16</v>
      </c>
      <c r="DW95" t="s">
        <v>16</v>
      </c>
      <c r="DX95">
        <v>100</v>
      </c>
      <c r="EE95">
        <v>16510571</v>
      </c>
      <c r="EF95">
        <v>6</v>
      </c>
      <c r="EG95" t="s">
        <v>90</v>
      </c>
      <c r="EH95">
        <v>0</v>
      </c>
      <c r="EI95" t="s">
        <v>6</v>
      </c>
      <c r="EJ95">
        <v>1</v>
      </c>
      <c r="EK95">
        <v>62001</v>
      </c>
      <c r="EL95" t="s">
        <v>193</v>
      </c>
      <c r="EM95" t="s">
        <v>194</v>
      </c>
      <c r="EO95" t="s">
        <v>6</v>
      </c>
      <c r="EQ95">
        <v>0</v>
      </c>
      <c r="ER95">
        <v>759.03</v>
      </c>
      <c r="ES95">
        <v>496.22</v>
      </c>
      <c r="ET95">
        <v>7.07</v>
      </c>
      <c r="EU95">
        <v>2.0499999999999998</v>
      </c>
      <c r="EV95">
        <v>255.74</v>
      </c>
      <c r="EW95">
        <v>29.6</v>
      </c>
      <c r="EX95">
        <v>0.16</v>
      </c>
      <c r="EY95">
        <v>0</v>
      </c>
      <c r="FQ95">
        <v>0</v>
      </c>
      <c r="FR95">
        <f t="shared" si="130"/>
        <v>0</v>
      </c>
      <c r="FS95">
        <v>0</v>
      </c>
      <c r="FX95">
        <v>80</v>
      </c>
      <c r="FY95">
        <v>50</v>
      </c>
      <c r="GA95" t="s">
        <v>6</v>
      </c>
      <c r="GD95">
        <v>0</v>
      </c>
      <c r="GF95">
        <v>-2059184300</v>
      </c>
      <c r="GG95">
        <v>1</v>
      </c>
      <c r="GH95">
        <v>1</v>
      </c>
      <c r="GI95">
        <v>4</v>
      </c>
      <c r="GJ95">
        <v>0</v>
      </c>
      <c r="GK95">
        <f>ROUND(R95*(S12)/100,2)</f>
        <v>0</v>
      </c>
      <c r="GL95">
        <f t="shared" si="131"/>
        <v>0</v>
      </c>
      <c r="GM95">
        <f t="shared" si="132"/>
        <v>3229</v>
      </c>
      <c r="GN95">
        <f t="shared" si="133"/>
        <v>3229</v>
      </c>
      <c r="GO95">
        <f t="shared" si="134"/>
        <v>0</v>
      </c>
      <c r="GP95">
        <f t="shared" si="135"/>
        <v>0</v>
      </c>
      <c r="GR95">
        <v>0</v>
      </c>
      <c r="GS95">
        <v>3</v>
      </c>
      <c r="GT95">
        <v>0</v>
      </c>
      <c r="GU95" t="s">
        <v>6</v>
      </c>
      <c r="GV95">
        <f t="shared" si="136"/>
        <v>0</v>
      </c>
      <c r="GW95">
        <v>1</v>
      </c>
      <c r="GX95">
        <f t="shared" si="137"/>
        <v>0</v>
      </c>
      <c r="HA95">
        <v>0</v>
      </c>
      <c r="HB95">
        <v>0</v>
      </c>
      <c r="HC95">
        <f t="shared" si="138"/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255</v>
      </c>
      <c r="D96" s="2"/>
      <c r="E96" s="2" t="s">
        <v>195</v>
      </c>
      <c r="F96" s="2" t="s">
        <v>196</v>
      </c>
      <c r="G96" s="2" t="s">
        <v>197</v>
      </c>
      <c r="H96" s="2" t="s">
        <v>65</v>
      </c>
      <c r="I96" s="2">
        <f>I94*J96</f>
        <v>3.4292999999999997E-2</v>
      </c>
      <c r="J96" s="2">
        <v>7.0999999999999994E-2</v>
      </c>
      <c r="K96" s="2"/>
      <c r="L96" s="2"/>
      <c r="M96" s="2"/>
      <c r="N96" s="2"/>
      <c r="O96" s="2">
        <f t="shared" si="105"/>
        <v>455.67</v>
      </c>
      <c r="P96" s="2">
        <f t="shared" si="106"/>
        <v>455.67</v>
      </c>
      <c r="Q96" s="2">
        <f t="shared" si="107"/>
        <v>0</v>
      </c>
      <c r="R96" s="2">
        <f t="shared" si="108"/>
        <v>0</v>
      </c>
      <c r="S96" s="2">
        <f t="shared" si="109"/>
        <v>0</v>
      </c>
      <c r="T96" s="2">
        <f t="shared" si="110"/>
        <v>0</v>
      </c>
      <c r="U96" s="2">
        <f t="shared" si="111"/>
        <v>0</v>
      </c>
      <c r="V96" s="2">
        <f t="shared" si="112"/>
        <v>0</v>
      </c>
      <c r="W96" s="2">
        <f t="shared" si="113"/>
        <v>0</v>
      </c>
      <c r="X96" s="2">
        <f t="shared" si="114"/>
        <v>0</v>
      </c>
      <c r="Y96" s="2">
        <f t="shared" si="115"/>
        <v>0</v>
      </c>
      <c r="Z96" s="2"/>
      <c r="AA96" s="2">
        <v>16784195</v>
      </c>
      <c r="AB96" s="2">
        <f t="shared" si="116"/>
        <v>13287.69</v>
      </c>
      <c r="AC96" s="2">
        <f t="shared" si="99"/>
        <v>13287.69</v>
      </c>
      <c r="AD96" s="2">
        <f t="shared" si="100"/>
        <v>0</v>
      </c>
      <c r="AE96" s="2">
        <f t="shared" si="101"/>
        <v>0</v>
      </c>
      <c r="AF96" s="2">
        <f t="shared" si="102"/>
        <v>0</v>
      </c>
      <c r="AG96" s="2">
        <f t="shared" si="117"/>
        <v>0</v>
      </c>
      <c r="AH96" s="2">
        <f t="shared" si="103"/>
        <v>0</v>
      </c>
      <c r="AI96" s="2">
        <f t="shared" si="104"/>
        <v>0</v>
      </c>
      <c r="AJ96" s="2">
        <f t="shared" si="118"/>
        <v>0</v>
      </c>
      <c r="AK96" s="2">
        <v>13287.69</v>
      </c>
      <c r="AL96" s="2">
        <v>13287.69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80</v>
      </c>
      <c r="AU96" s="2">
        <v>50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198</v>
      </c>
      <c r="BK96" s="2"/>
      <c r="BL96" s="2"/>
      <c r="BM96" s="2">
        <v>62001</v>
      </c>
      <c r="BN96" s="2">
        <v>0</v>
      </c>
      <c r="BO96" s="2" t="s">
        <v>6</v>
      </c>
      <c r="BP96" s="2">
        <v>0</v>
      </c>
      <c r="BQ96" s="2">
        <v>6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80</v>
      </c>
      <c r="CA96" s="2">
        <v>50</v>
      </c>
      <c r="CB96" s="2"/>
      <c r="CC96" s="2"/>
      <c r="CD96" s="2"/>
      <c r="CE96" s="2">
        <v>0</v>
      </c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si="119"/>
        <v>455.67</v>
      </c>
      <c r="CQ96" s="2">
        <f t="shared" si="120"/>
        <v>13287.69</v>
      </c>
      <c r="CR96" s="2">
        <f t="shared" si="121"/>
        <v>0</v>
      </c>
      <c r="CS96" s="2">
        <f t="shared" si="122"/>
        <v>0</v>
      </c>
      <c r="CT96" s="2">
        <f t="shared" si="123"/>
        <v>0</v>
      </c>
      <c r="CU96" s="2">
        <f t="shared" si="124"/>
        <v>0</v>
      </c>
      <c r="CV96" s="2">
        <f t="shared" si="125"/>
        <v>0</v>
      </c>
      <c r="CW96" s="2">
        <f t="shared" si="126"/>
        <v>0</v>
      </c>
      <c r="CX96" s="2">
        <f t="shared" si="127"/>
        <v>0</v>
      </c>
      <c r="CY96" s="2">
        <f t="shared" si="128"/>
        <v>0</v>
      </c>
      <c r="CZ96" s="2">
        <f t="shared" si="129"/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1009</v>
      </c>
      <c r="DV96" s="2" t="s">
        <v>65</v>
      </c>
      <c r="DW96" s="2" t="s">
        <v>65</v>
      </c>
      <c r="DX96" s="2">
        <v>1000</v>
      </c>
      <c r="DY96" s="2"/>
      <c r="DZ96" s="2"/>
      <c r="EA96" s="2"/>
      <c r="EB96" s="2"/>
      <c r="EC96" s="2"/>
      <c r="ED96" s="2"/>
      <c r="EE96" s="2">
        <v>16510571</v>
      </c>
      <c r="EF96" s="2">
        <v>6</v>
      </c>
      <c r="EG96" s="2" t="s">
        <v>90</v>
      </c>
      <c r="EH96" s="2">
        <v>0</v>
      </c>
      <c r="EI96" s="2" t="s">
        <v>6</v>
      </c>
      <c r="EJ96" s="2">
        <v>1</v>
      </c>
      <c r="EK96" s="2">
        <v>62001</v>
      </c>
      <c r="EL96" s="2" t="s">
        <v>193</v>
      </c>
      <c r="EM96" s="2" t="s">
        <v>194</v>
      </c>
      <c r="EN96" s="2"/>
      <c r="EO96" s="2" t="s">
        <v>6</v>
      </c>
      <c r="EP96" s="2"/>
      <c r="EQ96" s="2">
        <v>0</v>
      </c>
      <c r="ER96" s="2">
        <v>13287.69</v>
      </c>
      <c r="ES96" s="2">
        <v>13287.69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si="130"/>
        <v>0</v>
      </c>
      <c r="FS96" s="2">
        <v>0</v>
      </c>
      <c r="FT96" s="2"/>
      <c r="FU96" s="2"/>
      <c r="FV96" s="2"/>
      <c r="FW96" s="2"/>
      <c r="FX96" s="2">
        <v>80</v>
      </c>
      <c r="FY96" s="2">
        <v>50</v>
      </c>
      <c r="FZ96" s="2"/>
      <c r="GA96" s="2" t="s">
        <v>6</v>
      </c>
      <c r="GB96" s="2"/>
      <c r="GC96" s="2"/>
      <c r="GD96" s="2">
        <v>0</v>
      </c>
      <c r="GE96" s="2"/>
      <c r="GF96" s="2">
        <v>1410424693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si="131"/>
        <v>0</v>
      </c>
      <c r="GM96" s="2">
        <f t="shared" si="132"/>
        <v>455.67</v>
      </c>
      <c r="GN96" s="2">
        <f t="shared" si="133"/>
        <v>455.67</v>
      </c>
      <c r="GO96" s="2">
        <f t="shared" si="134"/>
        <v>0</v>
      </c>
      <c r="GP96" s="2">
        <f t="shared" si="135"/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si="136"/>
        <v>0</v>
      </c>
      <c r="GW96" s="2">
        <v>1</v>
      </c>
      <c r="GX96" s="2">
        <f t="shared" si="137"/>
        <v>0</v>
      </c>
      <c r="GY96" s="2"/>
      <c r="GZ96" s="2"/>
      <c r="HA96" s="2">
        <v>0</v>
      </c>
      <c r="HB96" s="2">
        <v>0</v>
      </c>
      <c r="HC96" s="2">
        <f t="shared" si="138"/>
        <v>0</v>
      </c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267</v>
      </c>
      <c r="E97" t="s">
        <v>195</v>
      </c>
      <c r="F97" t="s">
        <v>196</v>
      </c>
      <c r="G97" t="s">
        <v>197</v>
      </c>
      <c r="H97" t="s">
        <v>65</v>
      </c>
      <c r="I97">
        <f>I95*J97</f>
        <v>3.4292999999999997E-2</v>
      </c>
      <c r="J97">
        <v>7.0999999999999994E-2</v>
      </c>
      <c r="O97">
        <f t="shared" si="105"/>
        <v>2784.17</v>
      </c>
      <c r="P97">
        <f t="shared" si="106"/>
        <v>2784.17</v>
      </c>
      <c r="Q97">
        <f t="shared" si="107"/>
        <v>0</v>
      </c>
      <c r="R97">
        <f t="shared" si="108"/>
        <v>0</v>
      </c>
      <c r="S97">
        <f t="shared" si="109"/>
        <v>0</v>
      </c>
      <c r="T97">
        <f t="shared" si="110"/>
        <v>0</v>
      </c>
      <c r="U97">
        <f t="shared" si="111"/>
        <v>0</v>
      </c>
      <c r="V97">
        <f t="shared" si="112"/>
        <v>0</v>
      </c>
      <c r="W97">
        <f t="shared" si="113"/>
        <v>0</v>
      </c>
      <c r="X97">
        <f t="shared" si="114"/>
        <v>0</v>
      </c>
      <c r="Y97">
        <f t="shared" si="115"/>
        <v>0</v>
      </c>
      <c r="AA97">
        <v>16784196</v>
      </c>
      <c r="AB97">
        <f t="shared" si="116"/>
        <v>13287.69</v>
      </c>
      <c r="AC97">
        <f t="shared" si="99"/>
        <v>13287.69</v>
      </c>
      <c r="AD97">
        <f t="shared" si="100"/>
        <v>0</v>
      </c>
      <c r="AE97">
        <f t="shared" si="101"/>
        <v>0</v>
      </c>
      <c r="AF97">
        <f t="shared" si="102"/>
        <v>0</v>
      </c>
      <c r="AG97">
        <f t="shared" si="117"/>
        <v>0</v>
      </c>
      <c r="AH97">
        <f t="shared" si="103"/>
        <v>0</v>
      </c>
      <c r="AI97">
        <f t="shared" si="104"/>
        <v>0</v>
      </c>
      <c r="AJ97">
        <f t="shared" si="118"/>
        <v>0</v>
      </c>
      <c r="AK97">
        <v>13287.69</v>
      </c>
      <c r="AL97">
        <v>13287.69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80</v>
      </c>
      <c r="AU97">
        <v>50</v>
      </c>
      <c r="AV97">
        <v>1</v>
      </c>
      <c r="AW97">
        <v>1</v>
      </c>
      <c r="AZ97">
        <v>6.11</v>
      </c>
      <c r="BA97">
        <v>1</v>
      </c>
      <c r="BB97">
        <v>1</v>
      </c>
      <c r="BC97">
        <v>6.11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198</v>
      </c>
      <c r="BM97">
        <v>62001</v>
      </c>
      <c r="BN97">
        <v>0</v>
      </c>
      <c r="BO97" t="s">
        <v>6</v>
      </c>
      <c r="BP97">
        <v>0</v>
      </c>
      <c r="BQ97">
        <v>6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80</v>
      </c>
      <c r="CA97">
        <v>50</v>
      </c>
      <c r="CE97">
        <v>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19"/>
        <v>2784.17</v>
      </c>
      <c r="CQ97">
        <f t="shared" si="120"/>
        <v>81187.785900000003</v>
      </c>
      <c r="CR97">
        <f t="shared" si="121"/>
        <v>0</v>
      </c>
      <c r="CS97">
        <f t="shared" si="122"/>
        <v>0</v>
      </c>
      <c r="CT97">
        <f t="shared" si="123"/>
        <v>0</v>
      </c>
      <c r="CU97">
        <f t="shared" si="124"/>
        <v>0</v>
      </c>
      <c r="CV97">
        <f t="shared" si="125"/>
        <v>0</v>
      </c>
      <c r="CW97">
        <f t="shared" si="126"/>
        <v>0</v>
      </c>
      <c r="CX97">
        <f t="shared" si="127"/>
        <v>0</v>
      </c>
      <c r="CY97">
        <f t="shared" si="128"/>
        <v>0</v>
      </c>
      <c r="CZ97">
        <f t="shared" si="129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65</v>
      </c>
      <c r="DW97" t="s">
        <v>65</v>
      </c>
      <c r="DX97">
        <v>1000</v>
      </c>
      <c r="EE97">
        <v>16510571</v>
      </c>
      <c r="EF97">
        <v>6</v>
      </c>
      <c r="EG97" t="s">
        <v>90</v>
      </c>
      <c r="EH97">
        <v>0</v>
      </c>
      <c r="EI97" t="s">
        <v>6</v>
      </c>
      <c r="EJ97">
        <v>1</v>
      </c>
      <c r="EK97">
        <v>62001</v>
      </c>
      <c r="EL97" t="s">
        <v>193</v>
      </c>
      <c r="EM97" t="s">
        <v>194</v>
      </c>
      <c r="EO97" t="s">
        <v>6</v>
      </c>
      <c r="EQ97">
        <v>0</v>
      </c>
      <c r="ER97">
        <v>13287.69</v>
      </c>
      <c r="ES97">
        <v>13287.69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0"/>
        <v>0</v>
      </c>
      <c r="FS97">
        <v>0</v>
      </c>
      <c r="FX97">
        <v>80</v>
      </c>
      <c r="FY97">
        <v>50</v>
      </c>
      <c r="GA97" t="s">
        <v>6</v>
      </c>
      <c r="GD97">
        <v>0</v>
      </c>
      <c r="GF97">
        <v>1410424693</v>
      </c>
      <c r="GG97">
        <v>1</v>
      </c>
      <c r="GH97">
        <v>1</v>
      </c>
      <c r="GI97">
        <v>4</v>
      </c>
      <c r="GJ97">
        <v>0</v>
      </c>
      <c r="GK97">
        <f>ROUND(R97*(S12)/100,2)</f>
        <v>0</v>
      </c>
      <c r="GL97">
        <f t="shared" si="131"/>
        <v>0</v>
      </c>
      <c r="GM97">
        <f t="shared" si="132"/>
        <v>2784.17</v>
      </c>
      <c r="GN97">
        <f t="shared" si="133"/>
        <v>2784.17</v>
      </c>
      <c r="GO97">
        <f t="shared" si="134"/>
        <v>0</v>
      </c>
      <c r="GP97">
        <f t="shared" si="135"/>
        <v>0</v>
      </c>
      <c r="GR97">
        <v>0</v>
      </c>
      <c r="GS97">
        <v>3</v>
      </c>
      <c r="GT97">
        <v>0</v>
      </c>
      <c r="GU97" t="s">
        <v>6</v>
      </c>
      <c r="GV97">
        <f t="shared" si="136"/>
        <v>0</v>
      </c>
      <c r="GW97">
        <v>1</v>
      </c>
      <c r="GX97">
        <f t="shared" si="137"/>
        <v>0</v>
      </c>
      <c r="HA97">
        <v>0</v>
      </c>
      <c r="HB97">
        <v>0</v>
      </c>
      <c r="HC97">
        <f t="shared" si="138"/>
        <v>0</v>
      </c>
      <c r="IK97">
        <v>0</v>
      </c>
    </row>
    <row r="98" spans="1:255" x14ac:dyDescent="0.2">
      <c r="A98" s="2">
        <v>17</v>
      </c>
      <c r="B98" s="2">
        <v>1</v>
      </c>
      <c r="C98" s="2">
        <f>ROW(SmtRes!A274)</f>
        <v>274</v>
      </c>
      <c r="D98" s="2">
        <f>ROW(EtalonRes!A282)</f>
        <v>282</v>
      </c>
      <c r="E98" s="2" t="s">
        <v>199</v>
      </c>
      <c r="F98" s="2" t="s">
        <v>200</v>
      </c>
      <c r="G98" s="2" t="s">
        <v>201</v>
      </c>
      <c r="H98" s="2" t="s">
        <v>16</v>
      </c>
      <c r="I98" s="2">
        <f>ROUND(3.1/100,9)</f>
        <v>3.1E-2</v>
      </c>
      <c r="J98" s="2">
        <v>0</v>
      </c>
      <c r="K98" s="2"/>
      <c r="L98" s="2"/>
      <c r="M98" s="2"/>
      <c r="N98" s="2"/>
      <c r="O98" s="2">
        <f t="shared" si="105"/>
        <v>22.62</v>
      </c>
      <c r="P98" s="2">
        <f t="shared" si="106"/>
        <v>4.7300000000000004</v>
      </c>
      <c r="Q98" s="2">
        <f t="shared" si="107"/>
        <v>0.02</v>
      </c>
      <c r="R98" s="2">
        <f t="shared" si="108"/>
        <v>0</v>
      </c>
      <c r="S98" s="2">
        <f t="shared" si="109"/>
        <v>17.87</v>
      </c>
      <c r="T98" s="2">
        <f t="shared" si="110"/>
        <v>0</v>
      </c>
      <c r="U98" s="2">
        <f t="shared" si="111"/>
        <v>2.0441400000000001</v>
      </c>
      <c r="V98" s="2">
        <f t="shared" si="112"/>
        <v>3.1E-4</v>
      </c>
      <c r="W98" s="2">
        <f t="shared" si="113"/>
        <v>0</v>
      </c>
      <c r="X98" s="2">
        <f t="shared" si="114"/>
        <v>14.3</v>
      </c>
      <c r="Y98" s="2">
        <f t="shared" si="115"/>
        <v>8.94</v>
      </c>
      <c r="Z98" s="2"/>
      <c r="AA98" s="2">
        <v>16784195</v>
      </c>
      <c r="AB98" s="2">
        <f t="shared" si="116"/>
        <v>729.71</v>
      </c>
      <c r="AC98" s="2">
        <f t="shared" si="99"/>
        <v>152.72999999999999</v>
      </c>
      <c r="AD98" s="2">
        <f t="shared" si="100"/>
        <v>0.66</v>
      </c>
      <c r="AE98" s="2">
        <f t="shared" si="101"/>
        <v>0.12</v>
      </c>
      <c r="AF98" s="2">
        <f t="shared" si="102"/>
        <v>576.32000000000005</v>
      </c>
      <c r="AG98" s="2">
        <f t="shared" si="117"/>
        <v>0</v>
      </c>
      <c r="AH98" s="2">
        <f t="shared" si="103"/>
        <v>65.94</v>
      </c>
      <c r="AI98" s="2">
        <f t="shared" si="104"/>
        <v>0.01</v>
      </c>
      <c r="AJ98" s="2">
        <f t="shared" si="118"/>
        <v>0</v>
      </c>
      <c r="AK98" s="2">
        <v>729.71</v>
      </c>
      <c r="AL98" s="2">
        <v>152.72999999999999</v>
      </c>
      <c r="AM98" s="2">
        <v>0.66</v>
      </c>
      <c r="AN98" s="2">
        <v>0.12</v>
      </c>
      <c r="AO98" s="2">
        <v>576.32000000000005</v>
      </c>
      <c r="AP98" s="2">
        <v>0</v>
      </c>
      <c r="AQ98" s="2">
        <v>65.94</v>
      </c>
      <c r="AR98" s="2">
        <v>0.01</v>
      </c>
      <c r="AS98" s="2">
        <v>0</v>
      </c>
      <c r="AT98" s="2">
        <v>80</v>
      </c>
      <c r="AU98" s="2">
        <v>50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0</v>
      </c>
      <c r="BI98" s="2">
        <v>1</v>
      </c>
      <c r="BJ98" s="2" t="s">
        <v>202</v>
      </c>
      <c r="BK98" s="2"/>
      <c r="BL98" s="2"/>
      <c r="BM98" s="2">
        <v>62001</v>
      </c>
      <c r="BN98" s="2">
        <v>0</v>
      </c>
      <c r="BO98" s="2" t="s">
        <v>6</v>
      </c>
      <c r="BP98" s="2">
        <v>0</v>
      </c>
      <c r="BQ98" s="2">
        <v>6</v>
      </c>
      <c r="BR98" s="2">
        <v>0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80</v>
      </c>
      <c r="CA98" s="2">
        <v>50</v>
      </c>
      <c r="CB98" s="2"/>
      <c r="CC98" s="2"/>
      <c r="CD98" s="2"/>
      <c r="CE98" s="2">
        <v>0</v>
      </c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119"/>
        <v>22.62</v>
      </c>
      <c r="CQ98" s="2">
        <f t="shared" si="120"/>
        <v>152.72999999999999</v>
      </c>
      <c r="CR98" s="2">
        <f t="shared" si="121"/>
        <v>0.66</v>
      </c>
      <c r="CS98" s="2">
        <f t="shared" si="122"/>
        <v>0.12</v>
      </c>
      <c r="CT98" s="2">
        <f t="shared" si="123"/>
        <v>576.32000000000005</v>
      </c>
      <c r="CU98" s="2">
        <f t="shared" si="124"/>
        <v>0</v>
      </c>
      <c r="CV98" s="2">
        <f t="shared" si="125"/>
        <v>65.94</v>
      </c>
      <c r="CW98" s="2">
        <f t="shared" si="126"/>
        <v>0.01</v>
      </c>
      <c r="CX98" s="2">
        <f t="shared" si="127"/>
        <v>0</v>
      </c>
      <c r="CY98" s="2">
        <f t="shared" si="128"/>
        <v>14.296000000000001</v>
      </c>
      <c r="CZ98" s="2">
        <f t="shared" si="129"/>
        <v>8.9350000000000005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1005</v>
      </c>
      <c r="DV98" s="2" t="s">
        <v>16</v>
      </c>
      <c r="DW98" s="2" t="s">
        <v>16</v>
      </c>
      <c r="DX98" s="2">
        <v>100</v>
      </c>
      <c r="DY98" s="2"/>
      <c r="DZ98" s="2"/>
      <c r="EA98" s="2"/>
      <c r="EB98" s="2"/>
      <c r="EC98" s="2"/>
      <c r="ED98" s="2"/>
      <c r="EE98" s="2">
        <v>16510571</v>
      </c>
      <c r="EF98" s="2">
        <v>6</v>
      </c>
      <c r="EG98" s="2" t="s">
        <v>90</v>
      </c>
      <c r="EH98" s="2">
        <v>0</v>
      </c>
      <c r="EI98" s="2" t="s">
        <v>6</v>
      </c>
      <c r="EJ98" s="2">
        <v>1</v>
      </c>
      <c r="EK98" s="2">
        <v>62001</v>
      </c>
      <c r="EL98" s="2" t="s">
        <v>193</v>
      </c>
      <c r="EM98" s="2" t="s">
        <v>194</v>
      </c>
      <c r="EN98" s="2"/>
      <c r="EO98" s="2" t="s">
        <v>6</v>
      </c>
      <c r="EP98" s="2"/>
      <c r="EQ98" s="2">
        <v>131072</v>
      </c>
      <c r="ER98" s="2">
        <v>729.71</v>
      </c>
      <c r="ES98" s="2">
        <v>152.72999999999999</v>
      </c>
      <c r="ET98" s="2">
        <v>0.66</v>
      </c>
      <c r="EU98" s="2">
        <v>0.12</v>
      </c>
      <c r="EV98" s="2">
        <v>576.32000000000005</v>
      </c>
      <c r="EW98" s="2">
        <v>65.94</v>
      </c>
      <c r="EX98" s="2">
        <v>0.01</v>
      </c>
      <c r="EY98" s="2">
        <v>0</v>
      </c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0"/>
        <v>0</v>
      </c>
      <c r="FS98" s="2">
        <v>0</v>
      </c>
      <c r="FT98" s="2"/>
      <c r="FU98" s="2"/>
      <c r="FV98" s="2"/>
      <c r="FW98" s="2"/>
      <c r="FX98" s="2">
        <v>80</v>
      </c>
      <c r="FY98" s="2">
        <v>50</v>
      </c>
      <c r="FZ98" s="2"/>
      <c r="GA98" s="2" t="s">
        <v>6</v>
      </c>
      <c r="GB98" s="2"/>
      <c r="GC98" s="2"/>
      <c r="GD98" s="2">
        <v>0</v>
      </c>
      <c r="GE98" s="2"/>
      <c r="GF98" s="2">
        <v>1165047729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31"/>
        <v>0</v>
      </c>
      <c r="GM98" s="2">
        <f t="shared" si="132"/>
        <v>45.86</v>
      </c>
      <c r="GN98" s="2">
        <f t="shared" si="133"/>
        <v>45.86</v>
      </c>
      <c r="GO98" s="2">
        <f t="shared" si="134"/>
        <v>0</v>
      </c>
      <c r="GP98" s="2">
        <f t="shared" si="135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36"/>
        <v>0</v>
      </c>
      <c r="GW98" s="2">
        <v>1</v>
      </c>
      <c r="GX98" s="2">
        <f t="shared" si="137"/>
        <v>0</v>
      </c>
      <c r="GY98" s="2"/>
      <c r="GZ98" s="2"/>
      <c r="HA98" s="2">
        <v>0</v>
      </c>
      <c r="HB98" s="2">
        <v>0</v>
      </c>
      <c r="HC98" s="2">
        <f t="shared" si="138"/>
        <v>0</v>
      </c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17</v>
      </c>
      <c r="B99">
        <v>1</v>
      </c>
      <c r="C99">
        <f>ROW(SmtRes!A280)</f>
        <v>280</v>
      </c>
      <c r="D99">
        <f>ROW(EtalonRes!A288)</f>
        <v>288</v>
      </c>
      <c r="E99" t="s">
        <v>199</v>
      </c>
      <c r="F99" t="s">
        <v>200</v>
      </c>
      <c r="G99" t="s">
        <v>201</v>
      </c>
      <c r="H99" t="s">
        <v>16</v>
      </c>
      <c r="I99">
        <f>ROUND(3.1/100,9)</f>
        <v>3.1E-2</v>
      </c>
      <c r="J99">
        <v>0</v>
      </c>
      <c r="O99">
        <f t="shared" si="105"/>
        <v>138.22</v>
      </c>
      <c r="P99">
        <f t="shared" si="106"/>
        <v>28.93</v>
      </c>
      <c r="Q99">
        <f t="shared" si="107"/>
        <v>0.13</v>
      </c>
      <c r="R99">
        <f t="shared" si="108"/>
        <v>0.02</v>
      </c>
      <c r="S99">
        <f t="shared" si="109"/>
        <v>109.16</v>
      </c>
      <c r="T99">
        <f t="shared" si="110"/>
        <v>0</v>
      </c>
      <c r="U99">
        <f t="shared" si="111"/>
        <v>2.0441400000000001</v>
      </c>
      <c r="V99">
        <f t="shared" si="112"/>
        <v>3.1E-4</v>
      </c>
      <c r="W99">
        <f t="shared" si="113"/>
        <v>0</v>
      </c>
      <c r="X99">
        <f t="shared" si="114"/>
        <v>87.34</v>
      </c>
      <c r="Y99">
        <f t="shared" si="115"/>
        <v>54.59</v>
      </c>
      <c r="AA99">
        <v>16784196</v>
      </c>
      <c r="AB99">
        <f t="shared" si="116"/>
        <v>729.71</v>
      </c>
      <c r="AC99">
        <f t="shared" si="99"/>
        <v>152.72999999999999</v>
      </c>
      <c r="AD99">
        <f t="shared" si="100"/>
        <v>0.66</v>
      </c>
      <c r="AE99">
        <f t="shared" si="101"/>
        <v>0.12</v>
      </c>
      <c r="AF99">
        <f t="shared" si="102"/>
        <v>576.32000000000005</v>
      </c>
      <c r="AG99">
        <f t="shared" si="117"/>
        <v>0</v>
      </c>
      <c r="AH99">
        <f t="shared" si="103"/>
        <v>65.94</v>
      </c>
      <c r="AI99">
        <f t="shared" si="104"/>
        <v>0.01</v>
      </c>
      <c r="AJ99">
        <f t="shared" si="118"/>
        <v>0</v>
      </c>
      <c r="AK99">
        <v>729.71</v>
      </c>
      <c r="AL99">
        <v>152.72999999999999</v>
      </c>
      <c r="AM99">
        <v>0.66</v>
      </c>
      <c r="AN99">
        <v>0.12</v>
      </c>
      <c r="AO99">
        <v>576.32000000000005</v>
      </c>
      <c r="AP99">
        <v>0</v>
      </c>
      <c r="AQ99">
        <v>65.94</v>
      </c>
      <c r="AR99">
        <v>0.01</v>
      </c>
      <c r="AS99">
        <v>0</v>
      </c>
      <c r="AT99">
        <v>80</v>
      </c>
      <c r="AU99">
        <v>50</v>
      </c>
      <c r="AV99">
        <v>1</v>
      </c>
      <c r="AW99">
        <v>1</v>
      </c>
      <c r="AZ99">
        <v>6.11</v>
      </c>
      <c r="BA99">
        <v>6.11</v>
      </c>
      <c r="BB99">
        <v>6.11</v>
      </c>
      <c r="BC99">
        <v>6.11</v>
      </c>
      <c r="BD99" t="s">
        <v>6</v>
      </c>
      <c r="BE99" t="s">
        <v>6</v>
      </c>
      <c r="BF99" t="s">
        <v>6</v>
      </c>
      <c r="BG99" t="s">
        <v>6</v>
      </c>
      <c r="BH99">
        <v>0</v>
      </c>
      <c r="BI99">
        <v>1</v>
      </c>
      <c r="BJ99" t="s">
        <v>202</v>
      </c>
      <c r="BM99">
        <v>62001</v>
      </c>
      <c r="BN99">
        <v>0</v>
      </c>
      <c r="BO99" t="s">
        <v>6</v>
      </c>
      <c r="BP99">
        <v>0</v>
      </c>
      <c r="BQ99">
        <v>6</v>
      </c>
      <c r="BR99">
        <v>0</v>
      </c>
      <c r="BS99">
        <v>6.11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80</v>
      </c>
      <c r="CA99">
        <v>50</v>
      </c>
      <c r="CE99">
        <v>0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19"/>
        <v>138.22</v>
      </c>
      <c r="CQ99">
        <f t="shared" si="120"/>
        <v>933.18029999999999</v>
      </c>
      <c r="CR99">
        <f t="shared" si="121"/>
        <v>4.0326000000000004</v>
      </c>
      <c r="CS99">
        <f t="shared" si="122"/>
        <v>0.73319999999999996</v>
      </c>
      <c r="CT99">
        <f t="shared" si="123"/>
        <v>3521.3152000000005</v>
      </c>
      <c r="CU99">
        <f t="shared" si="124"/>
        <v>0</v>
      </c>
      <c r="CV99">
        <f t="shared" si="125"/>
        <v>65.94</v>
      </c>
      <c r="CW99">
        <f t="shared" si="126"/>
        <v>0.01</v>
      </c>
      <c r="CX99">
        <f t="shared" si="127"/>
        <v>0</v>
      </c>
      <c r="CY99">
        <f t="shared" si="128"/>
        <v>87.343999999999994</v>
      </c>
      <c r="CZ99">
        <f t="shared" si="129"/>
        <v>54.59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16</v>
      </c>
      <c r="DW99" t="s">
        <v>16</v>
      </c>
      <c r="DX99">
        <v>100</v>
      </c>
      <c r="EE99">
        <v>16510571</v>
      </c>
      <c r="EF99">
        <v>6</v>
      </c>
      <c r="EG99" t="s">
        <v>90</v>
      </c>
      <c r="EH99">
        <v>0</v>
      </c>
      <c r="EI99" t="s">
        <v>6</v>
      </c>
      <c r="EJ99">
        <v>1</v>
      </c>
      <c r="EK99">
        <v>62001</v>
      </c>
      <c r="EL99" t="s">
        <v>193</v>
      </c>
      <c r="EM99" t="s">
        <v>194</v>
      </c>
      <c r="EO99" t="s">
        <v>6</v>
      </c>
      <c r="EQ99">
        <v>131072</v>
      </c>
      <c r="ER99">
        <v>729.71</v>
      </c>
      <c r="ES99">
        <v>152.72999999999999</v>
      </c>
      <c r="ET99">
        <v>0.66</v>
      </c>
      <c r="EU99">
        <v>0.12</v>
      </c>
      <c r="EV99">
        <v>576.32000000000005</v>
      </c>
      <c r="EW99">
        <v>65.94</v>
      </c>
      <c r="EX99">
        <v>0.01</v>
      </c>
      <c r="EY99">
        <v>0</v>
      </c>
      <c r="FQ99">
        <v>0</v>
      </c>
      <c r="FR99">
        <f t="shared" si="130"/>
        <v>0</v>
      </c>
      <c r="FS99">
        <v>0</v>
      </c>
      <c r="FX99">
        <v>80</v>
      </c>
      <c r="FY99">
        <v>50</v>
      </c>
      <c r="GA99" t="s">
        <v>6</v>
      </c>
      <c r="GD99">
        <v>0</v>
      </c>
      <c r="GF99">
        <v>1165047729</v>
      </c>
      <c r="GG99">
        <v>1</v>
      </c>
      <c r="GH99">
        <v>1</v>
      </c>
      <c r="GI99">
        <v>4</v>
      </c>
      <c r="GJ99">
        <v>0</v>
      </c>
      <c r="GK99">
        <f>ROUND(R99*(S12)/100,2)</f>
        <v>0</v>
      </c>
      <c r="GL99">
        <f t="shared" si="131"/>
        <v>0</v>
      </c>
      <c r="GM99">
        <f t="shared" si="132"/>
        <v>280.14999999999998</v>
      </c>
      <c r="GN99">
        <f t="shared" si="133"/>
        <v>280.14999999999998</v>
      </c>
      <c r="GO99">
        <f t="shared" si="134"/>
        <v>0</v>
      </c>
      <c r="GP99">
        <f t="shared" si="135"/>
        <v>0</v>
      </c>
      <c r="GR99">
        <v>0</v>
      </c>
      <c r="GS99">
        <v>3</v>
      </c>
      <c r="GT99">
        <v>0</v>
      </c>
      <c r="GU99" t="s">
        <v>6</v>
      </c>
      <c r="GV99">
        <f t="shared" si="136"/>
        <v>0</v>
      </c>
      <c r="GW99">
        <v>1</v>
      </c>
      <c r="GX99">
        <f t="shared" si="137"/>
        <v>0</v>
      </c>
      <c r="HA99">
        <v>0</v>
      </c>
      <c r="HB99">
        <v>0</v>
      </c>
      <c r="HC99">
        <f t="shared" si="138"/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273</v>
      </c>
      <c r="D100" s="2"/>
      <c r="E100" s="2" t="s">
        <v>203</v>
      </c>
      <c r="F100" s="2" t="s">
        <v>204</v>
      </c>
      <c r="G100" s="2" t="s">
        <v>205</v>
      </c>
      <c r="H100" s="2" t="s">
        <v>65</v>
      </c>
      <c r="I100" s="2">
        <f>I98*J100</f>
        <v>4.9899999999999999E-4</v>
      </c>
      <c r="J100" s="2">
        <v>1.6096774193548387E-2</v>
      </c>
      <c r="K100" s="2"/>
      <c r="L100" s="2"/>
      <c r="M100" s="2"/>
      <c r="N100" s="2"/>
      <c r="O100" s="2">
        <f t="shared" si="105"/>
        <v>10.51</v>
      </c>
      <c r="P100" s="2">
        <f t="shared" si="106"/>
        <v>10.51</v>
      </c>
      <c r="Q100" s="2">
        <f t="shared" si="107"/>
        <v>0</v>
      </c>
      <c r="R100" s="2">
        <f t="shared" si="108"/>
        <v>0</v>
      </c>
      <c r="S100" s="2">
        <f t="shared" si="109"/>
        <v>0</v>
      </c>
      <c r="T100" s="2">
        <f t="shared" si="110"/>
        <v>0</v>
      </c>
      <c r="U100" s="2">
        <f t="shared" si="111"/>
        <v>0</v>
      </c>
      <c r="V100" s="2">
        <f t="shared" si="112"/>
        <v>0</v>
      </c>
      <c r="W100" s="2">
        <f t="shared" si="113"/>
        <v>0</v>
      </c>
      <c r="X100" s="2">
        <f t="shared" si="114"/>
        <v>0</v>
      </c>
      <c r="Y100" s="2">
        <f t="shared" si="115"/>
        <v>0</v>
      </c>
      <c r="Z100" s="2"/>
      <c r="AA100" s="2">
        <v>16784195</v>
      </c>
      <c r="AB100" s="2">
        <f t="shared" si="116"/>
        <v>21058.67</v>
      </c>
      <c r="AC100" s="2">
        <f t="shared" si="99"/>
        <v>21058.67</v>
      </c>
      <c r="AD100" s="2">
        <f t="shared" si="100"/>
        <v>0</v>
      </c>
      <c r="AE100" s="2">
        <f t="shared" si="101"/>
        <v>0</v>
      </c>
      <c r="AF100" s="2">
        <f t="shared" si="102"/>
        <v>0</v>
      </c>
      <c r="AG100" s="2">
        <f t="shared" si="117"/>
        <v>0</v>
      </c>
      <c r="AH100" s="2">
        <f t="shared" si="103"/>
        <v>0</v>
      </c>
      <c r="AI100" s="2">
        <f t="shared" si="104"/>
        <v>0</v>
      </c>
      <c r="AJ100" s="2">
        <f t="shared" si="118"/>
        <v>0</v>
      </c>
      <c r="AK100" s="2">
        <v>21058.67</v>
      </c>
      <c r="AL100" s="2">
        <v>21058.67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80</v>
      </c>
      <c r="AU100" s="2">
        <v>50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3</v>
      </c>
      <c r="BI100" s="2">
        <v>1</v>
      </c>
      <c r="BJ100" s="2" t="s">
        <v>206</v>
      </c>
      <c r="BK100" s="2"/>
      <c r="BL100" s="2"/>
      <c r="BM100" s="2">
        <v>62001</v>
      </c>
      <c r="BN100" s="2">
        <v>0</v>
      </c>
      <c r="BO100" s="2" t="s">
        <v>6</v>
      </c>
      <c r="BP100" s="2">
        <v>0</v>
      </c>
      <c r="BQ100" s="2">
        <v>6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80</v>
      </c>
      <c r="CA100" s="2">
        <v>50</v>
      </c>
      <c r="CB100" s="2"/>
      <c r="CC100" s="2"/>
      <c r="CD100" s="2"/>
      <c r="CE100" s="2">
        <v>0</v>
      </c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</v>
      </c>
      <c r="CO100" s="2">
        <v>0</v>
      </c>
      <c r="CP100" s="2">
        <f t="shared" si="119"/>
        <v>10.51</v>
      </c>
      <c r="CQ100" s="2">
        <f t="shared" si="120"/>
        <v>21058.67</v>
      </c>
      <c r="CR100" s="2">
        <f t="shared" si="121"/>
        <v>0</v>
      </c>
      <c r="CS100" s="2">
        <f t="shared" si="122"/>
        <v>0</v>
      </c>
      <c r="CT100" s="2">
        <f t="shared" si="123"/>
        <v>0</v>
      </c>
      <c r="CU100" s="2">
        <f t="shared" si="124"/>
        <v>0</v>
      </c>
      <c r="CV100" s="2">
        <f t="shared" si="125"/>
        <v>0</v>
      </c>
      <c r="CW100" s="2">
        <f t="shared" si="126"/>
        <v>0</v>
      </c>
      <c r="CX100" s="2">
        <f t="shared" si="127"/>
        <v>0</v>
      </c>
      <c r="CY100" s="2">
        <f t="shared" si="128"/>
        <v>0</v>
      </c>
      <c r="CZ100" s="2">
        <f t="shared" si="129"/>
        <v>0</v>
      </c>
      <c r="DA100" s="2"/>
      <c r="DB100" s="2"/>
      <c r="DC100" s="2" t="s">
        <v>6</v>
      </c>
      <c r="DD100" s="2" t="s">
        <v>6</v>
      </c>
      <c r="DE100" s="2" t="s">
        <v>6</v>
      </c>
      <c r="DF100" s="2" t="s">
        <v>6</v>
      </c>
      <c r="DG100" s="2" t="s">
        <v>6</v>
      </c>
      <c r="DH100" s="2" t="s">
        <v>6</v>
      </c>
      <c r="DI100" s="2" t="s">
        <v>6</v>
      </c>
      <c r="DJ100" s="2" t="s">
        <v>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1009</v>
      </c>
      <c r="DV100" s="2" t="s">
        <v>65</v>
      </c>
      <c r="DW100" s="2" t="s">
        <v>65</v>
      </c>
      <c r="DX100" s="2">
        <v>1000</v>
      </c>
      <c r="DY100" s="2"/>
      <c r="DZ100" s="2"/>
      <c r="EA100" s="2"/>
      <c r="EB100" s="2"/>
      <c r="EC100" s="2"/>
      <c r="ED100" s="2"/>
      <c r="EE100" s="2">
        <v>16510571</v>
      </c>
      <c r="EF100" s="2">
        <v>6</v>
      </c>
      <c r="EG100" s="2" t="s">
        <v>90</v>
      </c>
      <c r="EH100" s="2">
        <v>0</v>
      </c>
      <c r="EI100" s="2" t="s">
        <v>6</v>
      </c>
      <c r="EJ100" s="2">
        <v>1</v>
      </c>
      <c r="EK100" s="2">
        <v>62001</v>
      </c>
      <c r="EL100" s="2" t="s">
        <v>193</v>
      </c>
      <c r="EM100" s="2" t="s">
        <v>194</v>
      </c>
      <c r="EN100" s="2"/>
      <c r="EO100" s="2" t="s">
        <v>6</v>
      </c>
      <c r="EP100" s="2"/>
      <c r="EQ100" s="2">
        <v>0</v>
      </c>
      <c r="ER100" s="2">
        <v>21058.67</v>
      </c>
      <c r="ES100" s="2">
        <v>21058.67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0"/>
        <v>0</v>
      </c>
      <c r="FS100" s="2">
        <v>0</v>
      </c>
      <c r="FT100" s="2"/>
      <c r="FU100" s="2"/>
      <c r="FV100" s="2"/>
      <c r="FW100" s="2"/>
      <c r="FX100" s="2">
        <v>80</v>
      </c>
      <c r="FY100" s="2">
        <v>50</v>
      </c>
      <c r="FZ100" s="2"/>
      <c r="GA100" s="2" t="s">
        <v>6</v>
      </c>
      <c r="GB100" s="2"/>
      <c r="GC100" s="2"/>
      <c r="GD100" s="2">
        <v>0</v>
      </c>
      <c r="GE100" s="2"/>
      <c r="GF100" s="2">
        <v>1129880761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31"/>
        <v>0</v>
      </c>
      <c r="GM100" s="2">
        <f t="shared" si="132"/>
        <v>10.51</v>
      </c>
      <c r="GN100" s="2">
        <f t="shared" si="133"/>
        <v>10.51</v>
      </c>
      <c r="GO100" s="2">
        <f t="shared" si="134"/>
        <v>0</v>
      </c>
      <c r="GP100" s="2">
        <f t="shared" si="135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36"/>
        <v>0</v>
      </c>
      <c r="GW100" s="2">
        <v>1</v>
      </c>
      <c r="GX100" s="2">
        <f t="shared" si="137"/>
        <v>0</v>
      </c>
      <c r="GY100" s="2"/>
      <c r="GZ100" s="2"/>
      <c r="HA100" s="2">
        <v>0</v>
      </c>
      <c r="HB100" s="2">
        <v>0</v>
      </c>
      <c r="HC100" s="2">
        <f t="shared" si="138"/>
        <v>0</v>
      </c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279</v>
      </c>
      <c r="E101" t="s">
        <v>203</v>
      </c>
      <c r="F101" t="s">
        <v>204</v>
      </c>
      <c r="G101" t="s">
        <v>205</v>
      </c>
      <c r="H101" t="s">
        <v>65</v>
      </c>
      <c r="I101">
        <f>I99*J101</f>
        <v>4.9899999999999999E-4</v>
      </c>
      <c r="J101">
        <v>1.6096774193548387E-2</v>
      </c>
      <c r="O101">
        <f t="shared" si="105"/>
        <v>64.209999999999994</v>
      </c>
      <c r="P101">
        <f t="shared" si="106"/>
        <v>64.209999999999994</v>
      </c>
      <c r="Q101">
        <f t="shared" si="107"/>
        <v>0</v>
      </c>
      <c r="R101">
        <f t="shared" si="108"/>
        <v>0</v>
      </c>
      <c r="S101">
        <f t="shared" si="109"/>
        <v>0</v>
      </c>
      <c r="T101">
        <f t="shared" si="110"/>
        <v>0</v>
      </c>
      <c r="U101">
        <f t="shared" si="111"/>
        <v>0</v>
      </c>
      <c r="V101">
        <f t="shared" si="112"/>
        <v>0</v>
      </c>
      <c r="W101">
        <f t="shared" si="113"/>
        <v>0</v>
      </c>
      <c r="X101">
        <f t="shared" si="114"/>
        <v>0</v>
      </c>
      <c r="Y101">
        <f t="shared" si="115"/>
        <v>0</v>
      </c>
      <c r="AA101">
        <v>16784196</v>
      </c>
      <c r="AB101">
        <f t="shared" si="116"/>
        <v>21058.67</v>
      </c>
      <c r="AC101">
        <f t="shared" si="99"/>
        <v>21058.67</v>
      </c>
      <c r="AD101">
        <f t="shared" si="100"/>
        <v>0</v>
      </c>
      <c r="AE101">
        <f t="shared" si="101"/>
        <v>0</v>
      </c>
      <c r="AF101">
        <f t="shared" si="102"/>
        <v>0</v>
      </c>
      <c r="AG101">
        <f t="shared" si="117"/>
        <v>0</v>
      </c>
      <c r="AH101">
        <f t="shared" si="103"/>
        <v>0</v>
      </c>
      <c r="AI101">
        <f t="shared" si="104"/>
        <v>0</v>
      </c>
      <c r="AJ101">
        <f t="shared" si="118"/>
        <v>0</v>
      </c>
      <c r="AK101">
        <v>21058.67</v>
      </c>
      <c r="AL101">
        <v>21058.67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80</v>
      </c>
      <c r="AU101">
        <v>50</v>
      </c>
      <c r="AV101">
        <v>1</v>
      </c>
      <c r="AW101">
        <v>1</v>
      </c>
      <c r="AZ101">
        <v>6.11</v>
      </c>
      <c r="BA101">
        <v>1</v>
      </c>
      <c r="BB101">
        <v>1</v>
      </c>
      <c r="BC101">
        <v>6.11</v>
      </c>
      <c r="BD101" t="s">
        <v>6</v>
      </c>
      <c r="BE101" t="s">
        <v>6</v>
      </c>
      <c r="BF101" t="s">
        <v>6</v>
      </c>
      <c r="BG101" t="s">
        <v>6</v>
      </c>
      <c r="BH101">
        <v>3</v>
      </c>
      <c r="BI101">
        <v>1</v>
      </c>
      <c r="BJ101" t="s">
        <v>206</v>
      </c>
      <c r="BM101">
        <v>62001</v>
      </c>
      <c r="BN101">
        <v>0</v>
      </c>
      <c r="BO101" t="s">
        <v>6</v>
      </c>
      <c r="BP101">
        <v>0</v>
      </c>
      <c r="BQ101">
        <v>6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80</v>
      </c>
      <c r="CA101">
        <v>50</v>
      </c>
      <c r="CE101">
        <v>0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119"/>
        <v>64.209999999999994</v>
      </c>
      <c r="CQ101">
        <f t="shared" si="120"/>
        <v>128668.4737</v>
      </c>
      <c r="CR101">
        <f t="shared" si="121"/>
        <v>0</v>
      </c>
      <c r="CS101">
        <f t="shared" si="122"/>
        <v>0</v>
      </c>
      <c r="CT101">
        <f t="shared" si="123"/>
        <v>0</v>
      </c>
      <c r="CU101">
        <f t="shared" si="124"/>
        <v>0</v>
      </c>
      <c r="CV101">
        <f t="shared" si="125"/>
        <v>0</v>
      </c>
      <c r="CW101">
        <f t="shared" si="126"/>
        <v>0</v>
      </c>
      <c r="CX101">
        <f t="shared" si="127"/>
        <v>0</v>
      </c>
      <c r="CY101">
        <f t="shared" si="128"/>
        <v>0</v>
      </c>
      <c r="CZ101">
        <f t="shared" si="129"/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1009</v>
      </c>
      <c r="DV101" t="s">
        <v>65</v>
      </c>
      <c r="DW101" t="s">
        <v>65</v>
      </c>
      <c r="DX101">
        <v>1000</v>
      </c>
      <c r="EE101">
        <v>16510571</v>
      </c>
      <c r="EF101">
        <v>6</v>
      </c>
      <c r="EG101" t="s">
        <v>90</v>
      </c>
      <c r="EH101">
        <v>0</v>
      </c>
      <c r="EI101" t="s">
        <v>6</v>
      </c>
      <c r="EJ101">
        <v>1</v>
      </c>
      <c r="EK101">
        <v>62001</v>
      </c>
      <c r="EL101" t="s">
        <v>193</v>
      </c>
      <c r="EM101" t="s">
        <v>194</v>
      </c>
      <c r="EO101" t="s">
        <v>6</v>
      </c>
      <c r="EQ101">
        <v>0</v>
      </c>
      <c r="ER101">
        <v>21058.67</v>
      </c>
      <c r="ES101">
        <v>21058.67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30"/>
        <v>0</v>
      </c>
      <c r="FS101">
        <v>0</v>
      </c>
      <c r="FX101">
        <v>80</v>
      </c>
      <c r="FY101">
        <v>50</v>
      </c>
      <c r="GA101" t="s">
        <v>6</v>
      </c>
      <c r="GD101">
        <v>0</v>
      </c>
      <c r="GF101">
        <v>1129880761</v>
      </c>
      <c r="GG101">
        <v>1</v>
      </c>
      <c r="GH101">
        <v>1</v>
      </c>
      <c r="GI101">
        <v>4</v>
      </c>
      <c r="GJ101">
        <v>0</v>
      </c>
      <c r="GK101">
        <f>ROUND(R101*(S12)/100,2)</f>
        <v>0</v>
      </c>
      <c r="GL101">
        <f t="shared" si="131"/>
        <v>0</v>
      </c>
      <c r="GM101">
        <f t="shared" si="132"/>
        <v>64.209999999999994</v>
      </c>
      <c r="GN101">
        <f t="shared" si="133"/>
        <v>64.209999999999994</v>
      </c>
      <c r="GO101">
        <f t="shared" si="134"/>
        <v>0</v>
      </c>
      <c r="GP101">
        <f t="shared" si="135"/>
        <v>0</v>
      </c>
      <c r="GR101">
        <v>0</v>
      </c>
      <c r="GS101">
        <v>3</v>
      </c>
      <c r="GT101">
        <v>0</v>
      </c>
      <c r="GU101" t="s">
        <v>6</v>
      </c>
      <c r="GV101">
        <f t="shared" si="136"/>
        <v>0</v>
      </c>
      <c r="GW101">
        <v>1</v>
      </c>
      <c r="GX101">
        <f t="shared" si="137"/>
        <v>0</v>
      </c>
      <c r="HA101">
        <v>0</v>
      </c>
      <c r="HB101">
        <v>0</v>
      </c>
      <c r="HC101">
        <f t="shared" si="138"/>
        <v>0</v>
      </c>
      <c r="IK101">
        <v>0</v>
      </c>
    </row>
    <row r="102" spans="1:255" x14ac:dyDescent="0.2">
      <c r="A102" s="2">
        <v>17</v>
      </c>
      <c r="B102" s="2">
        <v>1</v>
      </c>
      <c r="C102" s="2">
        <f>ROW(SmtRes!A282)</f>
        <v>282</v>
      </c>
      <c r="D102" s="2">
        <f>ROW(EtalonRes!A290)</f>
        <v>290</v>
      </c>
      <c r="E102" s="2" t="s">
        <v>207</v>
      </c>
      <c r="F102" s="2" t="s">
        <v>208</v>
      </c>
      <c r="G102" s="2" t="s">
        <v>209</v>
      </c>
      <c r="H102" s="2" t="s">
        <v>16</v>
      </c>
      <c r="I102" s="2">
        <f>ROUND(10.2/100,9)</f>
        <v>0.10199999999999999</v>
      </c>
      <c r="J102" s="2">
        <v>0</v>
      </c>
      <c r="K102" s="2"/>
      <c r="L102" s="2"/>
      <c r="M102" s="2"/>
      <c r="N102" s="2"/>
      <c r="O102" s="2">
        <f t="shared" si="105"/>
        <v>24.06</v>
      </c>
      <c r="P102" s="2">
        <f t="shared" si="106"/>
        <v>0</v>
      </c>
      <c r="Q102" s="2">
        <f t="shared" si="107"/>
        <v>0</v>
      </c>
      <c r="R102" s="2">
        <f t="shared" si="108"/>
        <v>0</v>
      </c>
      <c r="S102" s="2">
        <f t="shared" si="109"/>
        <v>24.06</v>
      </c>
      <c r="T102" s="2">
        <f t="shared" si="110"/>
        <v>0</v>
      </c>
      <c r="U102" s="2">
        <f t="shared" si="111"/>
        <v>2.8200959999999999</v>
      </c>
      <c r="V102" s="2">
        <f t="shared" si="112"/>
        <v>0</v>
      </c>
      <c r="W102" s="2">
        <f t="shared" si="113"/>
        <v>0</v>
      </c>
      <c r="X102" s="2">
        <f t="shared" si="114"/>
        <v>25.5</v>
      </c>
      <c r="Y102" s="2">
        <f t="shared" si="115"/>
        <v>12.99</v>
      </c>
      <c r="Z102" s="2"/>
      <c r="AA102" s="2">
        <v>16784195</v>
      </c>
      <c r="AB102" s="2">
        <f t="shared" si="116"/>
        <v>235.84</v>
      </c>
      <c r="AC102" s="2">
        <f>ROUND(((ES102*0)),2)</f>
        <v>0</v>
      </c>
      <c r="AD102" s="2">
        <f>ROUND(((((ET102*0.8))-((EU102*0.8)))+AE102),2)</f>
        <v>0</v>
      </c>
      <c r="AE102" s="2">
        <f>ROUND(((EU102*0.8)),2)</f>
        <v>0</v>
      </c>
      <c r="AF102" s="2">
        <f>ROUND(((EV102*0.8)),2)</f>
        <v>235.84</v>
      </c>
      <c r="AG102" s="2">
        <f t="shared" si="117"/>
        <v>0</v>
      </c>
      <c r="AH102" s="2">
        <f>((EW102*0.8))</f>
        <v>27.648000000000003</v>
      </c>
      <c r="AI102" s="2">
        <f>((EX102*0.8))</f>
        <v>0</v>
      </c>
      <c r="AJ102" s="2">
        <f t="shared" si="118"/>
        <v>0</v>
      </c>
      <c r="AK102" s="2">
        <v>70425.8</v>
      </c>
      <c r="AL102" s="2">
        <v>70131</v>
      </c>
      <c r="AM102" s="2">
        <v>0</v>
      </c>
      <c r="AN102" s="2">
        <v>0</v>
      </c>
      <c r="AO102" s="2">
        <v>294.8</v>
      </c>
      <c r="AP102" s="2">
        <v>0</v>
      </c>
      <c r="AQ102" s="2">
        <v>34.56</v>
      </c>
      <c r="AR102" s="2">
        <v>0</v>
      </c>
      <c r="AS102" s="2">
        <v>0</v>
      </c>
      <c r="AT102" s="2">
        <v>106</v>
      </c>
      <c r="AU102" s="2">
        <v>54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0</v>
      </c>
      <c r="BI102" s="2">
        <v>1</v>
      </c>
      <c r="BJ102" s="2" t="s">
        <v>210</v>
      </c>
      <c r="BK102" s="2"/>
      <c r="BL102" s="2"/>
      <c r="BM102" s="2">
        <v>10001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118</v>
      </c>
      <c r="CA102" s="2">
        <v>63</v>
      </c>
      <c r="CB102" s="2"/>
      <c r="CC102" s="2"/>
      <c r="CD102" s="2"/>
      <c r="CE102" s="2">
        <v>0</v>
      </c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826</v>
      </c>
      <c r="CO102" s="2">
        <v>0</v>
      </c>
      <c r="CP102" s="2">
        <f t="shared" si="119"/>
        <v>24.06</v>
      </c>
      <c r="CQ102" s="2">
        <f t="shared" si="120"/>
        <v>0</v>
      </c>
      <c r="CR102" s="2">
        <f t="shared" si="121"/>
        <v>0</v>
      </c>
      <c r="CS102" s="2">
        <f t="shared" si="122"/>
        <v>0</v>
      </c>
      <c r="CT102" s="2">
        <f t="shared" si="123"/>
        <v>235.84</v>
      </c>
      <c r="CU102" s="2">
        <f t="shared" si="124"/>
        <v>0</v>
      </c>
      <c r="CV102" s="2">
        <f t="shared" si="125"/>
        <v>27.648000000000003</v>
      </c>
      <c r="CW102" s="2">
        <f t="shared" si="126"/>
        <v>0</v>
      </c>
      <c r="CX102" s="2">
        <f t="shared" si="127"/>
        <v>0</v>
      </c>
      <c r="CY102" s="2">
        <f t="shared" si="128"/>
        <v>25.503599999999995</v>
      </c>
      <c r="CZ102" s="2">
        <f t="shared" si="129"/>
        <v>12.9924</v>
      </c>
      <c r="DA102" s="2"/>
      <c r="DB102" s="2"/>
      <c r="DC102" s="2" t="s">
        <v>6</v>
      </c>
      <c r="DD102" s="2" t="s">
        <v>81</v>
      </c>
      <c r="DE102" s="2" t="s">
        <v>211</v>
      </c>
      <c r="DF102" s="2" t="s">
        <v>211</v>
      </c>
      <c r="DG102" s="2" t="s">
        <v>211</v>
      </c>
      <c r="DH102" s="2" t="s">
        <v>6</v>
      </c>
      <c r="DI102" s="2" t="s">
        <v>211</v>
      </c>
      <c r="DJ102" s="2" t="s">
        <v>211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1005</v>
      </c>
      <c r="DV102" s="2" t="s">
        <v>16</v>
      </c>
      <c r="DW102" s="2" t="s">
        <v>16</v>
      </c>
      <c r="DX102" s="2">
        <v>100</v>
      </c>
      <c r="DY102" s="2"/>
      <c r="DZ102" s="2"/>
      <c r="EA102" s="2"/>
      <c r="EB102" s="2"/>
      <c r="EC102" s="2"/>
      <c r="ED102" s="2"/>
      <c r="EE102" s="2">
        <v>16510487</v>
      </c>
      <c r="EF102" s="2">
        <v>2</v>
      </c>
      <c r="EG102" s="2" t="s">
        <v>18</v>
      </c>
      <c r="EH102" s="2">
        <v>0</v>
      </c>
      <c r="EI102" s="2" t="s">
        <v>6</v>
      </c>
      <c r="EJ102" s="2">
        <v>1</v>
      </c>
      <c r="EK102" s="2">
        <v>10001</v>
      </c>
      <c r="EL102" s="2" t="s">
        <v>29</v>
      </c>
      <c r="EM102" s="2" t="s">
        <v>30</v>
      </c>
      <c r="EN102" s="2"/>
      <c r="EO102" s="2" t="s">
        <v>212</v>
      </c>
      <c r="EP102" s="2"/>
      <c r="EQ102" s="2">
        <v>0</v>
      </c>
      <c r="ER102" s="2">
        <v>70425.8</v>
      </c>
      <c r="ES102" s="2">
        <v>70131</v>
      </c>
      <c r="ET102" s="2">
        <v>0</v>
      </c>
      <c r="EU102" s="2">
        <v>0</v>
      </c>
      <c r="EV102" s="2">
        <v>294.8</v>
      </c>
      <c r="EW102" s="2">
        <v>34.56</v>
      </c>
      <c r="EX102" s="2">
        <v>0</v>
      </c>
      <c r="EY102" s="2">
        <v>0</v>
      </c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0"/>
        <v>0</v>
      </c>
      <c r="FS102" s="2">
        <v>0</v>
      </c>
      <c r="FT102" s="2" t="s">
        <v>21</v>
      </c>
      <c r="FU102" s="2" t="s">
        <v>22</v>
      </c>
      <c r="FV102" s="2"/>
      <c r="FW102" s="2"/>
      <c r="FX102" s="2">
        <v>106.2</v>
      </c>
      <c r="FY102" s="2">
        <v>53.55</v>
      </c>
      <c r="FZ102" s="2"/>
      <c r="GA102" s="2" t="s">
        <v>6</v>
      </c>
      <c r="GB102" s="2"/>
      <c r="GC102" s="2"/>
      <c r="GD102" s="2">
        <v>0</v>
      </c>
      <c r="GE102" s="2"/>
      <c r="GF102" s="2">
        <v>-1283629436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31"/>
        <v>0</v>
      </c>
      <c r="GM102" s="2">
        <f t="shared" si="132"/>
        <v>62.55</v>
      </c>
      <c r="GN102" s="2">
        <f t="shared" si="133"/>
        <v>62.55</v>
      </c>
      <c r="GO102" s="2">
        <f t="shared" si="134"/>
        <v>0</v>
      </c>
      <c r="GP102" s="2">
        <f t="shared" si="135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36"/>
        <v>0</v>
      </c>
      <c r="GW102" s="2">
        <v>1</v>
      </c>
      <c r="GX102" s="2">
        <f t="shared" si="137"/>
        <v>0</v>
      </c>
      <c r="GY102" s="2"/>
      <c r="GZ102" s="2"/>
      <c r="HA102" s="2">
        <v>0</v>
      </c>
      <c r="HB102" s="2">
        <v>0</v>
      </c>
      <c r="HC102" s="2">
        <f t="shared" si="138"/>
        <v>0</v>
      </c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17</v>
      </c>
      <c r="B103">
        <v>1</v>
      </c>
      <c r="C103">
        <f>ROW(SmtRes!A284)</f>
        <v>284</v>
      </c>
      <c r="D103">
        <f>ROW(EtalonRes!A292)</f>
        <v>292</v>
      </c>
      <c r="E103" t="s">
        <v>207</v>
      </c>
      <c r="F103" t="s">
        <v>208</v>
      </c>
      <c r="G103" t="s">
        <v>209</v>
      </c>
      <c r="H103" t="s">
        <v>16</v>
      </c>
      <c r="I103">
        <f>ROUND(10.2/100,9)</f>
        <v>0.10199999999999999</v>
      </c>
      <c r="J103">
        <v>0</v>
      </c>
      <c r="O103">
        <f t="shared" si="105"/>
        <v>146.97999999999999</v>
      </c>
      <c r="P103">
        <f t="shared" si="106"/>
        <v>0</v>
      </c>
      <c r="Q103">
        <f t="shared" si="107"/>
        <v>0</v>
      </c>
      <c r="R103">
        <f t="shared" si="108"/>
        <v>0</v>
      </c>
      <c r="S103">
        <f t="shared" si="109"/>
        <v>146.97999999999999</v>
      </c>
      <c r="T103">
        <f t="shared" si="110"/>
        <v>0</v>
      </c>
      <c r="U103">
        <f t="shared" si="111"/>
        <v>2.8200959999999999</v>
      </c>
      <c r="V103">
        <f t="shared" si="112"/>
        <v>0</v>
      </c>
      <c r="W103">
        <f t="shared" si="113"/>
        <v>0</v>
      </c>
      <c r="X103">
        <f t="shared" si="114"/>
        <v>155.80000000000001</v>
      </c>
      <c r="Y103">
        <f t="shared" si="115"/>
        <v>79.37</v>
      </c>
      <c r="AA103">
        <v>16784196</v>
      </c>
      <c r="AB103">
        <f t="shared" si="116"/>
        <v>235.84</v>
      </c>
      <c r="AC103">
        <f>ROUND(((ES103*0)),2)</f>
        <v>0</v>
      </c>
      <c r="AD103">
        <f>ROUND(((((ET103*0.8))-((EU103*0.8)))+AE103),2)</f>
        <v>0</v>
      </c>
      <c r="AE103">
        <f>ROUND(((EU103*0.8)),2)</f>
        <v>0</v>
      </c>
      <c r="AF103">
        <f>ROUND(((EV103*0.8)),2)</f>
        <v>235.84</v>
      </c>
      <c r="AG103">
        <f t="shared" si="117"/>
        <v>0</v>
      </c>
      <c r="AH103">
        <f>((EW103*0.8))</f>
        <v>27.648000000000003</v>
      </c>
      <c r="AI103">
        <f>((EX103*0.8))</f>
        <v>0</v>
      </c>
      <c r="AJ103">
        <f t="shared" si="118"/>
        <v>0</v>
      </c>
      <c r="AK103">
        <v>70425.8</v>
      </c>
      <c r="AL103">
        <v>70131</v>
      </c>
      <c r="AM103">
        <v>0</v>
      </c>
      <c r="AN103">
        <v>0</v>
      </c>
      <c r="AO103">
        <v>294.8</v>
      </c>
      <c r="AP103">
        <v>0</v>
      </c>
      <c r="AQ103">
        <v>34.56</v>
      </c>
      <c r="AR103">
        <v>0</v>
      </c>
      <c r="AS103">
        <v>0</v>
      </c>
      <c r="AT103">
        <v>106</v>
      </c>
      <c r="AU103">
        <v>54</v>
      </c>
      <c r="AV103">
        <v>1</v>
      </c>
      <c r="AW103">
        <v>1</v>
      </c>
      <c r="AZ103">
        <v>6.11</v>
      </c>
      <c r="BA103">
        <v>6.11</v>
      </c>
      <c r="BB103">
        <v>6.11</v>
      </c>
      <c r="BC103">
        <v>6.11</v>
      </c>
      <c r="BD103" t="s">
        <v>6</v>
      </c>
      <c r="BE103" t="s">
        <v>6</v>
      </c>
      <c r="BF103" t="s">
        <v>6</v>
      </c>
      <c r="BG103" t="s">
        <v>6</v>
      </c>
      <c r="BH103">
        <v>0</v>
      </c>
      <c r="BI103">
        <v>1</v>
      </c>
      <c r="BJ103" t="s">
        <v>210</v>
      </c>
      <c r="BM103">
        <v>10001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6.11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118</v>
      </c>
      <c r="CA103">
        <v>63</v>
      </c>
      <c r="CE103">
        <v>0</v>
      </c>
      <c r="CF103">
        <v>0</v>
      </c>
      <c r="CG103">
        <v>0</v>
      </c>
      <c r="CM103">
        <v>0</v>
      </c>
      <c r="CN103" t="s">
        <v>826</v>
      </c>
      <c r="CO103">
        <v>0</v>
      </c>
      <c r="CP103">
        <f t="shared" si="119"/>
        <v>146.97999999999999</v>
      </c>
      <c r="CQ103">
        <f t="shared" si="120"/>
        <v>0</v>
      </c>
      <c r="CR103">
        <f t="shared" si="121"/>
        <v>0</v>
      </c>
      <c r="CS103">
        <f t="shared" si="122"/>
        <v>0</v>
      </c>
      <c r="CT103">
        <f t="shared" si="123"/>
        <v>1440.9824000000001</v>
      </c>
      <c r="CU103">
        <f t="shared" si="124"/>
        <v>0</v>
      </c>
      <c r="CV103">
        <f t="shared" si="125"/>
        <v>27.648000000000003</v>
      </c>
      <c r="CW103">
        <f t="shared" si="126"/>
        <v>0</v>
      </c>
      <c r="CX103">
        <f t="shared" si="127"/>
        <v>0</v>
      </c>
      <c r="CY103">
        <f t="shared" si="128"/>
        <v>155.7988</v>
      </c>
      <c r="CZ103">
        <f t="shared" si="129"/>
        <v>79.369199999999992</v>
      </c>
      <c r="DC103" t="s">
        <v>6</v>
      </c>
      <c r="DD103" t="s">
        <v>81</v>
      </c>
      <c r="DE103" t="s">
        <v>211</v>
      </c>
      <c r="DF103" t="s">
        <v>211</v>
      </c>
      <c r="DG103" t="s">
        <v>211</v>
      </c>
      <c r="DH103" t="s">
        <v>6</v>
      </c>
      <c r="DI103" t="s">
        <v>211</v>
      </c>
      <c r="DJ103" t="s">
        <v>211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1005</v>
      </c>
      <c r="DV103" t="s">
        <v>16</v>
      </c>
      <c r="DW103" t="s">
        <v>16</v>
      </c>
      <c r="DX103">
        <v>100</v>
      </c>
      <c r="EE103">
        <v>16510487</v>
      </c>
      <c r="EF103">
        <v>2</v>
      </c>
      <c r="EG103" t="s">
        <v>18</v>
      </c>
      <c r="EH103">
        <v>0</v>
      </c>
      <c r="EI103" t="s">
        <v>6</v>
      </c>
      <c r="EJ103">
        <v>1</v>
      </c>
      <c r="EK103">
        <v>10001</v>
      </c>
      <c r="EL103" t="s">
        <v>29</v>
      </c>
      <c r="EM103" t="s">
        <v>30</v>
      </c>
      <c r="EO103" t="s">
        <v>212</v>
      </c>
      <c r="EQ103">
        <v>0</v>
      </c>
      <c r="ER103">
        <v>70425.8</v>
      </c>
      <c r="ES103">
        <v>70131</v>
      </c>
      <c r="ET103">
        <v>0</v>
      </c>
      <c r="EU103">
        <v>0</v>
      </c>
      <c r="EV103">
        <v>294.8</v>
      </c>
      <c r="EW103">
        <v>34.56</v>
      </c>
      <c r="EX103">
        <v>0</v>
      </c>
      <c r="EY103">
        <v>0</v>
      </c>
      <c r="FQ103">
        <v>0</v>
      </c>
      <c r="FR103">
        <f t="shared" si="130"/>
        <v>0</v>
      </c>
      <c r="FS103">
        <v>0</v>
      </c>
      <c r="FT103" t="s">
        <v>21</v>
      </c>
      <c r="FU103" t="s">
        <v>22</v>
      </c>
      <c r="FX103">
        <v>106.2</v>
      </c>
      <c r="FY103">
        <v>53.55</v>
      </c>
      <c r="GA103" t="s">
        <v>6</v>
      </c>
      <c r="GD103">
        <v>0</v>
      </c>
      <c r="GF103">
        <v>-1283629436</v>
      </c>
      <c r="GG103">
        <v>1</v>
      </c>
      <c r="GH103">
        <v>1</v>
      </c>
      <c r="GI103">
        <v>4</v>
      </c>
      <c r="GJ103">
        <v>0</v>
      </c>
      <c r="GK103">
        <f>ROUND(R103*(S12)/100,2)</f>
        <v>0</v>
      </c>
      <c r="GL103">
        <f t="shared" si="131"/>
        <v>0</v>
      </c>
      <c r="GM103">
        <f t="shared" si="132"/>
        <v>382.15</v>
      </c>
      <c r="GN103">
        <f t="shared" si="133"/>
        <v>382.15</v>
      </c>
      <c r="GO103">
        <f t="shared" si="134"/>
        <v>0</v>
      </c>
      <c r="GP103">
        <f t="shared" si="135"/>
        <v>0</v>
      </c>
      <c r="GR103">
        <v>0</v>
      </c>
      <c r="GS103">
        <v>3</v>
      </c>
      <c r="GT103">
        <v>0</v>
      </c>
      <c r="GU103" t="s">
        <v>6</v>
      </c>
      <c r="GV103">
        <f t="shared" si="136"/>
        <v>0</v>
      </c>
      <c r="GW103">
        <v>1</v>
      </c>
      <c r="GX103">
        <f t="shared" si="137"/>
        <v>0</v>
      </c>
      <c r="HA103">
        <v>0</v>
      </c>
      <c r="HB103">
        <v>0</v>
      </c>
      <c r="HC103">
        <f t="shared" si="138"/>
        <v>0</v>
      </c>
      <c r="IK103">
        <v>0</v>
      </c>
    </row>
    <row r="104" spans="1:255" x14ac:dyDescent="0.2">
      <c r="A104" s="2">
        <v>17</v>
      </c>
      <c r="B104" s="2">
        <v>1</v>
      </c>
      <c r="C104" s="2">
        <f>ROW(SmtRes!A288)</f>
        <v>288</v>
      </c>
      <c r="D104" s="2">
        <f>ROW(EtalonRes!A294)</f>
        <v>294</v>
      </c>
      <c r="E104" s="2" t="s">
        <v>213</v>
      </c>
      <c r="F104" s="2" t="s">
        <v>208</v>
      </c>
      <c r="G104" s="2" t="s">
        <v>214</v>
      </c>
      <c r="H104" s="2" t="s">
        <v>16</v>
      </c>
      <c r="I104" s="2">
        <f>ROUND(21/100,9)</f>
        <v>0.21</v>
      </c>
      <c r="J104" s="2">
        <v>0</v>
      </c>
      <c r="K104" s="2"/>
      <c r="L104" s="2"/>
      <c r="M104" s="2"/>
      <c r="N104" s="2"/>
      <c r="O104" s="2">
        <f t="shared" si="105"/>
        <v>14798.7</v>
      </c>
      <c r="P104" s="2">
        <f t="shared" si="106"/>
        <v>14727.51</v>
      </c>
      <c r="Q104" s="2">
        <f t="shared" si="107"/>
        <v>0</v>
      </c>
      <c r="R104" s="2">
        <f t="shared" si="108"/>
        <v>0</v>
      </c>
      <c r="S104" s="2">
        <f t="shared" si="109"/>
        <v>71.19</v>
      </c>
      <c r="T104" s="2">
        <f t="shared" si="110"/>
        <v>0</v>
      </c>
      <c r="U104" s="2">
        <f t="shared" si="111"/>
        <v>8.3462399999999999</v>
      </c>
      <c r="V104" s="2">
        <f t="shared" si="112"/>
        <v>0</v>
      </c>
      <c r="W104" s="2">
        <f t="shared" si="113"/>
        <v>0</v>
      </c>
      <c r="X104" s="2">
        <f t="shared" si="114"/>
        <v>75.459999999999994</v>
      </c>
      <c r="Y104" s="2">
        <f t="shared" si="115"/>
        <v>38.44</v>
      </c>
      <c r="Z104" s="2"/>
      <c r="AA104" s="2">
        <v>16784195</v>
      </c>
      <c r="AB104" s="2">
        <f t="shared" si="116"/>
        <v>70470.02</v>
      </c>
      <c r="AC104" s="2">
        <f t="shared" ref="AC104:AC111" si="139">ROUND((ES104),2)</f>
        <v>70131</v>
      </c>
      <c r="AD104" s="2">
        <f>ROUND(((((ET104*1.25))-((EU104*1.25)))+AE104),2)</f>
        <v>0</v>
      </c>
      <c r="AE104" s="2">
        <f>ROUND(((EU104*1.25)),2)</f>
        <v>0</v>
      </c>
      <c r="AF104" s="2">
        <f>ROUND(((EV104*1.15)),2)</f>
        <v>339.02</v>
      </c>
      <c r="AG104" s="2">
        <f t="shared" si="117"/>
        <v>0</v>
      </c>
      <c r="AH104" s="2">
        <f>((EW104*1.15))</f>
        <v>39.744</v>
      </c>
      <c r="AI104" s="2">
        <f>((EX104*1.25))</f>
        <v>0</v>
      </c>
      <c r="AJ104" s="2">
        <f t="shared" si="118"/>
        <v>0</v>
      </c>
      <c r="AK104" s="2">
        <v>70425.8</v>
      </c>
      <c r="AL104" s="2">
        <v>70131</v>
      </c>
      <c r="AM104" s="2">
        <v>0</v>
      </c>
      <c r="AN104" s="2">
        <v>0</v>
      </c>
      <c r="AO104" s="2">
        <v>294.8</v>
      </c>
      <c r="AP104" s="2">
        <v>0</v>
      </c>
      <c r="AQ104" s="2">
        <v>34.56</v>
      </c>
      <c r="AR104" s="2">
        <v>0</v>
      </c>
      <c r="AS104" s="2">
        <v>0</v>
      </c>
      <c r="AT104" s="2">
        <v>106</v>
      </c>
      <c r="AU104" s="2">
        <v>54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0</v>
      </c>
      <c r="BI104" s="2">
        <v>1</v>
      </c>
      <c r="BJ104" s="2" t="s">
        <v>210</v>
      </c>
      <c r="BK104" s="2"/>
      <c r="BL104" s="2"/>
      <c r="BM104" s="2">
        <v>10001</v>
      </c>
      <c r="BN104" s="2">
        <v>0</v>
      </c>
      <c r="BO104" s="2" t="s">
        <v>6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118</v>
      </c>
      <c r="CA104" s="2">
        <v>63</v>
      </c>
      <c r="CB104" s="2"/>
      <c r="CC104" s="2"/>
      <c r="CD104" s="2"/>
      <c r="CE104" s="2">
        <v>0</v>
      </c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824</v>
      </c>
      <c r="CO104" s="2">
        <v>0</v>
      </c>
      <c r="CP104" s="2">
        <f t="shared" si="119"/>
        <v>14798.7</v>
      </c>
      <c r="CQ104" s="2">
        <f t="shared" si="120"/>
        <v>70131</v>
      </c>
      <c r="CR104" s="2">
        <f t="shared" si="121"/>
        <v>0</v>
      </c>
      <c r="CS104" s="2">
        <f t="shared" si="122"/>
        <v>0</v>
      </c>
      <c r="CT104" s="2">
        <f t="shared" si="123"/>
        <v>339.02</v>
      </c>
      <c r="CU104" s="2">
        <f t="shared" si="124"/>
        <v>0</v>
      </c>
      <c r="CV104" s="2">
        <f t="shared" si="125"/>
        <v>39.744</v>
      </c>
      <c r="CW104" s="2">
        <f t="shared" si="126"/>
        <v>0</v>
      </c>
      <c r="CX104" s="2">
        <f t="shared" si="127"/>
        <v>0</v>
      </c>
      <c r="CY104" s="2">
        <f t="shared" si="128"/>
        <v>75.461399999999998</v>
      </c>
      <c r="CZ104" s="2">
        <f t="shared" si="129"/>
        <v>38.442599999999999</v>
      </c>
      <c r="DA104" s="2"/>
      <c r="DB104" s="2"/>
      <c r="DC104" s="2" t="s">
        <v>6</v>
      </c>
      <c r="DD104" s="2" t="s">
        <v>6</v>
      </c>
      <c r="DE104" s="2" t="s">
        <v>27</v>
      </c>
      <c r="DF104" s="2" t="s">
        <v>27</v>
      </c>
      <c r="DG104" s="2" t="s">
        <v>28</v>
      </c>
      <c r="DH104" s="2" t="s">
        <v>6</v>
      </c>
      <c r="DI104" s="2" t="s">
        <v>28</v>
      </c>
      <c r="DJ104" s="2" t="s">
        <v>27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1005</v>
      </c>
      <c r="DV104" s="2" t="s">
        <v>16</v>
      </c>
      <c r="DW104" s="2" t="s">
        <v>16</v>
      </c>
      <c r="DX104" s="2">
        <v>100</v>
      </c>
      <c r="DY104" s="2"/>
      <c r="DZ104" s="2"/>
      <c r="EA104" s="2"/>
      <c r="EB104" s="2"/>
      <c r="EC104" s="2"/>
      <c r="ED104" s="2"/>
      <c r="EE104" s="2">
        <v>16510487</v>
      </c>
      <c r="EF104" s="2">
        <v>2</v>
      </c>
      <c r="EG104" s="2" t="s">
        <v>18</v>
      </c>
      <c r="EH104" s="2">
        <v>0</v>
      </c>
      <c r="EI104" s="2" t="s">
        <v>6</v>
      </c>
      <c r="EJ104" s="2">
        <v>1</v>
      </c>
      <c r="EK104" s="2">
        <v>10001</v>
      </c>
      <c r="EL104" s="2" t="s">
        <v>29</v>
      </c>
      <c r="EM104" s="2" t="s">
        <v>30</v>
      </c>
      <c r="EN104" s="2"/>
      <c r="EO104" s="2" t="s">
        <v>31</v>
      </c>
      <c r="EP104" s="2"/>
      <c r="EQ104" s="2">
        <v>131072</v>
      </c>
      <c r="ER104" s="2">
        <v>70425.8</v>
      </c>
      <c r="ES104" s="2">
        <v>70131</v>
      </c>
      <c r="ET104" s="2">
        <v>0</v>
      </c>
      <c r="EU104" s="2">
        <v>0</v>
      </c>
      <c r="EV104" s="2">
        <v>294.8</v>
      </c>
      <c r="EW104" s="2">
        <v>34.56</v>
      </c>
      <c r="EX104" s="2">
        <v>0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0"/>
        <v>0</v>
      </c>
      <c r="FS104" s="2">
        <v>0</v>
      </c>
      <c r="FT104" s="2" t="s">
        <v>21</v>
      </c>
      <c r="FU104" s="2" t="s">
        <v>22</v>
      </c>
      <c r="FV104" s="2"/>
      <c r="FW104" s="2"/>
      <c r="FX104" s="2">
        <v>106.2</v>
      </c>
      <c r="FY104" s="2">
        <v>53.55</v>
      </c>
      <c r="FZ104" s="2"/>
      <c r="GA104" s="2" t="s">
        <v>6</v>
      </c>
      <c r="GB104" s="2"/>
      <c r="GC104" s="2"/>
      <c r="GD104" s="2">
        <v>0</v>
      </c>
      <c r="GE104" s="2"/>
      <c r="GF104" s="2">
        <v>92801605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31"/>
        <v>0</v>
      </c>
      <c r="GM104" s="2">
        <f t="shared" si="132"/>
        <v>14912.6</v>
      </c>
      <c r="GN104" s="2">
        <f t="shared" si="133"/>
        <v>14912.6</v>
      </c>
      <c r="GO104" s="2">
        <f t="shared" si="134"/>
        <v>0</v>
      </c>
      <c r="GP104" s="2">
        <f t="shared" si="135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36"/>
        <v>0</v>
      </c>
      <c r="GW104" s="2">
        <v>1</v>
      </c>
      <c r="GX104" s="2">
        <f t="shared" si="137"/>
        <v>0</v>
      </c>
      <c r="GY104" s="2"/>
      <c r="GZ104" s="2"/>
      <c r="HA104" s="2">
        <v>0</v>
      </c>
      <c r="HB104" s="2">
        <v>0</v>
      </c>
      <c r="HC104" s="2">
        <f t="shared" si="138"/>
        <v>0</v>
      </c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C105">
        <f>ROW(SmtRes!A292)</f>
        <v>292</v>
      </c>
      <c r="D105">
        <f>ROW(EtalonRes!A296)</f>
        <v>296</v>
      </c>
      <c r="E105" t="s">
        <v>213</v>
      </c>
      <c r="F105" t="s">
        <v>208</v>
      </c>
      <c r="G105" t="s">
        <v>214</v>
      </c>
      <c r="H105" t="s">
        <v>16</v>
      </c>
      <c r="I105">
        <f>ROUND(21/100,9)</f>
        <v>0.21</v>
      </c>
      <c r="J105">
        <v>0</v>
      </c>
      <c r="O105">
        <f t="shared" si="105"/>
        <v>90420.09</v>
      </c>
      <c r="P105">
        <f t="shared" si="106"/>
        <v>89985.09</v>
      </c>
      <c r="Q105">
        <f t="shared" si="107"/>
        <v>0</v>
      </c>
      <c r="R105">
        <f t="shared" si="108"/>
        <v>0</v>
      </c>
      <c r="S105">
        <f t="shared" si="109"/>
        <v>435</v>
      </c>
      <c r="T105">
        <f t="shared" si="110"/>
        <v>0</v>
      </c>
      <c r="U105">
        <f t="shared" si="111"/>
        <v>8.3462399999999999</v>
      </c>
      <c r="V105">
        <f t="shared" si="112"/>
        <v>0</v>
      </c>
      <c r="W105">
        <f t="shared" si="113"/>
        <v>0</v>
      </c>
      <c r="X105">
        <f t="shared" si="114"/>
        <v>461.1</v>
      </c>
      <c r="Y105">
        <f t="shared" si="115"/>
        <v>234.9</v>
      </c>
      <c r="AA105">
        <v>16784196</v>
      </c>
      <c r="AB105">
        <f t="shared" si="116"/>
        <v>70470.02</v>
      </c>
      <c r="AC105">
        <f t="shared" si="139"/>
        <v>70131</v>
      </c>
      <c r="AD105">
        <f>ROUND(((((ET105*1.25))-((EU105*1.25)))+AE105),2)</f>
        <v>0</v>
      </c>
      <c r="AE105">
        <f>ROUND(((EU105*1.25)),2)</f>
        <v>0</v>
      </c>
      <c r="AF105">
        <f>ROUND(((EV105*1.15)),2)</f>
        <v>339.02</v>
      </c>
      <c r="AG105">
        <f t="shared" si="117"/>
        <v>0</v>
      </c>
      <c r="AH105">
        <f>((EW105*1.15))</f>
        <v>39.744</v>
      </c>
      <c r="AI105">
        <f>((EX105*1.25))</f>
        <v>0</v>
      </c>
      <c r="AJ105">
        <f t="shared" si="118"/>
        <v>0</v>
      </c>
      <c r="AK105">
        <v>70425.8</v>
      </c>
      <c r="AL105">
        <v>70131</v>
      </c>
      <c r="AM105">
        <v>0</v>
      </c>
      <c r="AN105">
        <v>0</v>
      </c>
      <c r="AO105">
        <v>294.8</v>
      </c>
      <c r="AP105">
        <v>0</v>
      </c>
      <c r="AQ105">
        <v>34.56</v>
      </c>
      <c r="AR105">
        <v>0</v>
      </c>
      <c r="AS105">
        <v>0</v>
      </c>
      <c r="AT105">
        <v>106</v>
      </c>
      <c r="AU105">
        <v>54</v>
      </c>
      <c r="AV105">
        <v>1</v>
      </c>
      <c r="AW105">
        <v>1</v>
      </c>
      <c r="AZ105">
        <v>6.11</v>
      </c>
      <c r="BA105">
        <v>6.11</v>
      </c>
      <c r="BB105">
        <v>6.11</v>
      </c>
      <c r="BC105">
        <v>6.11</v>
      </c>
      <c r="BD105" t="s">
        <v>6</v>
      </c>
      <c r="BE105" t="s">
        <v>6</v>
      </c>
      <c r="BF105" t="s">
        <v>6</v>
      </c>
      <c r="BG105" t="s">
        <v>6</v>
      </c>
      <c r="BH105">
        <v>0</v>
      </c>
      <c r="BI105">
        <v>1</v>
      </c>
      <c r="BJ105" t="s">
        <v>210</v>
      </c>
      <c r="BM105">
        <v>10001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6.11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118</v>
      </c>
      <c r="CA105">
        <v>63</v>
      </c>
      <c r="CE105">
        <v>0</v>
      </c>
      <c r="CF105">
        <v>0</v>
      </c>
      <c r="CG105">
        <v>0</v>
      </c>
      <c r="CM105">
        <v>0</v>
      </c>
      <c r="CN105" t="s">
        <v>824</v>
      </c>
      <c r="CO105">
        <v>0</v>
      </c>
      <c r="CP105">
        <f t="shared" si="119"/>
        <v>90420.09</v>
      </c>
      <c r="CQ105">
        <f t="shared" si="120"/>
        <v>428500.41000000003</v>
      </c>
      <c r="CR105">
        <f t="shared" si="121"/>
        <v>0</v>
      </c>
      <c r="CS105">
        <f t="shared" si="122"/>
        <v>0</v>
      </c>
      <c r="CT105">
        <f t="shared" si="123"/>
        <v>2071.4122000000002</v>
      </c>
      <c r="CU105">
        <f t="shared" si="124"/>
        <v>0</v>
      </c>
      <c r="CV105">
        <f t="shared" si="125"/>
        <v>39.744</v>
      </c>
      <c r="CW105">
        <f t="shared" si="126"/>
        <v>0</v>
      </c>
      <c r="CX105">
        <f t="shared" si="127"/>
        <v>0</v>
      </c>
      <c r="CY105">
        <f t="shared" si="128"/>
        <v>461.1</v>
      </c>
      <c r="CZ105">
        <f t="shared" si="129"/>
        <v>234.9</v>
      </c>
      <c r="DC105" t="s">
        <v>6</v>
      </c>
      <c r="DD105" t="s">
        <v>6</v>
      </c>
      <c r="DE105" t="s">
        <v>27</v>
      </c>
      <c r="DF105" t="s">
        <v>27</v>
      </c>
      <c r="DG105" t="s">
        <v>28</v>
      </c>
      <c r="DH105" t="s">
        <v>6</v>
      </c>
      <c r="DI105" t="s">
        <v>28</v>
      </c>
      <c r="DJ105" t="s">
        <v>27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1005</v>
      </c>
      <c r="DV105" t="s">
        <v>16</v>
      </c>
      <c r="DW105" t="s">
        <v>16</v>
      </c>
      <c r="DX105">
        <v>100</v>
      </c>
      <c r="EE105">
        <v>16510487</v>
      </c>
      <c r="EF105">
        <v>2</v>
      </c>
      <c r="EG105" t="s">
        <v>18</v>
      </c>
      <c r="EH105">
        <v>0</v>
      </c>
      <c r="EI105" t="s">
        <v>6</v>
      </c>
      <c r="EJ105">
        <v>1</v>
      </c>
      <c r="EK105">
        <v>10001</v>
      </c>
      <c r="EL105" t="s">
        <v>29</v>
      </c>
      <c r="EM105" t="s">
        <v>30</v>
      </c>
      <c r="EO105" t="s">
        <v>31</v>
      </c>
      <c r="EQ105">
        <v>131072</v>
      </c>
      <c r="ER105">
        <v>70425.8</v>
      </c>
      <c r="ES105">
        <v>70131</v>
      </c>
      <c r="ET105">
        <v>0</v>
      </c>
      <c r="EU105">
        <v>0</v>
      </c>
      <c r="EV105">
        <v>294.8</v>
      </c>
      <c r="EW105">
        <v>34.56</v>
      </c>
      <c r="EX105">
        <v>0</v>
      </c>
      <c r="EY105">
        <v>0</v>
      </c>
      <c r="FQ105">
        <v>0</v>
      </c>
      <c r="FR105">
        <f t="shared" si="130"/>
        <v>0</v>
      </c>
      <c r="FS105">
        <v>0</v>
      </c>
      <c r="FT105" t="s">
        <v>21</v>
      </c>
      <c r="FU105" t="s">
        <v>22</v>
      </c>
      <c r="FX105">
        <v>106.2</v>
      </c>
      <c r="FY105">
        <v>53.55</v>
      </c>
      <c r="GA105" t="s">
        <v>6</v>
      </c>
      <c r="GD105">
        <v>0</v>
      </c>
      <c r="GF105">
        <v>92801605</v>
      </c>
      <c r="GG105">
        <v>1</v>
      </c>
      <c r="GH105">
        <v>1</v>
      </c>
      <c r="GI105">
        <v>4</v>
      </c>
      <c r="GJ105">
        <v>0</v>
      </c>
      <c r="GK105">
        <f>ROUND(R105*(S12)/100,2)</f>
        <v>0</v>
      </c>
      <c r="GL105">
        <f t="shared" si="131"/>
        <v>0</v>
      </c>
      <c r="GM105">
        <f t="shared" si="132"/>
        <v>91116.09</v>
      </c>
      <c r="GN105">
        <f t="shared" si="133"/>
        <v>91116.09</v>
      </c>
      <c r="GO105">
        <f t="shared" si="134"/>
        <v>0</v>
      </c>
      <c r="GP105">
        <f t="shared" si="135"/>
        <v>0</v>
      </c>
      <c r="GR105">
        <v>0</v>
      </c>
      <c r="GS105">
        <v>3</v>
      </c>
      <c r="GT105">
        <v>0</v>
      </c>
      <c r="GU105" t="s">
        <v>6</v>
      </c>
      <c r="GV105">
        <f t="shared" si="136"/>
        <v>0</v>
      </c>
      <c r="GW105">
        <v>1</v>
      </c>
      <c r="GX105">
        <f t="shared" si="137"/>
        <v>0</v>
      </c>
      <c r="HA105">
        <v>0</v>
      </c>
      <c r="HB105">
        <v>0</v>
      </c>
      <c r="HC105">
        <f t="shared" si="138"/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288</v>
      </c>
      <c r="D106" s="2"/>
      <c r="E106" s="2" t="s">
        <v>215</v>
      </c>
      <c r="F106" s="2" t="s">
        <v>216</v>
      </c>
      <c r="G106" s="2" t="s">
        <v>217</v>
      </c>
      <c r="H106" s="2" t="s">
        <v>35</v>
      </c>
      <c r="I106" s="2">
        <f>I104*J106</f>
        <v>7.3398060000000003</v>
      </c>
      <c r="J106" s="2">
        <v>34.951457142857144</v>
      </c>
      <c r="K106" s="2"/>
      <c r="L106" s="2"/>
      <c r="M106" s="2"/>
      <c r="N106" s="2"/>
      <c r="O106" s="2">
        <f t="shared" si="105"/>
        <v>1973.53</v>
      </c>
      <c r="P106" s="2">
        <f t="shared" si="106"/>
        <v>1973.53</v>
      </c>
      <c r="Q106" s="2">
        <f t="shared" si="107"/>
        <v>0</v>
      </c>
      <c r="R106" s="2">
        <f t="shared" si="108"/>
        <v>0</v>
      </c>
      <c r="S106" s="2">
        <f t="shared" si="109"/>
        <v>0</v>
      </c>
      <c r="T106" s="2">
        <f t="shared" si="110"/>
        <v>0</v>
      </c>
      <c r="U106" s="2">
        <f t="shared" si="111"/>
        <v>0</v>
      </c>
      <c r="V106" s="2">
        <f t="shared" si="112"/>
        <v>0</v>
      </c>
      <c r="W106" s="2">
        <f t="shared" si="113"/>
        <v>0</v>
      </c>
      <c r="X106" s="2">
        <f t="shared" si="114"/>
        <v>0</v>
      </c>
      <c r="Y106" s="2">
        <f t="shared" si="115"/>
        <v>0</v>
      </c>
      <c r="Z106" s="2"/>
      <c r="AA106" s="2">
        <v>16784195</v>
      </c>
      <c r="AB106" s="2">
        <f t="shared" si="116"/>
        <v>268.88</v>
      </c>
      <c r="AC106" s="2">
        <f t="shared" si="139"/>
        <v>268.88</v>
      </c>
      <c r="AD106" s="2">
        <f t="shared" ref="AD106:AD111" si="140">ROUND((((ET106)-(EU106))+AE106),2)</f>
        <v>0</v>
      </c>
      <c r="AE106" s="2">
        <f t="shared" ref="AE106:AF111" si="141">ROUND((EU106),2)</f>
        <v>0</v>
      </c>
      <c r="AF106" s="2">
        <f t="shared" si="141"/>
        <v>0</v>
      </c>
      <c r="AG106" s="2">
        <f t="shared" si="117"/>
        <v>0</v>
      </c>
      <c r="AH106" s="2">
        <f t="shared" ref="AH106:AI111" si="142">(EW106)</f>
        <v>0</v>
      </c>
      <c r="AI106" s="2">
        <f t="shared" si="142"/>
        <v>0</v>
      </c>
      <c r="AJ106" s="2">
        <f t="shared" si="118"/>
        <v>0</v>
      </c>
      <c r="AK106" s="2">
        <v>268.88</v>
      </c>
      <c r="AL106" s="2">
        <v>268.88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106</v>
      </c>
      <c r="AU106" s="2">
        <v>54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3</v>
      </c>
      <c r="BI106" s="2">
        <v>1</v>
      </c>
      <c r="BJ106" s="2" t="s">
        <v>218</v>
      </c>
      <c r="BK106" s="2"/>
      <c r="BL106" s="2"/>
      <c r="BM106" s="2">
        <v>10001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118</v>
      </c>
      <c r="CA106" s="2">
        <v>63</v>
      </c>
      <c r="CB106" s="2"/>
      <c r="CC106" s="2"/>
      <c r="CD106" s="2"/>
      <c r="CE106" s="2">
        <v>0</v>
      </c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 t="shared" si="119"/>
        <v>1973.53</v>
      </c>
      <c r="CQ106" s="2">
        <f t="shared" si="120"/>
        <v>268.88</v>
      </c>
      <c r="CR106" s="2">
        <f t="shared" si="121"/>
        <v>0</v>
      </c>
      <c r="CS106" s="2">
        <f t="shared" si="122"/>
        <v>0</v>
      </c>
      <c r="CT106" s="2">
        <f t="shared" si="123"/>
        <v>0</v>
      </c>
      <c r="CU106" s="2">
        <f t="shared" si="124"/>
        <v>0</v>
      </c>
      <c r="CV106" s="2">
        <f t="shared" si="125"/>
        <v>0</v>
      </c>
      <c r="CW106" s="2">
        <f t="shared" si="126"/>
        <v>0</v>
      </c>
      <c r="CX106" s="2">
        <f t="shared" si="127"/>
        <v>0</v>
      </c>
      <c r="CY106" s="2">
        <f t="shared" si="128"/>
        <v>0</v>
      </c>
      <c r="CZ106" s="2">
        <f t="shared" si="129"/>
        <v>0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1005</v>
      </c>
      <c r="DV106" s="2" t="s">
        <v>35</v>
      </c>
      <c r="DW106" s="2" t="s">
        <v>35</v>
      </c>
      <c r="DX106" s="2">
        <v>1</v>
      </c>
      <c r="DY106" s="2"/>
      <c r="DZ106" s="2"/>
      <c r="EA106" s="2"/>
      <c r="EB106" s="2"/>
      <c r="EC106" s="2"/>
      <c r="ED106" s="2"/>
      <c r="EE106" s="2">
        <v>16510487</v>
      </c>
      <c r="EF106" s="2">
        <v>2</v>
      </c>
      <c r="EG106" s="2" t="s">
        <v>18</v>
      </c>
      <c r="EH106" s="2">
        <v>0</v>
      </c>
      <c r="EI106" s="2" t="s">
        <v>6</v>
      </c>
      <c r="EJ106" s="2">
        <v>1</v>
      </c>
      <c r="EK106" s="2">
        <v>10001</v>
      </c>
      <c r="EL106" s="2" t="s">
        <v>29</v>
      </c>
      <c r="EM106" s="2" t="s">
        <v>30</v>
      </c>
      <c r="EN106" s="2"/>
      <c r="EO106" s="2" t="s">
        <v>6</v>
      </c>
      <c r="EP106" s="2"/>
      <c r="EQ106" s="2">
        <v>0</v>
      </c>
      <c r="ER106" s="2">
        <v>268.88</v>
      </c>
      <c r="ES106" s="2">
        <v>268.88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0"/>
        <v>0</v>
      </c>
      <c r="FS106" s="2">
        <v>0</v>
      </c>
      <c r="FT106" s="2" t="s">
        <v>21</v>
      </c>
      <c r="FU106" s="2" t="s">
        <v>22</v>
      </c>
      <c r="FV106" s="2"/>
      <c r="FW106" s="2"/>
      <c r="FX106" s="2">
        <v>106.2</v>
      </c>
      <c r="FY106" s="2">
        <v>53.55</v>
      </c>
      <c r="FZ106" s="2"/>
      <c r="GA106" s="2" t="s">
        <v>6</v>
      </c>
      <c r="GB106" s="2"/>
      <c r="GC106" s="2"/>
      <c r="GD106" s="2">
        <v>0</v>
      </c>
      <c r="GE106" s="2"/>
      <c r="GF106" s="2">
        <v>893131269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31"/>
        <v>0</v>
      </c>
      <c r="GM106" s="2">
        <f t="shared" si="132"/>
        <v>1973.53</v>
      </c>
      <c r="GN106" s="2">
        <f t="shared" si="133"/>
        <v>1973.53</v>
      </c>
      <c r="GO106" s="2">
        <f t="shared" si="134"/>
        <v>0</v>
      </c>
      <c r="GP106" s="2">
        <f t="shared" si="135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36"/>
        <v>0</v>
      </c>
      <c r="GW106" s="2">
        <v>1</v>
      </c>
      <c r="GX106" s="2">
        <f t="shared" si="137"/>
        <v>0</v>
      </c>
      <c r="GY106" s="2"/>
      <c r="GZ106" s="2"/>
      <c r="HA106" s="2">
        <v>0</v>
      </c>
      <c r="HB106" s="2">
        <v>0</v>
      </c>
      <c r="HC106" s="2">
        <f t="shared" si="138"/>
        <v>0</v>
      </c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292</v>
      </c>
      <c r="E107" t="s">
        <v>215</v>
      </c>
      <c r="F107" t="s">
        <v>216</v>
      </c>
      <c r="G107" t="s">
        <v>217</v>
      </c>
      <c r="H107" t="s">
        <v>35</v>
      </c>
      <c r="I107">
        <f>I105*J107</f>
        <v>7.3398060000000003</v>
      </c>
      <c r="J107">
        <v>34.951457142857144</v>
      </c>
      <c r="O107">
        <f t="shared" si="105"/>
        <v>12058.25</v>
      </c>
      <c r="P107">
        <f t="shared" si="106"/>
        <v>12058.25</v>
      </c>
      <c r="Q107">
        <f t="shared" si="107"/>
        <v>0</v>
      </c>
      <c r="R107">
        <f t="shared" si="108"/>
        <v>0</v>
      </c>
      <c r="S107">
        <f t="shared" si="109"/>
        <v>0</v>
      </c>
      <c r="T107">
        <f t="shared" si="110"/>
        <v>0</v>
      </c>
      <c r="U107">
        <f t="shared" si="111"/>
        <v>0</v>
      </c>
      <c r="V107">
        <f t="shared" si="112"/>
        <v>0</v>
      </c>
      <c r="W107">
        <f t="shared" si="113"/>
        <v>0</v>
      </c>
      <c r="X107">
        <f t="shared" si="114"/>
        <v>0</v>
      </c>
      <c r="Y107">
        <f t="shared" si="115"/>
        <v>0</v>
      </c>
      <c r="AA107">
        <v>16784196</v>
      </c>
      <c r="AB107">
        <f t="shared" si="116"/>
        <v>268.88</v>
      </c>
      <c r="AC107">
        <f t="shared" si="139"/>
        <v>268.88</v>
      </c>
      <c r="AD107">
        <f t="shared" si="140"/>
        <v>0</v>
      </c>
      <c r="AE107">
        <f t="shared" si="141"/>
        <v>0</v>
      </c>
      <c r="AF107">
        <f t="shared" si="141"/>
        <v>0</v>
      </c>
      <c r="AG107">
        <f t="shared" si="117"/>
        <v>0</v>
      </c>
      <c r="AH107">
        <f t="shared" si="142"/>
        <v>0</v>
      </c>
      <c r="AI107">
        <f t="shared" si="142"/>
        <v>0</v>
      </c>
      <c r="AJ107">
        <f t="shared" si="118"/>
        <v>0</v>
      </c>
      <c r="AK107">
        <v>268.88</v>
      </c>
      <c r="AL107">
        <v>268.88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106</v>
      </c>
      <c r="AU107">
        <v>54</v>
      </c>
      <c r="AV107">
        <v>1</v>
      </c>
      <c r="AW107">
        <v>1</v>
      </c>
      <c r="AZ107">
        <v>6.11</v>
      </c>
      <c r="BA107">
        <v>1</v>
      </c>
      <c r="BB107">
        <v>1</v>
      </c>
      <c r="BC107">
        <v>6.11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218</v>
      </c>
      <c r="BM107">
        <v>10001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118</v>
      </c>
      <c r="CA107">
        <v>63</v>
      </c>
      <c r="CE107">
        <v>0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119"/>
        <v>12058.25</v>
      </c>
      <c r="CQ107">
        <f t="shared" si="120"/>
        <v>1642.8568</v>
      </c>
      <c r="CR107">
        <f t="shared" si="121"/>
        <v>0</v>
      </c>
      <c r="CS107">
        <f t="shared" si="122"/>
        <v>0</v>
      </c>
      <c r="CT107">
        <f t="shared" si="123"/>
        <v>0</v>
      </c>
      <c r="CU107">
        <f t="shared" si="124"/>
        <v>0</v>
      </c>
      <c r="CV107">
        <f t="shared" si="125"/>
        <v>0</v>
      </c>
      <c r="CW107">
        <f t="shared" si="126"/>
        <v>0</v>
      </c>
      <c r="CX107">
        <f t="shared" si="127"/>
        <v>0</v>
      </c>
      <c r="CY107">
        <f t="shared" si="128"/>
        <v>0</v>
      </c>
      <c r="CZ107">
        <f t="shared" si="129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35</v>
      </c>
      <c r="DW107" t="s">
        <v>35</v>
      </c>
      <c r="DX107">
        <v>1</v>
      </c>
      <c r="EE107">
        <v>16510487</v>
      </c>
      <c r="EF107">
        <v>2</v>
      </c>
      <c r="EG107" t="s">
        <v>18</v>
      </c>
      <c r="EH107">
        <v>0</v>
      </c>
      <c r="EI107" t="s">
        <v>6</v>
      </c>
      <c r="EJ107">
        <v>1</v>
      </c>
      <c r="EK107">
        <v>10001</v>
      </c>
      <c r="EL107" t="s">
        <v>29</v>
      </c>
      <c r="EM107" t="s">
        <v>30</v>
      </c>
      <c r="EO107" t="s">
        <v>6</v>
      </c>
      <c r="EQ107">
        <v>0</v>
      </c>
      <c r="ER107">
        <v>268.88</v>
      </c>
      <c r="ES107">
        <v>268.88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30"/>
        <v>0</v>
      </c>
      <c r="FS107">
        <v>0</v>
      </c>
      <c r="FT107" t="s">
        <v>21</v>
      </c>
      <c r="FU107" t="s">
        <v>22</v>
      </c>
      <c r="FX107">
        <v>106.2</v>
      </c>
      <c r="FY107">
        <v>53.55</v>
      </c>
      <c r="GA107" t="s">
        <v>6</v>
      </c>
      <c r="GD107">
        <v>0</v>
      </c>
      <c r="GF107">
        <v>893131269</v>
      </c>
      <c r="GG107">
        <v>1</v>
      </c>
      <c r="GH107">
        <v>1</v>
      </c>
      <c r="GI107">
        <v>4</v>
      </c>
      <c r="GJ107">
        <v>0</v>
      </c>
      <c r="GK107">
        <f>ROUND(R107*(S12)/100,2)</f>
        <v>0</v>
      </c>
      <c r="GL107">
        <f t="shared" si="131"/>
        <v>0</v>
      </c>
      <c r="GM107">
        <f t="shared" si="132"/>
        <v>12058.25</v>
      </c>
      <c r="GN107">
        <f t="shared" si="133"/>
        <v>12058.25</v>
      </c>
      <c r="GO107">
        <f t="shared" si="134"/>
        <v>0</v>
      </c>
      <c r="GP107">
        <f t="shared" si="135"/>
        <v>0</v>
      </c>
      <c r="GR107">
        <v>0</v>
      </c>
      <c r="GS107">
        <v>3</v>
      </c>
      <c r="GT107">
        <v>0</v>
      </c>
      <c r="GU107" t="s">
        <v>6</v>
      </c>
      <c r="GV107">
        <f t="shared" si="136"/>
        <v>0</v>
      </c>
      <c r="GW107">
        <v>1</v>
      </c>
      <c r="GX107">
        <f t="shared" si="137"/>
        <v>0</v>
      </c>
      <c r="HA107">
        <v>0</v>
      </c>
      <c r="HB107">
        <v>0</v>
      </c>
      <c r="HC107">
        <f t="shared" si="138"/>
        <v>0</v>
      </c>
      <c r="IK107">
        <v>0</v>
      </c>
    </row>
    <row r="108" spans="1:255" x14ac:dyDescent="0.2">
      <c r="A108" s="2">
        <v>18</v>
      </c>
      <c r="B108" s="2">
        <v>1</v>
      </c>
      <c r="C108" s="2">
        <v>286</v>
      </c>
      <c r="D108" s="2"/>
      <c r="E108" s="2" t="s">
        <v>219</v>
      </c>
      <c r="F108" s="2" t="s">
        <v>220</v>
      </c>
      <c r="G108" s="2" t="s">
        <v>221</v>
      </c>
      <c r="H108" s="2" t="s">
        <v>222</v>
      </c>
      <c r="I108" s="2">
        <f>I104*J108</f>
        <v>5</v>
      </c>
      <c r="J108" s="2">
        <v>23.80952380952381</v>
      </c>
      <c r="K108" s="2"/>
      <c r="L108" s="2"/>
      <c r="M108" s="2"/>
      <c r="N108" s="2"/>
      <c r="O108" s="2">
        <f t="shared" si="105"/>
        <v>363.85</v>
      </c>
      <c r="P108" s="2">
        <f t="shared" si="106"/>
        <v>363.85</v>
      </c>
      <c r="Q108" s="2">
        <f t="shared" si="107"/>
        <v>0</v>
      </c>
      <c r="R108" s="2">
        <f t="shared" si="108"/>
        <v>0</v>
      </c>
      <c r="S108" s="2">
        <f t="shared" si="109"/>
        <v>0</v>
      </c>
      <c r="T108" s="2">
        <f t="shared" si="110"/>
        <v>0</v>
      </c>
      <c r="U108" s="2">
        <f t="shared" si="111"/>
        <v>0</v>
      </c>
      <c r="V108" s="2">
        <f t="shared" si="112"/>
        <v>0</v>
      </c>
      <c r="W108" s="2">
        <f t="shared" si="113"/>
        <v>0</v>
      </c>
      <c r="X108" s="2">
        <f t="shared" si="114"/>
        <v>0</v>
      </c>
      <c r="Y108" s="2">
        <f t="shared" si="115"/>
        <v>0</v>
      </c>
      <c r="Z108" s="2"/>
      <c r="AA108" s="2">
        <v>16784195</v>
      </c>
      <c r="AB108" s="2">
        <f t="shared" si="116"/>
        <v>72.77</v>
      </c>
      <c r="AC108" s="2">
        <f t="shared" si="139"/>
        <v>72.77</v>
      </c>
      <c r="AD108" s="2">
        <f t="shared" si="140"/>
        <v>0</v>
      </c>
      <c r="AE108" s="2">
        <f t="shared" si="141"/>
        <v>0</v>
      </c>
      <c r="AF108" s="2">
        <f t="shared" si="141"/>
        <v>0</v>
      </c>
      <c r="AG108" s="2">
        <f t="shared" si="117"/>
        <v>0</v>
      </c>
      <c r="AH108" s="2">
        <f t="shared" si="142"/>
        <v>0</v>
      </c>
      <c r="AI108" s="2">
        <f t="shared" si="142"/>
        <v>0</v>
      </c>
      <c r="AJ108" s="2">
        <f t="shared" si="118"/>
        <v>0</v>
      </c>
      <c r="AK108" s="2">
        <v>72.77</v>
      </c>
      <c r="AL108" s="2">
        <v>72.77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 s="2">
        <v>0</v>
      </c>
      <c r="AT108" s="2">
        <v>106</v>
      </c>
      <c r="AU108" s="2">
        <v>54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3</v>
      </c>
      <c r="BI108" s="2">
        <v>1</v>
      </c>
      <c r="BJ108" s="2" t="s">
        <v>223</v>
      </c>
      <c r="BK108" s="2"/>
      <c r="BL108" s="2"/>
      <c r="BM108" s="2">
        <v>10001</v>
      </c>
      <c r="BN108" s="2">
        <v>0</v>
      </c>
      <c r="BO108" s="2" t="s">
        <v>6</v>
      </c>
      <c r="BP108" s="2">
        <v>0</v>
      </c>
      <c r="BQ108" s="2">
        <v>2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118</v>
      </c>
      <c r="CA108" s="2">
        <v>63</v>
      </c>
      <c r="CB108" s="2"/>
      <c r="CC108" s="2"/>
      <c r="CD108" s="2"/>
      <c r="CE108" s="2">
        <v>0</v>
      </c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6</v>
      </c>
      <c r="CO108" s="2">
        <v>0</v>
      </c>
      <c r="CP108" s="2">
        <f t="shared" si="119"/>
        <v>363.85</v>
      </c>
      <c r="CQ108" s="2">
        <f t="shared" si="120"/>
        <v>72.77</v>
      </c>
      <c r="CR108" s="2">
        <f t="shared" si="121"/>
        <v>0</v>
      </c>
      <c r="CS108" s="2">
        <f t="shared" si="122"/>
        <v>0</v>
      </c>
      <c r="CT108" s="2">
        <f t="shared" si="123"/>
        <v>0</v>
      </c>
      <c r="CU108" s="2">
        <f t="shared" si="124"/>
        <v>0</v>
      </c>
      <c r="CV108" s="2">
        <f t="shared" si="125"/>
        <v>0</v>
      </c>
      <c r="CW108" s="2">
        <f t="shared" si="126"/>
        <v>0</v>
      </c>
      <c r="CX108" s="2">
        <f t="shared" si="127"/>
        <v>0</v>
      </c>
      <c r="CY108" s="2">
        <f t="shared" si="128"/>
        <v>0</v>
      </c>
      <c r="CZ108" s="2">
        <f t="shared" si="129"/>
        <v>0</v>
      </c>
      <c r="DA108" s="2"/>
      <c r="DB108" s="2"/>
      <c r="DC108" s="2" t="s">
        <v>6</v>
      </c>
      <c r="DD108" s="2" t="s">
        <v>6</v>
      </c>
      <c r="DE108" s="2" t="s">
        <v>6</v>
      </c>
      <c r="DF108" s="2" t="s">
        <v>6</v>
      </c>
      <c r="DG108" s="2" t="s">
        <v>6</v>
      </c>
      <c r="DH108" s="2" t="s">
        <v>6</v>
      </c>
      <c r="DI108" s="2" t="s">
        <v>6</v>
      </c>
      <c r="DJ108" s="2" t="s">
        <v>6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1013</v>
      </c>
      <c r="DV108" s="2" t="s">
        <v>222</v>
      </c>
      <c r="DW108" s="2" t="s">
        <v>222</v>
      </c>
      <c r="DX108" s="2">
        <v>1</v>
      </c>
      <c r="DY108" s="2"/>
      <c r="DZ108" s="2"/>
      <c r="EA108" s="2"/>
      <c r="EB108" s="2"/>
      <c r="EC108" s="2"/>
      <c r="ED108" s="2"/>
      <c r="EE108" s="2">
        <v>16510487</v>
      </c>
      <c r="EF108" s="2">
        <v>2</v>
      </c>
      <c r="EG108" s="2" t="s">
        <v>18</v>
      </c>
      <c r="EH108" s="2">
        <v>0</v>
      </c>
      <c r="EI108" s="2" t="s">
        <v>6</v>
      </c>
      <c r="EJ108" s="2">
        <v>1</v>
      </c>
      <c r="EK108" s="2">
        <v>10001</v>
      </c>
      <c r="EL108" s="2" t="s">
        <v>29</v>
      </c>
      <c r="EM108" s="2" t="s">
        <v>30</v>
      </c>
      <c r="EN108" s="2"/>
      <c r="EO108" s="2" t="s">
        <v>6</v>
      </c>
      <c r="EP108" s="2"/>
      <c r="EQ108" s="2">
        <v>0</v>
      </c>
      <c r="ER108" s="2">
        <v>72.77</v>
      </c>
      <c r="ES108" s="2">
        <v>72.77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0"/>
        <v>0</v>
      </c>
      <c r="FS108" s="2">
        <v>0</v>
      </c>
      <c r="FT108" s="2" t="s">
        <v>21</v>
      </c>
      <c r="FU108" s="2" t="s">
        <v>22</v>
      </c>
      <c r="FV108" s="2"/>
      <c r="FW108" s="2"/>
      <c r="FX108" s="2">
        <v>106.2</v>
      </c>
      <c r="FY108" s="2">
        <v>53.55</v>
      </c>
      <c r="FZ108" s="2"/>
      <c r="GA108" s="2" t="s">
        <v>6</v>
      </c>
      <c r="GB108" s="2"/>
      <c r="GC108" s="2"/>
      <c r="GD108" s="2">
        <v>0</v>
      </c>
      <c r="GE108" s="2"/>
      <c r="GF108" s="2">
        <v>178640745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31"/>
        <v>0</v>
      </c>
      <c r="GM108" s="2">
        <f t="shared" si="132"/>
        <v>363.85</v>
      </c>
      <c r="GN108" s="2">
        <f t="shared" si="133"/>
        <v>363.85</v>
      </c>
      <c r="GO108" s="2">
        <f t="shared" si="134"/>
        <v>0</v>
      </c>
      <c r="GP108" s="2">
        <f t="shared" si="135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36"/>
        <v>0</v>
      </c>
      <c r="GW108" s="2">
        <v>1</v>
      </c>
      <c r="GX108" s="2">
        <f t="shared" si="137"/>
        <v>0</v>
      </c>
      <c r="GY108" s="2"/>
      <c r="GZ108" s="2"/>
      <c r="HA108" s="2">
        <v>0</v>
      </c>
      <c r="HB108" s="2">
        <v>0</v>
      </c>
      <c r="HC108" s="2">
        <f t="shared" si="138"/>
        <v>0</v>
      </c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18</v>
      </c>
      <c r="B109">
        <v>1</v>
      </c>
      <c r="C109">
        <v>290</v>
      </c>
      <c r="E109" t="s">
        <v>219</v>
      </c>
      <c r="F109" t="s">
        <v>220</v>
      </c>
      <c r="G109" t="s">
        <v>221</v>
      </c>
      <c r="H109" t="s">
        <v>222</v>
      </c>
      <c r="I109">
        <f>I105*J109</f>
        <v>5</v>
      </c>
      <c r="J109">
        <v>23.80952380952381</v>
      </c>
      <c r="O109">
        <f t="shared" si="105"/>
        <v>2223.12</v>
      </c>
      <c r="P109">
        <f t="shared" si="106"/>
        <v>2223.12</v>
      </c>
      <c r="Q109">
        <f t="shared" si="107"/>
        <v>0</v>
      </c>
      <c r="R109">
        <f t="shared" si="108"/>
        <v>0</v>
      </c>
      <c r="S109">
        <f t="shared" si="109"/>
        <v>0</v>
      </c>
      <c r="T109">
        <f t="shared" si="110"/>
        <v>0</v>
      </c>
      <c r="U109">
        <f t="shared" si="111"/>
        <v>0</v>
      </c>
      <c r="V109">
        <f t="shared" si="112"/>
        <v>0</v>
      </c>
      <c r="W109">
        <f t="shared" si="113"/>
        <v>0</v>
      </c>
      <c r="X109">
        <f t="shared" si="114"/>
        <v>0</v>
      </c>
      <c r="Y109">
        <f t="shared" si="115"/>
        <v>0</v>
      </c>
      <c r="AA109">
        <v>16784196</v>
      </c>
      <c r="AB109">
        <f t="shared" si="116"/>
        <v>72.77</v>
      </c>
      <c r="AC109">
        <f t="shared" si="139"/>
        <v>72.77</v>
      </c>
      <c r="AD109">
        <f t="shared" si="140"/>
        <v>0</v>
      </c>
      <c r="AE109">
        <f t="shared" si="141"/>
        <v>0</v>
      </c>
      <c r="AF109">
        <f t="shared" si="141"/>
        <v>0</v>
      </c>
      <c r="AG109">
        <f t="shared" si="117"/>
        <v>0</v>
      </c>
      <c r="AH109">
        <f t="shared" si="142"/>
        <v>0</v>
      </c>
      <c r="AI109">
        <f t="shared" si="142"/>
        <v>0</v>
      </c>
      <c r="AJ109">
        <f t="shared" si="118"/>
        <v>0</v>
      </c>
      <c r="AK109">
        <v>72.77</v>
      </c>
      <c r="AL109">
        <v>72.77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106</v>
      </c>
      <c r="AU109">
        <v>54</v>
      </c>
      <c r="AV109">
        <v>1</v>
      </c>
      <c r="AW109">
        <v>1</v>
      </c>
      <c r="AZ109">
        <v>6.11</v>
      </c>
      <c r="BA109">
        <v>1</v>
      </c>
      <c r="BB109">
        <v>1</v>
      </c>
      <c r="BC109">
        <v>6.11</v>
      </c>
      <c r="BD109" t="s">
        <v>6</v>
      </c>
      <c r="BE109" t="s">
        <v>6</v>
      </c>
      <c r="BF109" t="s">
        <v>6</v>
      </c>
      <c r="BG109" t="s">
        <v>6</v>
      </c>
      <c r="BH109">
        <v>3</v>
      </c>
      <c r="BI109">
        <v>1</v>
      </c>
      <c r="BJ109" t="s">
        <v>223</v>
      </c>
      <c r="BM109">
        <v>10001</v>
      </c>
      <c r="BN109">
        <v>0</v>
      </c>
      <c r="BO109" t="s">
        <v>6</v>
      </c>
      <c r="BP109">
        <v>0</v>
      </c>
      <c r="BQ109">
        <v>2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118</v>
      </c>
      <c r="CA109">
        <v>63</v>
      </c>
      <c r="CE109">
        <v>0</v>
      </c>
      <c r="CF109">
        <v>0</v>
      </c>
      <c r="CG109">
        <v>0</v>
      </c>
      <c r="CM109">
        <v>0</v>
      </c>
      <c r="CN109" t="s">
        <v>6</v>
      </c>
      <c r="CO109">
        <v>0</v>
      </c>
      <c r="CP109">
        <f t="shared" si="119"/>
        <v>2223.12</v>
      </c>
      <c r="CQ109">
        <f t="shared" si="120"/>
        <v>444.62470000000002</v>
      </c>
      <c r="CR109">
        <f t="shared" si="121"/>
        <v>0</v>
      </c>
      <c r="CS109">
        <f t="shared" si="122"/>
        <v>0</v>
      </c>
      <c r="CT109">
        <f t="shared" si="123"/>
        <v>0</v>
      </c>
      <c r="CU109">
        <f t="shared" si="124"/>
        <v>0</v>
      </c>
      <c r="CV109">
        <f t="shared" si="125"/>
        <v>0</v>
      </c>
      <c r="CW109">
        <f t="shared" si="126"/>
        <v>0</v>
      </c>
      <c r="CX109">
        <f t="shared" si="127"/>
        <v>0</v>
      </c>
      <c r="CY109">
        <f t="shared" si="128"/>
        <v>0</v>
      </c>
      <c r="CZ109">
        <f t="shared" si="129"/>
        <v>0</v>
      </c>
      <c r="DC109" t="s">
        <v>6</v>
      </c>
      <c r="DD109" t="s">
        <v>6</v>
      </c>
      <c r="DE109" t="s">
        <v>6</v>
      </c>
      <c r="DF109" t="s">
        <v>6</v>
      </c>
      <c r="DG109" t="s">
        <v>6</v>
      </c>
      <c r="DH109" t="s">
        <v>6</v>
      </c>
      <c r="DI109" t="s">
        <v>6</v>
      </c>
      <c r="DJ109" t="s">
        <v>6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1013</v>
      </c>
      <c r="DV109" t="s">
        <v>222</v>
      </c>
      <c r="DW109" t="s">
        <v>222</v>
      </c>
      <c r="DX109">
        <v>1</v>
      </c>
      <c r="EE109">
        <v>16510487</v>
      </c>
      <c r="EF109">
        <v>2</v>
      </c>
      <c r="EG109" t="s">
        <v>18</v>
      </c>
      <c r="EH109">
        <v>0</v>
      </c>
      <c r="EI109" t="s">
        <v>6</v>
      </c>
      <c r="EJ109">
        <v>1</v>
      </c>
      <c r="EK109">
        <v>10001</v>
      </c>
      <c r="EL109" t="s">
        <v>29</v>
      </c>
      <c r="EM109" t="s">
        <v>30</v>
      </c>
      <c r="EO109" t="s">
        <v>6</v>
      </c>
      <c r="EQ109">
        <v>0</v>
      </c>
      <c r="ER109">
        <v>72.77</v>
      </c>
      <c r="ES109">
        <v>72.77</v>
      </c>
      <c r="ET109">
        <v>0</v>
      </c>
      <c r="EU109">
        <v>0</v>
      </c>
      <c r="EV109">
        <v>0</v>
      </c>
      <c r="EW109">
        <v>0</v>
      </c>
      <c r="EX109">
        <v>0</v>
      </c>
      <c r="FQ109">
        <v>0</v>
      </c>
      <c r="FR109">
        <f t="shared" si="130"/>
        <v>0</v>
      </c>
      <c r="FS109">
        <v>0</v>
      </c>
      <c r="FT109" t="s">
        <v>21</v>
      </c>
      <c r="FU109" t="s">
        <v>22</v>
      </c>
      <c r="FX109">
        <v>106.2</v>
      </c>
      <c r="FY109">
        <v>53.55</v>
      </c>
      <c r="GA109" t="s">
        <v>6</v>
      </c>
      <c r="GD109">
        <v>0</v>
      </c>
      <c r="GF109">
        <v>178640745</v>
      </c>
      <c r="GG109">
        <v>1</v>
      </c>
      <c r="GH109">
        <v>1</v>
      </c>
      <c r="GI109">
        <v>4</v>
      </c>
      <c r="GJ109">
        <v>0</v>
      </c>
      <c r="GK109">
        <f>ROUND(R109*(S12)/100,2)</f>
        <v>0</v>
      </c>
      <c r="GL109">
        <f t="shared" si="131"/>
        <v>0</v>
      </c>
      <c r="GM109">
        <f t="shared" si="132"/>
        <v>2223.12</v>
      </c>
      <c r="GN109">
        <f t="shared" si="133"/>
        <v>2223.12</v>
      </c>
      <c r="GO109">
        <f t="shared" si="134"/>
        <v>0</v>
      </c>
      <c r="GP109">
        <f t="shared" si="135"/>
        <v>0</v>
      </c>
      <c r="GR109">
        <v>0</v>
      </c>
      <c r="GS109">
        <v>3</v>
      </c>
      <c r="GT109">
        <v>0</v>
      </c>
      <c r="GU109" t="s">
        <v>6</v>
      </c>
      <c r="GV109">
        <f t="shared" si="136"/>
        <v>0</v>
      </c>
      <c r="GW109">
        <v>1</v>
      </c>
      <c r="GX109">
        <f t="shared" si="137"/>
        <v>0</v>
      </c>
      <c r="HA109">
        <v>0</v>
      </c>
      <c r="HB109">
        <v>0</v>
      </c>
      <c r="HC109">
        <f t="shared" si="138"/>
        <v>0</v>
      </c>
      <c r="IK109">
        <v>0</v>
      </c>
    </row>
    <row r="110" spans="1:255" x14ac:dyDescent="0.2">
      <c r="A110" s="2">
        <v>17</v>
      </c>
      <c r="B110" s="2">
        <v>1</v>
      </c>
      <c r="C110" s="2">
        <f>ROW(SmtRes!A298)</f>
        <v>298</v>
      </c>
      <c r="D110" s="2">
        <f>ROW(EtalonRes!A302)</f>
        <v>302</v>
      </c>
      <c r="E110" s="2" t="s">
        <v>224</v>
      </c>
      <c r="F110" s="2" t="s">
        <v>225</v>
      </c>
      <c r="G110" s="2" t="s">
        <v>226</v>
      </c>
      <c r="H110" s="2" t="s">
        <v>227</v>
      </c>
      <c r="I110" s="2">
        <f>ROUND(1/100,9)</f>
        <v>0.01</v>
      </c>
      <c r="J110" s="2">
        <v>0</v>
      </c>
      <c r="K110" s="2"/>
      <c r="L110" s="2"/>
      <c r="M110" s="2"/>
      <c r="N110" s="2"/>
      <c r="O110" s="2">
        <f t="shared" si="105"/>
        <v>73.91</v>
      </c>
      <c r="P110" s="2">
        <f t="shared" si="106"/>
        <v>61.65</v>
      </c>
      <c r="Q110" s="2">
        <f t="shared" si="107"/>
        <v>9.7200000000000006</v>
      </c>
      <c r="R110" s="2">
        <f t="shared" si="108"/>
        <v>3.07</v>
      </c>
      <c r="S110" s="2">
        <f t="shared" si="109"/>
        <v>2.54</v>
      </c>
      <c r="T110" s="2">
        <f t="shared" si="110"/>
        <v>0</v>
      </c>
      <c r="U110" s="2">
        <f t="shared" si="111"/>
        <v>0.26400000000000001</v>
      </c>
      <c r="V110" s="2">
        <f t="shared" si="112"/>
        <v>0.26500000000000001</v>
      </c>
      <c r="W110" s="2">
        <f t="shared" si="113"/>
        <v>0</v>
      </c>
      <c r="X110" s="2">
        <f t="shared" si="114"/>
        <v>5.55</v>
      </c>
      <c r="Y110" s="2">
        <f t="shared" si="115"/>
        <v>3.37</v>
      </c>
      <c r="Z110" s="2"/>
      <c r="AA110" s="2">
        <v>16784195</v>
      </c>
      <c r="AB110" s="2">
        <f t="shared" si="116"/>
        <v>7390.4</v>
      </c>
      <c r="AC110" s="2">
        <f t="shared" si="139"/>
        <v>6164.76</v>
      </c>
      <c r="AD110" s="2">
        <f t="shared" si="140"/>
        <v>971.67</v>
      </c>
      <c r="AE110" s="2">
        <f t="shared" si="141"/>
        <v>307.39999999999998</v>
      </c>
      <c r="AF110" s="2">
        <f t="shared" si="141"/>
        <v>253.97</v>
      </c>
      <c r="AG110" s="2">
        <f t="shared" si="117"/>
        <v>0</v>
      </c>
      <c r="AH110" s="2">
        <f t="shared" si="142"/>
        <v>26.4</v>
      </c>
      <c r="AI110" s="2">
        <f t="shared" si="142"/>
        <v>26.5</v>
      </c>
      <c r="AJ110" s="2">
        <f t="shared" si="118"/>
        <v>0</v>
      </c>
      <c r="AK110" s="2">
        <v>7390.4</v>
      </c>
      <c r="AL110" s="2">
        <v>6164.76</v>
      </c>
      <c r="AM110" s="2">
        <v>971.67</v>
      </c>
      <c r="AN110" s="2">
        <v>307.39999999999998</v>
      </c>
      <c r="AO110" s="2">
        <v>253.97</v>
      </c>
      <c r="AP110" s="2">
        <v>0</v>
      </c>
      <c r="AQ110" s="2">
        <v>26.4</v>
      </c>
      <c r="AR110" s="2">
        <v>26.5</v>
      </c>
      <c r="AS110" s="2">
        <v>0</v>
      </c>
      <c r="AT110" s="2">
        <v>99</v>
      </c>
      <c r="AU110" s="2">
        <v>60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0</v>
      </c>
      <c r="BI110" s="2">
        <v>1</v>
      </c>
      <c r="BJ110" s="2" t="s">
        <v>228</v>
      </c>
      <c r="BK110" s="2"/>
      <c r="BL110" s="2"/>
      <c r="BM110" s="2">
        <v>46001</v>
      </c>
      <c r="BN110" s="2">
        <v>0</v>
      </c>
      <c r="BO110" s="2" t="s">
        <v>6</v>
      </c>
      <c r="BP110" s="2">
        <v>0</v>
      </c>
      <c r="BQ110" s="2">
        <v>2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110</v>
      </c>
      <c r="CA110" s="2">
        <v>70</v>
      </c>
      <c r="CB110" s="2"/>
      <c r="CC110" s="2"/>
      <c r="CD110" s="2"/>
      <c r="CE110" s="2">
        <v>0</v>
      </c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6</v>
      </c>
      <c r="CO110" s="2">
        <v>0</v>
      </c>
      <c r="CP110" s="2">
        <f t="shared" si="119"/>
        <v>73.910000000000011</v>
      </c>
      <c r="CQ110" s="2">
        <f t="shared" si="120"/>
        <v>6164.76</v>
      </c>
      <c r="CR110" s="2">
        <f t="shared" si="121"/>
        <v>971.67</v>
      </c>
      <c r="CS110" s="2">
        <f t="shared" si="122"/>
        <v>307.39999999999998</v>
      </c>
      <c r="CT110" s="2">
        <f t="shared" si="123"/>
        <v>253.97</v>
      </c>
      <c r="CU110" s="2">
        <f t="shared" si="124"/>
        <v>0</v>
      </c>
      <c r="CV110" s="2">
        <f t="shared" si="125"/>
        <v>26.4</v>
      </c>
      <c r="CW110" s="2">
        <f t="shared" si="126"/>
        <v>26.5</v>
      </c>
      <c r="CX110" s="2">
        <f t="shared" si="127"/>
        <v>0</v>
      </c>
      <c r="CY110" s="2">
        <f t="shared" si="128"/>
        <v>5.5538999999999996</v>
      </c>
      <c r="CZ110" s="2">
        <f t="shared" si="129"/>
        <v>3.3659999999999997</v>
      </c>
      <c r="DA110" s="2"/>
      <c r="DB110" s="2"/>
      <c r="DC110" s="2" t="s">
        <v>6</v>
      </c>
      <c r="DD110" s="2" t="s">
        <v>6</v>
      </c>
      <c r="DE110" s="2" t="s">
        <v>6</v>
      </c>
      <c r="DF110" s="2" t="s">
        <v>6</v>
      </c>
      <c r="DG110" s="2" t="s">
        <v>6</v>
      </c>
      <c r="DH110" s="2" t="s">
        <v>6</v>
      </c>
      <c r="DI110" s="2" t="s">
        <v>6</v>
      </c>
      <c r="DJ110" s="2" t="s">
        <v>6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1013</v>
      </c>
      <c r="DV110" s="2" t="s">
        <v>227</v>
      </c>
      <c r="DW110" s="2" t="s">
        <v>227</v>
      </c>
      <c r="DX110" s="2">
        <v>1</v>
      </c>
      <c r="DY110" s="2"/>
      <c r="DZ110" s="2"/>
      <c r="EA110" s="2"/>
      <c r="EB110" s="2"/>
      <c r="EC110" s="2"/>
      <c r="ED110" s="2"/>
      <c r="EE110" s="2">
        <v>16510555</v>
      </c>
      <c r="EF110" s="2">
        <v>2</v>
      </c>
      <c r="EG110" s="2" t="s">
        <v>18</v>
      </c>
      <c r="EH110" s="2">
        <v>0</v>
      </c>
      <c r="EI110" s="2" t="s">
        <v>6</v>
      </c>
      <c r="EJ110" s="2">
        <v>1</v>
      </c>
      <c r="EK110" s="2">
        <v>46001</v>
      </c>
      <c r="EL110" s="2" t="s">
        <v>19</v>
      </c>
      <c r="EM110" s="2" t="s">
        <v>20</v>
      </c>
      <c r="EN110" s="2"/>
      <c r="EO110" s="2" t="s">
        <v>6</v>
      </c>
      <c r="EP110" s="2"/>
      <c r="EQ110" s="2">
        <v>131072</v>
      </c>
      <c r="ER110" s="2">
        <v>7390.4</v>
      </c>
      <c r="ES110" s="2">
        <v>6164.76</v>
      </c>
      <c r="ET110" s="2">
        <v>971.67</v>
      </c>
      <c r="EU110" s="2">
        <v>307.39999999999998</v>
      </c>
      <c r="EV110" s="2">
        <v>253.97</v>
      </c>
      <c r="EW110" s="2">
        <v>26.4</v>
      </c>
      <c r="EX110" s="2">
        <v>26.5</v>
      </c>
      <c r="EY110" s="2">
        <v>0</v>
      </c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0"/>
        <v>0</v>
      </c>
      <c r="FS110" s="2">
        <v>0</v>
      </c>
      <c r="FT110" s="2" t="s">
        <v>21</v>
      </c>
      <c r="FU110" s="2" t="s">
        <v>22</v>
      </c>
      <c r="FV110" s="2"/>
      <c r="FW110" s="2"/>
      <c r="FX110" s="2">
        <v>99</v>
      </c>
      <c r="FY110" s="2">
        <v>59.5</v>
      </c>
      <c r="FZ110" s="2"/>
      <c r="GA110" s="2" t="s">
        <v>6</v>
      </c>
      <c r="GB110" s="2"/>
      <c r="GC110" s="2"/>
      <c r="GD110" s="2">
        <v>0</v>
      </c>
      <c r="GE110" s="2"/>
      <c r="GF110" s="2">
        <v>1182717789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31"/>
        <v>0</v>
      </c>
      <c r="GM110" s="2">
        <f t="shared" si="132"/>
        <v>82.83</v>
      </c>
      <c r="GN110" s="2">
        <f t="shared" si="133"/>
        <v>82.83</v>
      </c>
      <c r="GO110" s="2">
        <f t="shared" si="134"/>
        <v>0</v>
      </c>
      <c r="GP110" s="2">
        <f t="shared" si="135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36"/>
        <v>0</v>
      </c>
      <c r="GW110" s="2">
        <v>1</v>
      </c>
      <c r="GX110" s="2">
        <f t="shared" si="137"/>
        <v>0</v>
      </c>
      <c r="GY110" s="2"/>
      <c r="GZ110" s="2"/>
      <c r="HA110" s="2">
        <v>0</v>
      </c>
      <c r="HB110" s="2">
        <v>0</v>
      </c>
      <c r="HC110" s="2">
        <f t="shared" si="138"/>
        <v>0</v>
      </c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17</v>
      </c>
      <c r="B111">
        <v>1</v>
      </c>
      <c r="C111">
        <f>ROW(SmtRes!A304)</f>
        <v>304</v>
      </c>
      <c r="D111">
        <f>ROW(EtalonRes!A308)</f>
        <v>308</v>
      </c>
      <c r="E111" t="s">
        <v>224</v>
      </c>
      <c r="F111" t="s">
        <v>225</v>
      </c>
      <c r="G111" t="s">
        <v>226</v>
      </c>
      <c r="H111" t="s">
        <v>227</v>
      </c>
      <c r="I111">
        <f>ROUND(1/100,9)</f>
        <v>0.01</v>
      </c>
      <c r="J111">
        <v>0</v>
      </c>
      <c r="O111">
        <f t="shared" si="105"/>
        <v>451.56</v>
      </c>
      <c r="P111">
        <f t="shared" si="106"/>
        <v>376.67</v>
      </c>
      <c r="Q111">
        <f t="shared" si="107"/>
        <v>59.37</v>
      </c>
      <c r="R111">
        <f t="shared" si="108"/>
        <v>18.78</v>
      </c>
      <c r="S111">
        <f t="shared" si="109"/>
        <v>15.52</v>
      </c>
      <c r="T111">
        <f t="shared" si="110"/>
        <v>0</v>
      </c>
      <c r="U111">
        <f t="shared" si="111"/>
        <v>0.26400000000000001</v>
      </c>
      <c r="V111">
        <f t="shared" si="112"/>
        <v>0.26500000000000001</v>
      </c>
      <c r="W111">
        <f t="shared" si="113"/>
        <v>0</v>
      </c>
      <c r="X111">
        <f t="shared" si="114"/>
        <v>33.96</v>
      </c>
      <c r="Y111">
        <f t="shared" si="115"/>
        <v>20.58</v>
      </c>
      <c r="AA111">
        <v>16784196</v>
      </c>
      <c r="AB111">
        <f t="shared" si="116"/>
        <v>7390.4</v>
      </c>
      <c r="AC111">
        <f t="shared" si="139"/>
        <v>6164.76</v>
      </c>
      <c r="AD111">
        <f t="shared" si="140"/>
        <v>971.67</v>
      </c>
      <c r="AE111">
        <f t="shared" si="141"/>
        <v>307.39999999999998</v>
      </c>
      <c r="AF111">
        <f t="shared" si="141"/>
        <v>253.97</v>
      </c>
      <c r="AG111">
        <f t="shared" si="117"/>
        <v>0</v>
      </c>
      <c r="AH111">
        <f t="shared" si="142"/>
        <v>26.4</v>
      </c>
      <c r="AI111">
        <f t="shared" si="142"/>
        <v>26.5</v>
      </c>
      <c r="AJ111">
        <f t="shared" si="118"/>
        <v>0</v>
      </c>
      <c r="AK111">
        <v>7390.4</v>
      </c>
      <c r="AL111">
        <v>6164.76</v>
      </c>
      <c r="AM111">
        <v>971.67</v>
      </c>
      <c r="AN111">
        <v>307.39999999999998</v>
      </c>
      <c r="AO111">
        <v>253.97</v>
      </c>
      <c r="AP111">
        <v>0</v>
      </c>
      <c r="AQ111">
        <v>26.4</v>
      </c>
      <c r="AR111">
        <v>26.5</v>
      </c>
      <c r="AS111">
        <v>0</v>
      </c>
      <c r="AT111">
        <v>99</v>
      </c>
      <c r="AU111">
        <v>60</v>
      </c>
      <c r="AV111">
        <v>1</v>
      </c>
      <c r="AW111">
        <v>1</v>
      </c>
      <c r="AZ111">
        <v>6.11</v>
      </c>
      <c r="BA111">
        <v>6.11</v>
      </c>
      <c r="BB111">
        <v>6.11</v>
      </c>
      <c r="BC111">
        <v>6.11</v>
      </c>
      <c r="BD111" t="s">
        <v>6</v>
      </c>
      <c r="BE111" t="s">
        <v>6</v>
      </c>
      <c r="BF111" t="s">
        <v>6</v>
      </c>
      <c r="BG111" t="s">
        <v>6</v>
      </c>
      <c r="BH111">
        <v>0</v>
      </c>
      <c r="BI111">
        <v>1</v>
      </c>
      <c r="BJ111" t="s">
        <v>228</v>
      </c>
      <c r="BM111">
        <v>46001</v>
      </c>
      <c r="BN111">
        <v>0</v>
      </c>
      <c r="BO111" t="s">
        <v>6</v>
      </c>
      <c r="BP111">
        <v>0</v>
      </c>
      <c r="BQ111">
        <v>2</v>
      </c>
      <c r="BR111">
        <v>0</v>
      </c>
      <c r="BS111">
        <v>6.11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110</v>
      </c>
      <c r="CA111">
        <v>70</v>
      </c>
      <c r="CE111">
        <v>0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119"/>
        <v>451.56</v>
      </c>
      <c r="CQ111">
        <f t="shared" si="120"/>
        <v>37666.683600000004</v>
      </c>
      <c r="CR111">
        <f t="shared" si="121"/>
        <v>5936.9036999999998</v>
      </c>
      <c r="CS111">
        <f t="shared" si="122"/>
        <v>1878.2139999999999</v>
      </c>
      <c r="CT111">
        <f t="shared" si="123"/>
        <v>1551.7567000000001</v>
      </c>
      <c r="CU111">
        <f t="shared" si="124"/>
        <v>0</v>
      </c>
      <c r="CV111">
        <f t="shared" si="125"/>
        <v>26.4</v>
      </c>
      <c r="CW111">
        <f t="shared" si="126"/>
        <v>26.5</v>
      </c>
      <c r="CX111">
        <f t="shared" si="127"/>
        <v>0</v>
      </c>
      <c r="CY111">
        <f t="shared" si="128"/>
        <v>33.957000000000001</v>
      </c>
      <c r="CZ111">
        <f t="shared" si="129"/>
        <v>20.58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1013</v>
      </c>
      <c r="DV111" t="s">
        <v>227</v>
      </c>
      <c r="DW111" t="s">
        <v>227</v>
      </c>
      <c r="DX111">
        <v>1</v>
      </c>
      <c r="EE111">
        <v>16510555</v>
      </c>
      <c r="EF111">
        <v>2</v>
      </c>
      <c r="EG111" t="s">
        <v>18</v>
      </c>
      <c r="EH111">
        <v>0</v>
      </c>
      <c r="EI111" t="s">
        <v>6</v>
      </c>
      <c r="EJ111">
        <v>1</v>
      </c>
      <c r="EK111">
        <v>46001</v>
      </c>
      <c r="EL111" t="s">
        <v>19</v>
      </c>
      <c r="EM111" t="s">
        <v>20</v>
      </c>
      <c r="EO111" t="s">
        <v>6</v>
      </c>
      <c r="EQ111">
        <v>131072</v>
      </c>
      <c r="ER111">
        <v>7390.4</v>
      </c>
      <c r="ES111">
        <v>6164.76</v>
      </c>
      <c r="ET111">
        <v>971.67</v>
      </c>
      <c r="EU111">
        <v>307.39999999999998</v>
      </c>
      <c r="EV111">
        <v>253.97</v>
      </c>
      <c r="EW111">
        <v>26.4</v>
      </c>
      <c r="EX111">
        <v>26.5</v>
      </c>
      <c r="EY111">
        <v>0</v>
      </c>
      <c r="FQ111">
        <v>0</v>
      </c>
      <c r="FR111">
        <f t="shared" si="130"/>
        <v>0</v>
      </c>
      <c r="FS111">
        <v>0</v>
      </c>
      <c r="FT111" t="s">
        <v>21</v>
      </c>
      <c r="FU111" t="s">
        <v>22</v>
      </c>
      <c r="FX111">
        <v>99</v>
      </c>
      <c r="FY111">
        <v>59.5</v>
      </c>
      <c r="GA111" t="s">
        <v>6</v>
      </c>
      <c r="GD111">
        <v>0</v>
      </c>
      <c r="GF111">
        <v>1182717789</v>
      </c>
      <c r="GG111">
        <v>1</v>
      </c>
      <c r="GH111">
        <v>1</v>
      </c>
      <c r="GI111">
        <v>4</v>
      </c>
      <c r="GJ111">
        <v>0</v>
      </c>
      <c r="GK111">
        <f>ROUND(R111*(S12)/100,2)</f>
        <v>0</v>
      </c>
      <c r="GL111">
        <f t="shared" si="131"/>
        <v>0</v>
      </c>
      <c r="GM111">
        <f t="shared" si="132"/>
        <v>506.1</v>
      </c>
      <c r="GN111">
        <f t="shared" si="133"/>
        <v>506.1</v>
      </c>
      <c r="GO111">
        <f t="shared" si="134"/>
        <v>0</v>
      </c>
      <c r="GP111">
        <f t="shared" si="135"/>
        <v>0</v>
      </c>
      <c r="GR111">
        <v>0</v>
      </c>
      <c r="GS111">
        <v>3</v>
      </c>
      <c r="GT111">
        <v>0</v>
      </c>
      <c r="GU111" t="s">
        <v>6</v>
      </c>
      <c r="GV111">
        <f t="shared" si="136"/>
        <v>0</v>
      </c>
      <c r="GW111">
        <v>1</v>
      </c>
      <c r="GX111">
        <f t="shared" si="137"/>
        <v>0</v>
      </c>
      <c r="HA111">
        <v>0</v>
      </c>
      <c r="HB111">
        <v>0</v>
      </c>
      <c r="HC111">
        <f t="shared" si="138"/>
        <v>0</v>
      </c>
      <c r="IK111">
        <v>0</v>
      </c>
    </row>
    <row r="112" spans="1:255" x14ac:dyDescent="0.2">
      <c r="A112" s="2">
        <v>17</v>
      </c>
      <c r="B112" s="2">
        <v>1</v>
      </c>
      <c r="C112" s="2">
        <f>ROW(SmtRes!A309)</f>
        <v>309</v>
      </c>
      <c r="D112" s="2">
        <f>ROW(EtalonRes!A313)</f>
        <v>313</v>
      </c>
      <c r="E112" s="2" t="s">
        <v>229</v>
      </c>
      <c r="F112" s="2" t="s">
        <v>230</v>
      </c>
      <c r="G112" s="2" t="s">
        <v>231</v>
      </c>
      <c r="H112" s="2" t="s">
        <v>227</v>
      </c>
      <c r="I112" s="2">
        <f>ROUND(1/100,9)</f>
        <v>0.01</v>
      </c>
      <c r="J112" s="2">
        <v>0</v>
      </c>
      <c r="K112" s="2"/>
      <c r="L112" s="2"/>
      <c r="M112" s="2"/>
      <c r="N112" s="2"/>
      <c r="O112" s="2">
        <f t="shared" si="105"/>
        <v>55.7</v>
      </c>
      <c r="P112" s="2">
        <f t="shared" si="106"/>
        <v>46.24</v>
      </c>
      <c r="Q112" s="2">
        <f t="shared" si="107"/>
        <v>6.43</v>
      </c>
      <c r="R112" s="2">
        <f t="shared" si="108"/>
        <v>2.16</v>
      </c>
      <c r="S112" s="2">
        <f t="shared" si="109"/>
        <v>3.03</v>
      </c>
      <c r="T112" s="2">
        <f t="shared" si="110"/>
        <v>0</v>
      </c>
      <c r="U112" s="2">
        <f t="shared" si="111"/>
        <v>0.315</v>
      </c>
      <c r="V112" s="2">
        <f t="shared" si="112"/>
        <v>0.18600000000000003</v>
      </c>
      <c r="W112" s="2">
        <f t="shared" si="113"/>
        <v>0</v>
      </c>
      <c r="X112" s="2">
        <f t="shared" si="114"/>
        <v>5.14</v>
      </c>
      <c r="Y112" s="2">
        <f t="shared" si="115"/>
        <v>3.11</v>
      </c>
      <c r="Z112" s="2"/>
      <c r="AA112" s="2">
        <v>16784195</v>
      </c>
      <c r="AB112" s="2">
        <f t="shared" si="116"/>
        <v>5569.2</v>
      </c>
      <c r="AC112" s="2">
        <f>ROUND(((ES112*15)),2)</f>
        <v>4623.6000000000004</v>
      </c>
      <c r="AD112" s="2">
        <f>ROUND(((((ET112*15))-((EU112*15)))+AE112),2)</f>
        <v>642.6</v>
      </c>
      <c r="AE112" s="2">
        <f>ROUND(((EU112*15)),2)</f>
        <v>215.7</v>
      </c>
      <c r="AF112" s="2">
        <f>ROUND(((EV112*15)),2)</f>
        <v>303</v>
      </c>
      <c r="AG112" s="2">
        <f t="shared" si="117"/>
        <v>0</v>
      </c>
      <c r="AH112" s="2">
        <f>((EW112*15))</f>
        <v>31.5</v>
      </c>
      <c r="AI112" s="2">
        <f>((EX112*15))</f>
        <v>18.600000000000001</v>
      </c>
      <c r="AJ112" s="2">
        <f t="shared" si="118"/>
        <v>0</v>
      </c>
      <c r="AK112" s="2">
        <v>371.28</v>
      </c>
      <c r="AL112" s="2">
        <v>308.24</v>
      </c>
      <c r="AM112" s="2">
        <v>42.84</v>
      </c>
      <c r="AN112" s="2">
        <v>14.38</v>
      </c>
      <c r="AO112" s="2">
        <v>20.2</v>
      </c>
      <c r="AP112" s="2">
        <v>0</v>
      </c>
      <c r="AQ112" s="2">
        <v>2.1</v>
      </c>
      <c r="AR112" s="2">
        <v>1.24</v>
      </c>
      <c r="AS112" s="2">
        <v>0</v>
      </c>
      <c r="AT112" s="2">
        <v>99</v>
      </c>
      <c r="AU112" s="2">
        <v>60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0</v>
      </c>
      <c r="BI112" s="2">
        <v>1</v>
      </c>
      <c r="BJ112" s="2" t="s">
        <v>232</v>
      </c>
      <c r="BK112" s="2"/>
      <c r="BL112" s="2"/>
      <c r="BM112" s="2">
        <v>46001</v>
      </c>
      <c r="BN112" s="2">
        <v>0</v>
      </c>
      <c r="BO112" s="2" t="s">
        <v>6</v>
      </c>
      <c r="BP112" s="2">
        <v>0</v>
      </c>
      <c r="BQ112" s="2">
        <v>2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110</v>
      </c>
      <c r="CA112" s="2">
        <v>70</v>
      </c>
      <c r="CB112" s="2"/>
      <c r="CC112" s="2"/>
      <c r="CD112" s="2"/>
      <c r="CE112" s="2">
        <v>0</v>
      </c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6</v>
      </c>
      <c r="CO112" s="2">
        <v>0</v>
      </c>
      <c r="CP112" s="2">
        <f t="shared" si="119"/>
        <v>55.7</v>
      </c>
      <c r="CQ112" s="2">
        <f t="shared" si="120"/>
        <v>4623.6000000000004</v>
      </c>
      <c r="CR112" s="2">
        <f t="shared" si="121"/>
        <v>642.6</v>
      </c>
      <c r="CS112" s="2">
        <f t="shared" si="122"/>
        <v>215.7</v>
      </c>
      <c r="CT112" s="2">
        <f t="shared" si="123"/>
        <v>303</v>
      </c>
      <c r="CU112" s="2">
        <f t="shared" si="124"/>
        <v>0</v>
      </c>
      <c r="CV112" s="2">
        <f t="shared" si="125"/>
        <v>31.5</v>
      </c>
      <c r="CW112" s="2">
        <f t="shared" si="126"/>
        <v>18.600000000000001</v>
      </c>
      <c r="CX112" s="2">
        <f t="shared" si="127"/>
        <v>0</v>
      </c>
      <c r="CY112" s="2">
        <f t="shared" si="128"/>
        <v>5.1380999999999997</v>
      </c>
      <c r="CZ112" s="2">
        <f t="shared" si="129"/>
        <v>3.1139999999999999</v>
      </c>
      <c r="DA112" s="2"/>
      <c r="DB112" s="2"/>
      <c r="DC112" s="2" t="s">
        <v>6</v>
      </c>
      <c r="DD112" s="2" t="s">
        <v>233</v>
      </c>
      <c r="DE112" s="2" t="s">
        <v>233</v>
      </c>
      <c r="DF112" s="2" t="s">
        <v>233</v>
      </c>
      <c r="DG112" s="2" t="s">
        <v>233</v>
      </c>
      <c r="DH112" s="2" t="s">
        <v>6</v>
      </c>
      <c r="DI112" s="2" t="s">
        <v>233</v>
      </c>
      <c r="DJ112" s="2" t="s">
        <v>233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1013</v>
      </c>
      <c r="DV112" s="2" t="s">
        <v>227</v>
      </c>
      <c r="DW112" s="2" t="s">
        <v>227</v>
      </c>
      <c r="DX112" s="2">
        <v>1</v>
      </c>
      <c r="DY112" s="2"/>
      <c r="DZ112" s="2"/>
      <c r="EA112" s="2"/>
      <c r="EB112" s="2"/>
      <c r="EC112" s="2"/>
      <c r="ED112" s="2"/>
      <c r="EE112" s="2">
        <v>16510555</v>
      </c>
      <c r="EF112" s="2">
        <v>2</v>
      </c>
      <c r="EG112" s="2" t="s">
        <v>18</v>
      </c>
      <c r="EH112" s="2">
        <v>0</v>
      </c>
      <c r="EI112" s="2" t="s">
        <v>6</v>
      </c>
      <c r="EJ112" s="2">
        <v>1</v>
      </c>
      <c r="EK112" s="2">
        <v>46001</v>
      </c>
      <c r="EL112" s="2" t="s">
        <v>19</v>
      </c>
      <c r="EM112" s="2" t="s">
        <v>20</v>
      </c>
      <c r="EN112" s="2"/>
      <c r="EO112" s="2" t="s">
        <v>6</v>
      </c>
      <c r="EP112" s="2"/>
      <c r="EQ112" s="2">
        <v>131072</v>
      </c>
      <c r="ER112" s="2">
        <v>371.28</v>
      </c>
      <c r="ES112" s="2">
        <v>308.24</v>
      </c>
      <c r="ET112" s="2">
        <v>42.84</v>
      </c>
      <c r="EU112" s="2">
        <v>14.38</v>
      </c>
      <c r="EV112" s="2">
        <v>20.2</v>
      </c>
      <c r="EW112" s="2">
        <v>2.1</v>
      </c>
      <c r="EX112" s="2">
        <v>1.24</v>
      </c>
      <c r="EY112" s="2">
        <v>0</v>
      </c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0"/>
        <v>0</v>
      </c>
      <c r="FS112" s="2">
        <v>0</v>
      </c>
      <c r="FT112" s="2" t="s">
        <v>21</v>
      </c>
      <c r="FU112" s="2" t="s">
        <v>22</v>
      </c>
      <c r="FV112" s="2"/>
      <c r="FW112" s="2"/>
      <c r="FX112" s="2">
        <v>99</v>
      </c>
      <c r="FY112" s="2">
        <v>59.5</v>
      </c>
      <c r="FZ112" s="2"/>
      <c r="GA112" s="2" t="s">
        <v>6</v>
      </c>
      <c r="GB112" s="2"/>
      <c r="GC112" s="2"/>
      <c r="GD112" s="2">
        <v>0</v>
      </c>
      <c r="GE112" s="2"/>
      <c r="GF112" s="2">
        <v>486251178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31"/>
        <v>0</v>
      </c>
      <c r="GM112" s="2">
        <f t="shared" si="132"/>
        <v>63.95</v>
      </c>
      <c r="GN112" s="2">
        <f t="shared" si="133"/>
        <v>63.95</v>
      </c>
      <c r="GO112" s="2">
        <f t="shared" si="134"/>
        <v>0</v>
      </c>
      <c r="GP112" s="2">
        <f t="shared" si="135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36"/>
        <v>0</v>
      </c>
      <c r="GW112" s="2">
        <v>1</v>
      </c>
      <c r="GX112" s="2">
        <f t="shared" si="137"/>
        <v>0</v>
      </c>
      <c r="GY112" s="2"/>
      <c r="GZ112" s="2"/>
      <c r="HA112" s="2">
        <v>0</v>
      </c>
      <c r="HB112" s="2">
        <v>0</v>
      </c>
      <c r="HC112" s="2">
        <f t="shared" si="138"/>
        <v>0</v>
      </c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C113">
        <f>ROW(SmtRes!A314)</f>
        <v>314</v>
      </c>
      <c r="D113">
        <f>ROW(EtalonRes!A318)</f>
        <v>318</v>
      </c>
      <c r="E113" t="s">
        <v>229</v>
      </c>
      <c r="F113" t="s">
        <v>230</v>
      </c>
      <c r="G113" t="s">
        <v>231</v>
      </c>
      <c r="H113" t="s">
        <v>227</v>
      </c>
      <c r="I113">
        <f>ROUND(1/100,9)</f>
        <v>0.01</v>
      </c>
      <c r="J113">
        <v>0</v>
      </c>
      <c r="O113">
        <f t="shared" si="105"/>
        <v>340.27</v>
      </c>
      <c r="P113">
        <f t="shared" si="106"/>
        <v>282.5</v>
      </c>
      <c r="Q113">
        <f t="shared" si="107"/>
        <v>39.26</v>
      </c>
      <c r="R113">
        <f t="shared" si="108"/>
        <v>13.18</v>
      </c>
      <c r="S113">
        <f t="shared" si="109"/>
        <v>18.510000000000002</v>
      </c>
      <c r="T113">
        <f t="shared" si="110"/>
        <v>0</v>
      </c>
      <c r="U113">
        <f t="shared" si="111"/>
        <v>0.315</v>
      </c>
      <c r="V113">
        <f t="shared" si="112"/>
        <v>0.18600000000000003</v>
      </c>
      <c r="W113">
        <f t="shared" si="113"/>
        <v>0</v>
      </c>
      <c r="X113">
        <f t="shared" si="114"/>
        <v>31.37</v>
      </c>
      <c r="Y113">
        <f t="shared" si="115"/>
        <v>19.010000000000002</v>
      </c>
      <c r="AA113">
        <v>16784196</v>
      </c>
      <c r="AB113">
        <f t="shared" si="116"/>
        <v>5569.2</v>
      </c>
      <c r="AC113">
        <f>ROUND(((ES113*15)),2)</f>
        <v>4623.6000000000004</v>
      </c>
      <c r="AD113">
        <f>ROUND(((((ET113*15))-((EU113*15)))+AE113),2)</f>
        <v>642.6</v>
      </c>
      <c r="AE113">
        <f>ROUND(((EU113*15)),2)</f>
        <v>215.7</v>
      </c>
      <c r="AF113">
        <f>ROUND(((EV113*15)),2)</f>
        <v>303</v>
      </c>
      <c r="AG113">
        <f t="shared" si="117"/>
        <v>0</v>
      </c>
      <c r="AH113">
        <f>((EW113*15))</f>
        <v>31.5</v>
      </c>
      <c r="AI113">
        <f>((EX113*15))</f>
        <v>18.600000000000001</v>
      </c>
      <c r="AJ113">
        <f t="shared" si="118"/>
        <v>0</v>
      </c>
      <c r="AK113">
        <v>371.28</v>
      </c>
      <c r="AL113">
        <v>308.24</v>
      </c>
      <c r="AM113">
        <v>42.84</v>
      </c>
      <c r="AN113">
        <v>14.38</v>
      </c>
      <c r="AO113">
        <v>20.2</v>
      </c>
      <c r="AP113">
        <v>0</v>
      </c>
      <c r="AQ113">
        <v>2.1</v>
      </c>
      <c r="AR113">
        <v>1.24</v>
      </c>
      <c r="AS113">
        <v>0</v>
      </c>
      <c r="AT113">
        <v>99</v>
      </c>
      <c r="AU113">
        <v>60</v>
      </c>
      <c r="AV113">
        <v>1</v>
      </c>
      <c r="AW113">
        <v>1</v>
      </c>
      <c r="AZ113">
        <v>6.11</v>
      </c>
      <c r="BA113">
        <v>6.11</v>
      </c>
      <c r="BB113">
        <v>6.11</v>
      </c>
      <c r="BC113">
        <v>6.11</v>
      </c>
      <c r="BD113" t="s">
        <v>6</v>
      </c>
      <c r="BE113" t="s">
        <v>6</v>
      </c>
      <c r="BF113" t="s">
        <v>6</v>
      </c>
      <c r="BG113" t="s">
        <v>6</v>
      </c>
      <c r="BH113">
        <v>0</v>
      </c>
      <c r="BI113">
        <v>1</v>
      </c>
      <c r="BJ113" t="s">
        <v>232</v>
      </c>
      <c r="BM113">
        <v>46001</v>
      </c>
      <c r="BN113">
        <v>0</v>
      </c>
      <c r="BO113" t="s">
        <v>6</v>
      </c>
      <c r="BP113">
        <v>0</v>
      </c>
      <c r="BQ113">
        <v>2</v>
      </c>
      <c r="BR113">
        <v>0</v>
      </c>
      <c r="BS113">
        <v>6.11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110</v>
      </c>
      <c r="CA113">
        <v>70</v>
      </c>
      <c r="CE113">
        <v>0</v>
      </c>
      <c r="CF113">
        <v>0</v>
      </c>
      <c r="CG113">
        <v>0</v>
      </c>
      <c r="CM113">
        <v>0</v>
      </c>
      <c r="CN113" t="s">
        <v>6</v>
      </c>
      <c r="CO113">
        <v>0</v>
      </c>
      <c r="CP113">
        <f t="shared" si="119"/>
        <v>340.27</v>
      </c>
      <c r="CQ113">
        <f t="shared" si="120"/>
        <v>28250.196000000004</v>
      </c>
      <c r="CR113">
        <f t="shared" si="121"/>
        <v>3926.2860000000005</v>
      </c>
      <c r="CS113">
        <f t="shared" si="122"/>
        <v>1317.9269999999999</v>
      </c>
      <c r="CT113">
        <f t="shared" si="123"/>
        <v>1851.3300000000002</v>
      </c>
      <c r="CU113">
        <f t="shared" si="124"/>
        <v>0</v>
      </c>
      <c r="CV113">
        <f t="shared" si="125"/>
        <v>31.5</v>
      </c>
      <c r="CW113">
        <f t="shared" si="126"/>
        <v>18.600000000000001</v>
      </c>
      <c r="CX113">
        <f t="shared" si="127"/>
        <v>0</v>
      </c>
      <c r="CY113">
        <f t="shared" si="128"/>
        <v>31.373100000000001</v>
      </c>
      <c r="CZ113">
        <f t="shared" si="129"/>
        <v>19.013999999999999</v>
      </c>
      <c r="DC113" t="s">
        <v>6</v>
      </c>
      <c r="DD113" t="s">
        <v>233</v>
      </c>
      <c r="DE113" t="s">
        <v>233</v>
      </c>
      <c r="DF113" t="s">
        <v>233</v>
      </c>
      <c r="DG113" t="s">
        <v>233</v>
      </c>
      <c r="DH113" t="s">
        <v>6</v>
      </c>
      <c r="DI113" t="s">
        <v>233</v>
      </c>
      <c r="DJ113" t="s">
        <v>233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1013</v>
      </c>
      <c r="DV113" t="s">
        <v>227</v>
      </c>
      <c r="DW113" t="s">
        <v>227</v>
      </c>
      <c r="DX113">
        <v>1</v>
      </c>
      <c r="EE113">
        <v>16510555</v>
      </c>
      <c r="EF113">
        <v>2</v>
      </c>
      <c r="EG113" t="s">
        <v>18</v>
      </c>
      <c r="EH113">
        <v>0</v>
      </c>
      <c r="EI113" t="s">
        <v>6</v>
      </c>
      <c r="EJ113">
        <v>1</v>
      </c>
      <c r="EK113">
        <v>46001</v>
      </c>
      <c r="EL113" t="s">
        <v>19</v>
      </c>
      <c r="EM113" t="s">
        <v>20</v>
      </c>
      <c r="EO113" t="s">
        <v>6</v>
      </c>
      <c r="EQ113">
        <v>131072</v>
      </c>
      <c r="ER113">
        <v>371.28</v>
      </c>
      <c r="ES113">
        <v>308.24</v>
      </c>
      <c r="ET113">
        <v>42.84</v>
      </c>
      <c r="EU113">
        <v>14.38</v>
      </c>
      <c r="EV113">
        <v>20.2</v>
      </c>
      <c r="EW113">
        <v>2.1</v>
      </c>
      <c r="EX113">
        <v>1.24</v>
      </c>
      <c r="EY113">
        <v>0</v>
      </c>
      <c r="FQ113">
        <v>0</v>
      </c>
      <c r="FR113">
        <f t="shared" si="130"/>
        <v>0</v>
      </c>
      <c r="FS113">
        <v>0</v>
      </c>
      <c r="FT113" t="s">
        <v>21</v>
      </c>
      <c r="FU113" t="s">
        <v>22</v>
      </c>
      <c r="FX113">
        <v>99</v>
      </c>
      <c r="FY113">
        <v>59.5</v>
      </c>
      <c r="GA113" t="s">
        <v>6</v>
      </c>
      <c r="GD113">
        <v>0</v>
      </c>
      <c r="GF113">
        <v>486251178</v>
      </c>
      <c r="GG113">
        <v>1</v>
      </c>
      <c r="GH113">
        <v>1</v>
      </c>
      <c r="GI113">
        <v>4</v>
      </c>
      <c r="GJ113">
        <v>0</v>
      </c>
      <c r="GK113">
        <f>ROUND(R113*(S12)/100,2)</f>
        <v>0</v>
      </c>
      <c r="GL113">
        <f t="shared" si="131"/>
        <v>0</v>
      </c>
      <c r="GM113">
        <f t="shared" si="132"/>
        <v>390.65</v>
      </c>
      <c r="GN113">
        <f t="shared" si="133"/>
        <v>390.65</v>
      </c>
      <c r="GO113">
        <f t="shared" si="134"/>
        <v>0</v>
      </c>
      <c r="GP113">
        <f t="shared" si="135"/>
        <v>0</v>
      </c>
      <c r="GR113">
        <v>0</v>
      </c>
      <c r="GS113">
        <v>3</v>
      </c>
      <c r="GT113">
        <v>0</v>
      </c>
      <c r="GU113" t="s">
        <v>6</v>
      </c>
      <c r="GV113">
        <f t="shared" si="136"/>
        <v>0</v>
      </c>
      <c r="GW113">
        <v>1</v>
      </c>
      <c r="GX113">
        <f t="shared" si="137"/>
        <v>0</v>
      </c>
      <c r="HA113">
        <v>0</v>
      </c>
      <c r="HB113">
        <v>0</v>
      </c>
      <c r="HC113">
        <f t="shared" si="138"/>
        <v>0</v>
      </c>
      <c r="IK113">
        <v>0</v>
      </c>
    </row>
    <row r="114" spans="1:255" x14ac:dyDescent="0.2">
      <c r="A114" s="2">
        <v>17</v>
      </c>
      <c r="B114" s="2">
        <v>1</v>
      </c>
      <c r="C114" s="2">
        <f>ROW(SmtRes!A325)</f>
        <v>325</v>
      </c>
      <c r="D114" s="2">
        <f>ROW(EtalonRes!A329)</f>
        <v>329</v>
      </c>
      <c r="E114" s="2" t="s">
        <v>234</v>
      </c>
      <c r="F114" s="2" t="s">
        <v>235</v>
      </c>
      <c r="G114" s="2" t="s">
        <v>236</v>
      </c>
      <c r="H114" s="2" t="s">
        <v>128</v>
      </c>
      <c r="I114" s="2">
        <v>3.0000000000000001E-3</v>
      </c>
      <c r="J114" s="2">
        <v>0</v>
      </c>
      <c r="K114" s="2"/>
      <c r="L114" s="2"/>
      <c r="M114" s="2"/>
      <c r="N114" s="2"/>
      <c r="O114" s="2">
        <f t="shared" si="105"/>
        <v>3.69</v>
      </c>
      <c r="P114" s="2">
        <f t="shared" si="106"/>
        <v>1.78</v>
      </c>
      <c r="Q114" s="2">
        <f t="shared" si="107"/>
        <v>0.08</v>
      </c>
      <c r="R114" s="2">
        <f t="shared" si="108"/>
        <v>0.01</v>
      </c>
      <c r="S114" s="2">
        <f t="shared" si="109"/>
        <v>1.83</v>
      </c>
      <c r="T114" s="2">
        <f t="shared" si="110"/>
        <v>0</v>
      </c>
      <c r="U114" s="2">
        <f t="shared" si="111"/>
        <v>0.22566</v>
      </c>
      <c r="V114" s="2">
        <f t="shared" si="112"/>
        <v>1.2000000000000001E-3</v>
      </c>
      <c r="W114" s="2">
        <f t="shared" si="113"/>
        <v>0</v>
      </c>
      <c r="X114" s="2">
        <f t="shared" si="114"/>
        <v>1.82</v>
      </c>
      <c r="Y114" s="2">
        <f t="shared" si="115"/>
        <v>1.1000000000000001</v>
      </c>
      <c r="Z114" s="2"/>
      <c r="AA114" s="2">
        <v>16784195</v>
      </c>
      <c r="AB114" s="2">
        <f t="shared" si="116"/>
        <v>1229.96</v>
      </c>
      <c r="AC114" s="2">
        <f t="shared" ref="AC114:AC121" si="143">ROUND((ES114),2)</f>
        <v>594.79</v>
      </c>
      <c r="AD114" s="2">
        <f t="shared" ref="AD114:AD119" si="144">ROUND((((ET114)-(EU114))+AE114),2)</f>
        <v>26.64</v>
      </c>
      <c r="AE114" s="2">
        <f t="shared" ref="AE114:AF119" si="145">ROUND((EU114),2)</f>
        <v>4.6399999999999997</v>
      </c>
      <c r="AF114" s="2">
        <f t="shared" si="145"/>
        <v>608.53</v>
      </c>
      <c r="AG114" s="2">
        <f t="shared" si="117"/>
        <v>0</v>
      </c>
      <c r="AH114" s="2">
        <f t="shared" ref="AH114:AI119" si="146">(EW114)</f>
        <v>75.22</v>
      </c>
      <c r="AI114" s="2">
        <f t="shared" si="146"/>
        <v>0.4</v>
      </c>
      <c r="AJ114" s="2">
        <f t="shared" si="118"/>
        <v>0</v>
      </c>
      <c r="AK114" s="2">
        <v>1229.96</v>
      </c>
      <c r="AL114" s="2">
        <v>594.79</v>
      </c>
      <c r="AM114" s="2">
        <v>26.64</v>
      </c>
      <c r="AN114" s="2">
        <v>4.6399999999999997</v>
      </c>
      <c r="AO114" s="2">
        <v>608.53</v>
      </c>
      <c r="AP114" s="2">
        <v>0</v>
      </c>
      <c r="AQ114" s="2">
        <v>75.22</v>
      </c>
      <c r="AR114" s="2">
        <v>0.4</v>
      </c>
      <c r="AS114" s="2">
        <v>0</v>
      </c>
      <c r="AT114" s="2">
        <v>99</v>
      </c>
      <c r="AU114" s="2">
        <v>60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0</v>
      </c>
      <c r="BI114" s="2">
        <v>1</v>
      </c>
      <c r="BJ114" s="2" t="s">
        <v>237</v>
      </c>
      <c r="BK114" s="2"/>
      <c r="BL114" s="2"/>
      <c r="BM114" s="2">
        <v>46001</v>
      </c>
      <c r="BN114" s="2">
        <v>0</v>
      </c>
      <c r="BO114" s="2" t="s">
        <v>6</v>
      </c>
      <c r="BP114" s="2">
        <v>0</v>
      </c>
      <c r="BQ114" s="2">
        <v>2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110</v>
      </c>
      <c r="CA114" s="2">
        <v>70</v>
      </c>
      <c r="CB114" s="2"/>
      <c r="CC114" s="2"/>
      <c r="CD114" s="2"/>
      <c r="CE114" s="2">
        <v>0</v>
      </c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6</v>
      </c>
      <c r="CO114" s="2">
        <v>0</v>
      </c>
      <c r="CP114" s="2">
        <f t="shared" si="119"/>
        <v>3.6900000000000004</v>
      </c>
      <c r="CQ114" s="2">
        <f t="shared" si="120"/>
        <v>594.79</v>
      </c>
      <c r="CR114" s="2">
        <f t="shared" si="121"/>
        <v>26.64</v>
      </c>
      <c r="CS114" s="2">
        <f t="shared" si="122"/>
        <v>4.6399999999999997</v>
      </c>
      <c r="CT114" s="2">
        <f t="shared" si="123"/>
        <v>608.53</v>
      </c>
      <c r="CU114" s="2">
        <f t="shared" si="124"/>
        <v>0</v>
      </c>
      <c r="CV114" s="2">
        <f t="shared" si="125"/>
        <v>75.22</v>
      </c>
      <c r="CW114" s="2">
        <f t="shared" si="126"/>
        <v>0.4</v>
      </c>
      <c r="CX114" s="2">
        <f t="shared" si="127"/>
        <v>0</v>
      </c>
      <c r="CY114" s="2">
        <f t="shared" si="128"/>
        <v>1.8215999999999999</v>
      </c>
      <c r="CZ114" s="2">
        <f t="shared" si="129"/>
        <v>1.1040000000000001</v>
      </c>
      <c r="DA114" s="2"/>
      <c r="DB114" s="2"/>
      <c r="DC114" s="2" t="s">
        <v>6</v>
      </c>
      <c r="DD114" s="2" t="s">
        <v>6</v>
      </c>
      <c r="DE114" s="2" t="s">
        <v>6</v>
      </c>
      <c r="DF114" s="2" t="s">
        <v>6</v>
      </c>
      <c r="DG114" s="2" t="s">
        <v>6</v>
      </c>
      <c r="DH114" s="2" t="s">
        <v>6</v>
      </c>
      <c r="DI114" s="2" t="s">
        <v>6</v>
      </c>
      <c r="DJ114" s="2" t="s">
        <v>6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1007</v>
      </c>
      <c r="DV114" s="2" t="s">
        <v>128</v>
      </c>
      <c r="DW114" s="2" t="s">
        <v>128</v>
      </c>
      <c r="DX114" s="2">
        <v>1</v>
      </c>
      <c r="DY114" s="2"/>
      <c r="DZ114" s="2"/>
      <c r="EA114" s="2"/>
      <c r="EB114" s="2"/>
      <c r="EC114" s="2"/>
      <c r="ED114" s="2"/>
      <c r="EE114" s="2">
        <v>16510555</v>
      </c>
      <c r="EF114" s="2">
        <v>2</v>
      </c>
      <c r="EG114" s="2" t="s">
        <v>18</v>
      </c>
      <c r="EH114" s="2">
        <v>0</v>
      </c>
      <c r="EI114" s="2" t="s">
        <v>6</v>
      </c>
      <c r="EJ114" s="2">
        <v>1</v>
      </c>
      <c r="EK114" s="2">
        <v>46001</v>
      </c>
      <c r="EL114" s="2" t="s">
        <v>19</v>
      </c>
      <c r="EM114" s="2" t="s">
        <v>20</v>
      </c>
      <c r="EN114" s="2"/>
      <c r="EO114" s="2" t="s">
        <v>6</v>
      </c>
      <c r="EP114" s="2"/>
      <c r="EQ114" s="2">
        <v>131072</v>
      </c>
      <c r="ER114" s="2">
        <v>1229.96</v>
      </c>
      <c r="ES114" s="2">
        <v>594.79</v>
      </c>
      <c r="ET114" s="2">
        <v>26.64</v>
      </c>
      <c r="EU114" s="2">
        <v>4.6399999999999997</v>
      </c>
      <c r="EV114" s="2">
        <v>608.53</v>
      </c>
      <c r="EW114" s="2">
        <v>75.22</v>
      </c>
      <c r="EX114" s="2">
        <v>0.4</v>
      </c>
      <c r="EY114" s="2">
        <v>0</v>
      </c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0"/>
        <v>0</v>
      </c>
      <c r="FS114" s="2">
        <v>0</v>
      </c>
      <c r="FT114" s="2" t="s">
        <v>21</v>
      </c>
      <c r="FU114" s="2" t="s">
        <v>22</v>
      </c>
      <c r="FV114" s="2"/>
      <c r="FW114" s="2"/>
      <c r="FX114" s="2">
        <v>99</v>
      </c>
      <c r="FY114" s="2">
        <v>59.5</v>
      </c>
      <c r="FZ114" s="2"/>
      <c r="GA114" s="2" t="s">
        <v>6</v>
      </c>
      <c r="GB114" s="2"/>
      <c r="GC114" s="2"/>
      <c r="GD114" s="2">
        <v>0</v>
      </c>
      <c r="GE114" s="2"/>
      <c r="GF114" s="2">
        <v>490078010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31"/>
        <v>0</v>
      </c>
      <c r="GM114" s="2">
        <f t="shared" si="132"/>
        <v>6.61</v>
      </c>
      <c r="GN114" s="2">
        <f t="shared" si="133"/>
        <v>6.61</v>
      </c>
      <c r="GO114" s="2">
        <f t="shared" si="134"/>
        <v>0</v>
      </c>
      <c r="GP114" s="2">
        <f t="shared" si="135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36"/>
        <v>0</v>
      </c>
      <c r="GW114" s="2">
        <v>1</v>
      </c>
      <c r="GX114" s="2">
        <f t="shared" si="137"/>
        <v>0</v>
      </c>
      <c r="GY114" s="2"/>
      <c r="GZ114" s="2"/>
      <c r="HA114" s="2">
        <v>0</v>
      </c>
      <c r="HB114" s="2">
        <v>0</v>
      </c>
      <c r="HC114" s="2">
        <f t="shared" si="138"/>
        <v>0</v>
      </c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17</v>
      </c>
      <c r="B115">
        <v>1</v>
      </c>
      <c r="C115">
        <f>ROW(SmtRes!A336)</f>
        <v>336</v>
      </c>
      <c r="D115">
        <f>ROW(EtalonRes!A340)</f>
        <v>340</v>
      </c>
      <c r="E115" t="s">
        <v>234</v>
      </c>
      <c r="F115" t="s">
        <v>235</v>
      </c>
      <c r="G115" t="s">
        <v>236</v>
      </c>
      <c r="H115" t="s">
        <v>128</v>
      </c>
      <c r="I115">
        <v>3.0000000000000001E-3</v>
      </c>
      <c r="J115">
        <v>0</v>
      </c>
      <c r="O115">
        <f t="shared" si="105"/>
        <v>22.54</v>
      </c>
      <c r="P115">
        <f t="shared" si="106"/>
        <v>10.9</v>
      </c>
      <c r="Q115">
        <f t="shared" si="107"/>
        <v>0.49</v>
      </c>
      <c r="R115">
        <f t="shared" si="108"/>
        <v>0.09</v>
      </c>
      <c r="S115">
        <f t="shared" si="109"/>
        <v>11.15</v>
      </c>
      <c r="T115">
        <f t="shared" si="110"/>
        <v>0</v>
      </c>
      <c r="U115">
        <f t="shared" si="111"/>
        <v>0.22566</v>
      </c>
      <c r="V115">
        <f t="shared" si="112"/>
        <v>1.2000000000000001E-3</v>
      </c>
      <c r="W115">
        <f t="shared" si="113"/>
        <v>0</v>
      </c>
      <c r="X115">
        <f t="shared" si="114"/>
        <v>11.13</v>
      </c>
      <c r="Y115">
        <f t="shared" si="115"/>
        <v>6.74</v>
      </c>
      <c r="AA115">
        <v>16784196</v>
      </c>
      <c r="AB115">
        <f t="shared" si="116"/>
        <v>1229.96</v>
      </c>
      <c r="AC115">
        <f t="shared" si="143"/>
        <v>594.79</v>
      </c>
      <c r="AD115">
        <f t="shared" si="144"/>
        <v>26.64</v>
      </c>
      <c r="AE115">
        <f t="shared" si="145"/>
        <v>4.6399999999999997</v>
      </c>
      <c r="AF115">
        <f t="shared" si="145"/>
        <v>608.53</v>
      </c>
      <c r="AG115">
        <f t="shared" si="117"/>
        <v>0</v>
      </c>
      <c r="AH115">
        <f t="shared" si="146"/>
        <v>75.22</v>
      </c>
      <c r="AI115">
        <f t="shared" si="146"/>
        <v>0.4</v>
      </c>
      <c r="AJ115">
        <f t="shared" si="118"/>
        <v>0</v>
      </c>
      <c r="AK115">
        <v>1229.96</v>
      </c>
      <c r="AL115">
        <v>594.79</v>
      </c>
      <c r="AM115">
        <v>26.64</v>
      </c>
      <c r="AN115">
        <v>4.6399999999999997</v>
      </c>
      <c r="AO115">
        <v>608.53</v>
      </c>
      <c r="AP115">
        <v>0</v>
      </c>
      <c r="AQ115">
        <v>75.22</v>
      </c>
      <c r="AR115">
        <v>0.4</v>
      </c>
      <c r="AS115">
        <v>0</v>
      </c>
      <c r="AT115">
        <v>99</v>
      </c>
      <c r="AU115">
        <v>60</v>
      </c>
      <c r="AV115">
        <v>1</v>
      </c>
      <c r="AW115">
        <v>1</v>
      </c>
      <c r="AZ115">
        <v>6.11</v>
      </c>
      <c r="BA115">
        <v>6.11</v>
      </c>
      <c r="BB115">
        <v>6.11</v>
      </c>
      <c r="BC115">
        <v>6.11</v>
      </c>
      <c r="BD115" t="s">
        <v>6</v>
      </c>
      <c r="BE115" t="s">
        <v>6</v>
      </c>
      <c r="BF115" t="s">
        <v>6</v>
      </c>
      <c r="BG115" t="s">
        <v>6</v>
      </c>
      <c r="BH115">
        <v>0</v>
      </c>
      <c r="BI115">
        <v>1</v>
      </c>
      <c r="BJ115" t="s">
        <v>237</v>
      </c>
      <c r="BM115">
        <v>46001</v>
      </c>
      <c r="BN115">
        <v>0</v>
      </c>
      <c r="BO115" t="s">
        <v>6</v>
      </c>
      <c r="BP115">
        <v>0</v>
      </c>
      <c r="BQ115">
        <v>2</v>
      </c>
      <c r="BR115">
        <v>0</v>
      </c>
      <c r="BS115">
        <v>6.11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110</v>
      </c>
      <c r="CA115">
        <v>70</v>
      </c>
      <c r="CE115">
        <v>0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119"/>
        <v>22.54</v>
      </c>
      <c r="CQ115">
        <f t="shared" si="120"/>
        <v>3634.1669000000002</v>
      </c>
      <c r="CR115">
        <f t="shared" si="121"/>
        <v>162.77040000000002</v>
      </c>
      <c r="CS115">
        <f t="shared" si="122"/>
        <v>28.3504</v>
      </c>
      <c r="CT115">
        <f t="shared" si="123"/>
        <v>3718.1183000000001</v>
      </c>
      <c r="CU115">
        <f t="shared" si="124"/>
        <v>0</v>
      </c>
      <c r="CV115">
        <f t="shared" si="125"/>
        <v>75.22</v>
      </c>
      <c r="CW115">
        <f t="shared" si="126"/>
        <v>0.4</v>
      </c>
      <c r="CX115">
        <f t="shared" si="127"/>
        <v>0</v>
      </c>
      <c r="CY115">
        <f t="shared" si="128"/>
        <v>11.127599999999999</v>
      </c>
      <c r="CZ115">
        <f t="shared" si="129"/>
        <v>6.7439999999999998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1007</v>
      </c>
      <c r="DV115" t="s">
        <v>128</v>
      </c>
      <c r="DW115" t="s">
        <v>128</v>
      </c>
      <c r="DX115">
        <v>1</v>
      </c>
      <c r="EE115">
        <v>16510555</v>
      </c>
      <c r="EF115">
        <v>2</v>
      </c>
      <c r="EG115" t="s">
        <v>18</v>
      </c>
      <c r="EH115">
        <v>0</v>
      </c>
      <c r="EI115" t="s">
        <v>6</v>
      </c>
      <c r="EJ115">
        <v>1</v>
      </c>
      <c r="EK115">
        <v>46001</v>
      </c>
      <c r="EL115" t="s">
        <v>19</v>
      </c>
      <c r="EM115" t="s">
        <v>20</v>
      </c>
      <c r="EO115" t="s">
        <v>6</v>
      </c>
      <c r="EQ115">
        <v>131072</v>
      </c>
      <c r="ER115">
        <v>1229.96</v>
      </c>
      <c r="ES115">
        <v>594.79</v>
      </c>
      <c r="ET115">
        <v>26.64</v>
      </c>
      <c r="EU115">
        <v>4.6399999999999997</v>
      </c>
      <c r="EV115">
        <v>608.53</v>
      </c>
      <c r="EW115">
        <v>75.22</v>
      </c>
      <c r="EX115">
        <v>0.4</v>
      </c>
      <c r="EY115">
        <v>0</v>
      </c>
      <c r="FQ115">
        <v>0</v>
      </c>
      <c r="FR115">
        <f t="shared" si="130"/>
        <v>0</v>
      </c>
      <c r="FS115">
        <v>0</v>
      </c>
      <c r="FT115" t="s">
        <v>21</v>
      </c>
      <c r="FU115" t="s">
        <v>22</v>
      </c>
      <c r="FX115">
        <v>99</v>
      </c>
      <c r="FY115">
        <v>59.5</v>
      </c>
      <c r="GA115" t="s">
        <v>6</v>
      </c>
      <c r="GD115">
        <v>0</v>
      </c>
      <c r="GF115">
        <v>490078010</v>
      </c>
      <c r="GG115">
        <v>1</v>
      </c>
      <c r="GH115">
        <v>1</v>
      </c>
      <c r="GI115">
        <v>4</v>
      </c>
      <c r="GJ115">
        <v>0</v>
      </c>
      <c r="GK115">
        <f>ROUND(R115*(S12)/100,2)</f>
        <v>0</v>
      </c>
      <c r="GL115">
        <f t="shared" si="131"/>
        <v>0</v>
      </c>
      <c r="GM115">
        <f t="shared" si="132"/>
        <v>40.409999999999997</v>
      </c>
      <c r="GN115">
        <f t="shared" si="133"/>
        <v>40.409999999999997</v>
      </c>
      <c r="GO115">
        <f t="shared" si="134"/>
        <v>0</v>
      </c>
      <c r="GP115">
        <f t="shared" si="135"/>
        <v>0</v>
      </c>
      <c r="GR115">
        <v>0</v>
      </c>
      <c r="GS115">
        <v>3</v>
      </c>
      <c r="GT115">
        <v>0</v>
      </c>
      <c r="GU115" t="s">
        <v>6</v>
      </c>
      <c r="GV115">
        <f t="shared" si="136"/>
        <v>0</v>
      </c>
      <c r="GW115">
        <v>1</v>
      </c>
      <c r="GX115">
        <f t="shared" si="137"/>
        <v>0</v>
      </c>
      <c r="HA115">
        <v>0</v>
      </c>
      <c r="HB115">
        <v>0</v>
      </c>
      <c r="HC115">
        <f t="shared" si="138"/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322</v>
      </c>
      <c r="D116" s="2"/>
      <c r="E116" s="2" t="s">
        <v>238</v>
      </c>
      <c r="F116" s="2" t="s">
        <v>239</v>
      </c>
      <c r="G116" s="2" t="s">
        <v>240</v>
      </c>
      <c r="H116" s="2" t="s">
        <v>128</v>
      </c>
      <c r="I116" s="2">
        <f>I114*J116</f>
        <v>3.1200000000000004E-3</v>
      </c>
      <c r="J116" s="2">
        <v>1.04</v>
      </c>
      <c r="K116" s="2"/>
      <c r="L116" s="2"/>
      <c r="M116" s="2"/>
      <c r="N116" s="2"/>
      <c r="O116" s="2">
        <f t="shared" si="105"/>
        <v>1.62</v>
      </c>
      <c r="P116" s="2">
        <f t="shared" si="106"/>
        <v>1.62</v>
      </c>
      <c r="Q116" s="2">
        <f t="shared" si="107"/>
        <v>0</v>
      </c>
      <c r="R116" s="2">
        <f t="shared" si="108"/>
        <v>0</v>
      </c>
      <c r="S116" s="2">
        <f t="shared" si="109"/>
        <v>0</v>
      </c>
      <c r="T116" s="2">
        <f t="shared" si="110"/>
        <v>0</v>
      </c>
      <c r="U116" s="2">
        <f t="shared" si="111"/>
        <v>0</v>
      </c>
      <c r="V116" s="2">
        <f t="shared" si="112"/>
        <v>0</v>
      </c>
      <c r="W116" s="2">
        <f t="shared" si="113"/>
        <v>0</v>
      </c>
      <c r="X116" s="2">
        <f t="shared" si="114"/>
        <v>0</v>
      </c>
      <c r="Y116" s="2">
        <f t="shared" si="115"/>
        <v>0</v>
      </c>
      <c r="Z116" s="2"/>
      <c r="AA116" s="2">
        <v>16784195</v>
      </c>
      <c r="AB116" s="2">
        <f t="shared" si="116"/>
        <v>519.79999999999995</v>
      </c>
      <c r="AC116" s="2">
        <f t="shared" si="143"/>
        <v>519.79999999999995</v>
      </c>
      <c r="AD116" s="2">
        <f t="shared" si="144"/>
        <v>0</v>
      </c>
      <c r="AE116" s="2">
        <f t="shared" si="145"/>
        <v>0</v>
      </c>
      <c r="AF116" s="2">
        <f t="shared" si="145"/>
        <v>0</v>
      </c>
      <c r="AG116" s="2">
        <f t="shared" si="117"/>
        <v>0</v>
      </c>
      <c r="AH116" s="2">
        <f t="shared" si="146"/>
        <v>0</v>
      </c>
      <c r="AI116" s="2">
        <f t="shared" si="146"/>
        <v>0</v>
      </c>
      <c r="AJ116" s="2">
        <f t="shared" si="118"/>
        <v>0</v>
      </c>
      <c r="AK116" s="2">
        <v>519.79999999999995</v>
      </c>
      <c r="AL116" s="2">
        <v>519.79999999999995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99</v>
      </c>
      <c r="AU116" s="2">
        <v>60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3</v>
      </c>
      <c r="BI116" s="2">
        <v>1</v>
      </c>
      <c r="BJ116" s="2" t="s">
        <v>241</v>
      </c>
      <c r="BK116" s="2"/>
      <c r="BL116" s="2"/>
      <c r="BM116" s="2">
        <v>46001</v>
      </c>
      <c r="BN116" s="2">
        <v>0</v>
      </c>
      <c r="BO116" s="2" t="s">
        <v>6</v>
      </c>
      <c r="BP116" s="2">
        <v>0</v>
      </c>
      <c r="BQ116" s="2">
        <v>2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110</v>
      </c>
      <c r="CA116" s="2">
        <v>70</v>
      </c>
      <c r="CB116" s="2"/>
      <c r="CC116" s="2"/>
      <c r="CD116" s="2"/>
      <c r="CE116" s="2">
        <v>0</v>
      </c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</v>
      </c>
      <c r="CO116" s="2">
        <v>0</v>
      </c>
      <c r="CP116" s="2">
        <f t="shared" si="119"/>
        <v>1.62</v>
      </c>
      <c r="CQ116" s="2">
        <f t="shared" si="120"/>
        <v>519.79999999999995</v>
      </c>
      <c r="CR116" s="2">
        <f t="shared" si="121"/>
        <v>0</v>
      </c>
      <c r="CS116" s="2">
        <f t="shared" si="122"/>
        <v>0</v>
      </c>
      <c r="CT116" s="2">
        <f t="shared" si="123"/>
        <v>0</v>
      </c>
      <c r="CU116" s="2">
        <f t="shared" si="124"/>
        <v>0</v>
      </c>
      <c r="CV116" s="2">
        <f t="shared" si="125"/>
        <v>0</v>
      </c>
      <c r="CW116" s="2">
        <f t="shared" si="126"/>
        <v>0</v>
      </c>
      <c r="CX116" s="2">
        <f t="shared" si="127"/>
        <v>0</v>
      </c>
      <c r="CY116" s="2">
        <f t="shared" si="128"/>
        <v>0</v>
      </c>
      <c r="CZ116" s="2">
        <f t="shared" si="129"/>
        <v>0</v>
      </c>
      <c r="DA116" s="2"/>
      <c r="DB116" s="2"/>
      <c r="DC116" s="2" t="s">
        <v>6</v>
      </c>
      <c r="DD116" s="2" t="s">
        <v>6</v>
      </c>
      <c r="DE116" s="2" t="s">
        <v>6</v>
      </c>
      <c r="DF116" s="2" t="s">
        <v>6</v>
      </c>
      <c r="DG116" s="2" t="s">
        <v>6</v>
      </c>
      <c r="DH116" s="2" t="s">
        <v>6</v>
      </c>
      <c r="DI116" s="2" t="s">
        <v>6</v>
      </c>
      <c r="DJ116" s="2" t="s">
        <v>6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1007</v>
      </c>
      <c r="DV116" s="2" t="s">
        <v>128</v>
      </c>
      <c r="DW116" s="2" t="s">
        <v>128</v>
      </c>
      <c r="DX116" s="2">
        <v>1</v>
      </c>
      <c r="DY116" s="2"/>
      <c r="DZ116" s="2"/>
      <c r="EA116" s="2"/>
      <c r="EB116" s="2"/>
      <c r="EC116" s="2"/>
      <c r="ED116" s="2"/>
      <c r="EE116" s="2">
        <v>16510555</v>
      </c>
      <c r="EF116" s="2">
        <v>2</v>
      </c>
      <c r="EG116" s="2" t="s">
        <v>18</v>
      </c>
      <c r="EH116" s="2">
        <v>0</v>
      </c>
      <c r="EI116" s="2" t="s">
        <v>6</v>
      </c>
      <c r="EJ116" s="2">
        <v>1</v>
      </c>
      <c r="EK116" s="2">
        <v>46001</v>
      </c>
      <c r="EL116" s="2" t="s">
        <v>19</v>
      </c>
      <c r="EM116" s="2" t="s">
        <v>20</v>
      </c>
      <c r="EN116" s="2"/>
      <c r="EO116" s="2" t="s">
        <v>6</v>
      </c>
      <c r="EP116" s="2"/>
      <c r="EQ116" s="2">
        <v>0</v>
      </c>
      <c r="ER116" s="2">
        <v>519.79999999999995</v>
      </c>
      <c r="ES116" s="2">
        <v>519.79999999999995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0"/>
        <v>0</v>
      </c>
      <c r="FS116" s="2">
        <v>0</v>
      </c>
      <c r="FT116" s="2" t="s">
        <v>21</v>
      </c>
      <c r="FU116" s="2" t="s">
        <v>22</v>
      </c>
      <c r="FV116" s="2"/>
      <c r="FW116" s="2"/>
      <c r="FX116" s="2">
        <v>99</v>
      </c>
      <c r="FY116" s="2">
        <v>59.5</v>
      </c>
      <c r="FZ116" s="2"/>
      <c r="GA116" s="2" t="s">
        <v>6</v>
      </c>
      <c r="GB116" s="2"/>
      <c r="GC116" s="2"/>
      <c r="GD116" s="2">
        <v>0</v>
      </c>
      <c r="GE116" s="2"/>
      <c r="GF116" s="2">
        <v>1059503882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31"/>
        <v>0</v>
      </c>
      <c r="GM116" s="2">
        <f t="shared" si="132"/>
        <v>1.62</v>
      </c>
      <c r="GN116" s="2">
        <f t="shared" si="133"/>
        <v>1.62</v>
      </c>
      <c r="GO116" s="2">
        <f t="shared" si="134"/>
        <v>0</v>
      </c>
      <c r="GP116" s="2">
        <f t="shared" si="135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36"/>
        <v>0</v>
      </c>
      <c r="GW116" s="2">
        <v>1</v>
      </c>
      <c r="GX116" s="2">
        <f t="shared" si="137"/>
        <v>0</v>
      </c>
      <c r="GY116" s="2"/>
      <c r="GZ116" s="2"/>
      <c r="HA116" s="2">
        <v>0</v>
      </c>
      <c r="HB116" s="2">
        <v>0</v>
      </c>
      <c r="HC116" s="2">
        <f t="shared" si="138"/>
        <v>0</v>
      </c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333</v>
      </c>
      <c r="E117" t="s">
        <v>238</v>
      </c>
      <c r="F117" t="s">
        <v>239</v>
      </c>
      <c r="G117" t="s">
        <v>240</v>
      </c>
      <c r="H117" t="s">
        <v>128</v>
      </c>
      <c r="I117">
        <f>I115*J117</f>
        <v>3.1200000000000004E-3</v>
      </c>
      <c r="J117">
        <v>1.04</v>
      </c>
      <c r="O117">
        <f t="shared" si="105"/>
        <v>9.91</v>
      </c>
      <c r="P117">
        <f t="shared" si="106"/>
        <v>9.91</v>
      </c>
      <c r="Q117">
        <f t="shared" si="107"/>
        <v>0</v>
      </c>
      <c r="R117">
        <f t="shared" si="108"/>
        <v>0</v>
      </c>
      <c r="S117">
        <f t="shared" si="109"/>
        <v>0</v>
      </c>
      <c r="T117">
        <f t="shared" si="110"/>
        <v>0</v>
      </c>
      <c r="U117">
        <f t="shared" si="111"/>
        <v>0</v>
      </c>
      <c r="V117">
        <f t="shared" si="112"/>
        <v>0</v>
      </c>
      <c r="W117">
        <f t="shared" si="113"/>
        <v>0</v>
      </c>
      <c r="X117">
        <f t="shared" si="114"/>
        <v>0</v>
      </c>
      <c r="Y117">
        <f t="shared" si="115"/>
        <v>0</v>
      </c>
      <c r="AA117">
        <v>16784196</v>
      </c>
      <c r="AB117">
        <f t="shared" si="116"/>
        <v>519.79999999999995</v>
      </c>
      <c r="AC117">
        <f t="shared" si="143"/>
        <v>519.79999999999995</v>
      </c>
      <c r="AD117">
        <f t="shared" si="144"/>
        <v>0</v>
      </c>
      <c r="AE117">
        <f t="shared" si="145"/>
        <v>0</v>
      </c>
      <c r="AF117">
        <f t="shared" si="145"/>
        <v>0</v>
      </c>
      <c r="AG117">
        <f t="shared" si="117"/>
        <v>0</v>
      </c>
      <c r="AH117">
        <f t="shared" si="146"/>
        <v>0</v>
      </c>
      <c r="AI117">
        <f t="shared" si="146"/>
        <v>0</v>
      </c>
      <c r="AJ117">
        <f t="shared" si="118"/>
        <v>0</v>
      </c>
      <c r="AK117">
        <v>519.79999999999995</v>
      </c>
      <c r="AL117">
        <v>519.79999999999995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99</v>
      </c>
      <c r="AU117">
        <v>60</v>
      </c>
      <c r="AV117">
        <v>1</v>
      </c>
      <c r="AW117">
        <v>1</v>
      </c>
      <c r="AZ117">
        <v>6.11</v>
      </c>
      <c r="BA117">
        <v>1</v>
      </c>
      <c r="BB117">
        <v>1</v>
      </c>
      <c r="BC117">
        <v>6.11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241</v>
      </c>
      <c r="BM117">
        <v>46001</v>
      </c>
      <c r="BN117">
        <v>0</v>
      </c>
      <c r="BO117" t="s">
        <v>6</v>
      </c>
      <c r="BP117">
        <v>0</v>
      </c>
      <c r="BQ117">
        <v>2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110</v>
      </c>
      <c r="CA117">
        <v>70</v>
      </c>
      <c r="CE117">
        <v>0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119"/>
        <v>9.91</v>
      </c>
      <c r="CQ117">
        <f t="shared" si="120"/>
        <v>3175.9780000000001</v>
      </c>
      <c r="CR117">
        <f t="shared" si="121"/>
        <v>0</v>
      </c>
      <c r="CS117">
        <f t="shared" si="122"/>
        <v>0</v>
      </c>
      <c r="CT117">
        <f t="shared" si="123"/>
        <v>0</v>
      </c>
      <c r="CU117">
        <f t="shared" si="124"/>
        <v>0</v>
      </c>
      <c r="CV117">
        <f t="shared" si="125"/>
        <v>0</v>
      </c>
      <c r="CW117">
        <f t="shared" si="126"/>
        <v>0</v>
      </c>
      <c r="CX117">
        <f t="shared" si="127"/>
        <v>0</v>
      </c>
      <c r="CY117">
        <f t="shared" si="128"/>
        <v>0</v>
      </c>
      <c r="CZ117">
        <f t="shared" si="129"/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1007</v>
      </c>
      <c r="DV117" t="s">
        <v>128</v>
      </c>
      <c r="DW117" t="s">
        <v>128</v>
      </c>
      <c r="DX117">
        <v>1</v>
      </c>
      <c r="EE117">
        <v>16510555</v>
      </c>
      <c r="EF117">
        <v>2</v>
      </c>
      <c r="EG117" t="s">
        <v>18</v>
      </c>
      <c r="EH117">
        <v>0</v>
      </c>
      <c r="EI117" t="s">
        <v>6</v>
      </c>
      <c r="EJ117">
        <v>1</v>
      </c>
      <c r="EK117">
        <v>46001</v>
      </c>
      <c r="EL117" t="s">
        <v>19</v>
      </c>
      <c r="EM117" t="s">
        <v>20</v>
      </c>
      <c r="EO117" t="s">
        <v>6</v>
      </c>
      <c r="EQ117">
        <v>0</v>
      </c>
      <c r="ER117">
        <v>519.79999999999995</v>
      </c>
      <c r="ES117">
        <v>519.79999999999995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30"/>
        <v>0</v>
      </c>
      <c r="FS117">
        <v>0</v>
      </c>
      <c r="FT117" t="s">
        <v>21</v>
      </c>
      <c r="FU117" t="s">
        <v>22</v>
      </c>
      <c r="FX117">
        <v>99</v>
      </c>
      <c r="FY117">
        <v>59.5</v>
      </c>
      <c r="GA117" t="s">
        <v>6</v>
      </c>
      <c r="GD117">
        <v>0</v>
      </c>
      <c r="GF117">
        <v>1059503882</v>
      </c>
      <c r="GG117">
        <v>1</v>
      </c>
      <c r="GH117">
        <v>1</v>
      </c>
      <c r="GI117">
        <v>4</v>
      </c>
      <c r="GJ117">
        <v>0</v>
      </c>
      <c r="GK117">
        <f>ROUND(R117*(S12)/100,2)</f>
        <v>0</v>
      </c>
      <c r="GL117">
        <f t="shared" si="131"/>
        <v>0</v>
      </c>
      <c r="GM117">
        <f t="shared" si="132"/>
        <v>9.91</v>
      </c>
      <c r="GN117">
        <f t="shared" si="133"/>
        <v>9.91</v>
      </c>
      <c r="GO117">
        <f t="shared" si="134"/>
        <v>0</v>
      </c>
      <c r="GP117">
        <f t="shared" si="135"/>
        <v>0</v>
      </c>
      <c r="GR117">
        <v>0</v>
      </c>
      <c r="GS117">
        <v>3</v>
      </c>
      <c r="GT117">
        <v>0</v>
      </c>
      <c r="GU117" t="s">
        <v>6</v>
      </c>
      <c r="GV117">
        <f t="shared" si="136"/>
        <v>0</v>
      </c>
      <c r="GW117">
        <v>1</v>
      </c>
      <c r="GX117">
        <f t="shared" si="137"/>
        <v>0</v>
      </c>
      <c r="HA117">
        <v>0</v>
      </c>
      <c r="HB117">
        <v>0</v>
      </c>
      <c r="HC117">
        <f t="shared" si="138"/>
        <v>0</v>
      </c>
      <c r="IK117">
        <v>0</v>
      </c>
    </row>
    <row r="118" spans="1:255" x14ac:dyDescent="0.2">
      <c r="A118" s="2">
        <v>17</v>
      </c>
      <c r="B118" s="2">
        <v>1</v>
      </c>
      <c r="C118" s="2">
        <f>ROW(SmtRes!A337)</f>
        <v>337</v>
      </c>
      <c r="D118" s="2">
        <f>ROW(EtalonRes!A341)</f>
        <v>341</v>
      </c>
      <c r="E118" s="2" t="s">
        <v>242</v>
      </c>
      <c r="F118" s="2" t="s">
        <v>243</v>
      </c>
      <c r="G118" s="2" t="s">
        <v>244</v>
      </c>
      <c r="H118" s="2" t="s">
        <v>227</v>
      </c>
      <c r="I118" s="2">
        <f>ROUND(66/100,9)</f>
        <v>0.66</v>
      </c>
      <c r="J118" s="2">
        <v>0</v>
      </c>
      <c r="K118" s="2"/>
      <c r="L118" s="2"/>
      <c r="M118" s="2"/>
      <c r="N118" s="2"/>
      <c r="O118" s="2">
        <f t="shared" si="105"/>
        <v>38.51</v>
      </c>
      <c r="P118" s="2">
        <f t="shared" si="106"/>
        <v>0</v>
      </c>
      <c r="Q118" s="2">
        <f t="shared" si="107"/>
        <v>0</v>
      </c>
      <c r="R118" s="2">
        <f t="shared" si="108"/>
        <v>0</v>
      </c>
      <c r="S118" s="2">
        <f t="shared" si="109"/>
        <v>38.51</v>
      </c>
      <c r="T118" s="2">
        <f t="shared" si="110"/>
        <v>0</v>
      </c>
      <c r="U118" s="2">
        <f t="shared" si="111"/>
        <v>4.5144000000000002</v>
      </c>
      <c r="V118" s="2">
        <f t="shared" si="112"/>
        <v>0</v>
      </c>
      <c r="W118" s="2">
        <f t="shared" si="113"/>
        <v>0</v>
      </c>
      <c r="X118" s="2">
        <f t="shared" si="114"/>
        <v>38.119999999999997</v>
      </c>
      <c r="Y118" s="2">
        <f t="shared" si="115"/>
        <v>23.11</v>
      </c>
      <c r="Z118" s="2"/>
      <c r="AA118" s="2">
        <v>16784195</v>
      </c>
      <c r="AB118" s="2">
        <f t="shared" si="116"/>
        <v>58.35</v>
      </c>
      <c r="AC118" s="2">
        <f t="shared" si="143"/>
        <v>0</v>
      </c>
      <c r="AD118" s="2">
        <f t="shared" si="144"/>
        <v>0</v>
      </c>
      <c r="AE118" s="2">
        <f t="shared" si="145"/>
        <v>0</v>
      </c>
      <c r="AF118" s="2">
        <f t="shared" si="145"/>
        <v>58.35</v>
      </c>
      <c r="AG118" s="2">
        <f t="shared" si="117"/>
        <v>0</v>
      </c>
      <c r="AH118" s="2">
        <f t="shared" si="146"/>
        <v>6.84</v>
      </c>
      <c r="AI118" s="2">
        <f t="shared" si="146"/>
        <v>0</v>
      </c>
      <c r="AJ118" s="2">
        <f t="shared" si="118"/>
        <v>0</v>
      </c>
      <c r="AK118" s="2">
        <v>58.35</v>
      </c>
      <c r="AL118" s="2">
        <v>0</v>
      </c>
      <c r="AM118" s="2">
        <v>0</v>
      </c>
      <c r="AN118" s="2">
        <v>0</v>
      </c>
      <c r="AO118" s="2">
        <v>58.35</v>
      </c>
      <c r="AP118" s="2">
        <v>0</v>
      </c>
      <c r="AQ118" s="2">
        <v>6.84</v>
      </c>
      <c r="AR118" s="2">
        <v>0</v>
      </c>
      <c r="AS118" s="2">
        <v>0</v>
      </c>
      <c r="AT118" s="2">
        <v>99</v>
      </c>
      <c r="AU118" s="2">
        <v>60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0</v>
      </c>
      <c r="BI118" s="2">
        <v>1</v>
      </c>
      <c r="BJ118" s="2" t="s">
        <v>245</v>
      </c>
      <c r="BK118" s="2"/>
      <c r="BL118" s="2"/>
      <c r="BM118" s="2">
        <v>46001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110</v>
      </c>
      <c r="CA118" s="2">
        <v>70</v>
      </c>
      <c r="CB118" s="2"/>
      <c r="CC118" s="2"/>
      <c r="CD118" s="2"/>
      <c r="CE118" s="2">
        <v>0</v>
      </c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6</v>
      </c>
      <c r="CO118" s="2">
        <v>0</v>
      </c>
      <c r="CP118" s="2">
        <f t="shared" si="119"/>
        <v>38.51</v>
      </c>
      <c r="CQ118" s="2">
        <f t="shared" si="120"/>
        <v>0</v>
      </c>
      <c r="CR118" s="2">
        <f t="shared" si="121"/>
        <v>0</v>
      </c>
      <c r="CS118" s="2">
        <f t="shared" si="122"/>
        <v>0</v>
      </c>
      <c r="CT118" s="2">
        <f t="shared" si="123"/>
        <v>58.35</v>
      </c>
      <c r="CU118" s="2">
        <f t="shared" si="124"/>
        <v>0</v>
      </c>
      <c r="CV118" s="2">
        <f t="shared" si="125"/>
        <v>6.84</v>
      </c>
      <c r="CW118" s="2">
        <f t="shared" si="126"/>
        <v>0</v>
      </c>
      <c r="CX118" s="2">
        <f t="shared" si="127"/>
        <v>0</v>
      </c>
      <c r="CY118" s="2">
        <f t="shared" si="128"/>
        <v>38.124899999999997</v>
      </c>
      <c r="CZ118" s="2">
        <f t="shared" si="129"/>
        <v>23.105999999999998</v>
      </c>
      <c r="DA118" s="2"/>
      <c r="DB118" s="2"/>
      <c r="DC118" s="2" t="s">
        <v>6</v>
      </c>
      <c r="DD118" s="2" t="s">
        <v>6</v>
      </c>
      <c r="DE118" s="2" t="s">
        <v>6</v>
      </c>
      <c r="DF118" s="2" t="s">
        <v>6</v>
      </c>
      <c r="DG118" s="2" t="s">
        <v>6</v>
      </c>
      <c r="DH118" s="2" t="s">
        <v>6</v>
      </c>
      <c r="DI118" s="2" t="s">
        <v>6</v>
      </c>
      <c r="DJ118" s="2" t="s">
        <v>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1013</v>
      </c>
      <c r="DV118" s="2" t="s">
        <v>227</v>
      </c>
      <c r="DW118" s="2" t="s">
        <v>227</v>
      </c>
      <c r="DX118" s="2">
        <v>1</v>
      </c>
      <c r="DY118" s="2"/>
      <c r="DZ118" s="2"/>
      <c r="EA118" s="2"/>
      <c r="EB118" s="2"/>
      <c r="EC118" s="2"/>
      <c r="ED118" s="2"/>
      <c r="EE118" s="2">
        <v>16510555</v>
      </c>
      <c r="EF118" s="2">
        <v>2</v>
      </c>
      <c r="EG118" s="2" t="s">
        <v>18</v>
      </c>
      <c r="EH118" s="2">
        <v>0</v>
      </c>
      <c r="EI118" s="2" t="s">
        <v>6</v>
      </c>
      <c r="EJ118" s="2">
        <v>1</v>
      </c>
      <c r="EK118" s="2">
        <v>46001</v>
      </c>
      <c r="EL118" s="2" t="s">
        <v>19</v>
      </c>
      <c r="EM118" s="2" t="s">
        <v>20</v>
      </c>
      <c r="EN118" s="2"/>
      <c r="EO118" s="2" t="s">
        <v>6</v>
      </c>
      <c r="EP118" s="2"/>
      <c r="EQ118" s="2">
        <v>0</v>
      </c>
      <c r="ER118" s="2">
        <v>58.35</v>
      </c>
      <c r="ES118" s="2">
        <v>0</v>
      </c>
      <c r="ET118" s="2">
        <v>0</v>
      </c>
      <c r="EU118" s="2">
        <v>0</v>
      </c>
      <c r="EV118" s="2">
        <v>58.35</v>
      </c>
      <c r="EW118" s="2">
        <v>6.84</v>
      </c>
      <c r="EX118" s="2">
        <v>0</v>
      </c>
      <c r="EY118" s="2">
        <v>0</v>
      </c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0"/>
        <v>0</v>
      </c>
      <c r="FS118" s="2">
        <v>0</v>
      </c>
      <c r="FT118" s="2" t="s">
        <v>21</v>
      </c>
      <c r="FU118" s="2" t="s">
        <v>22</v>
      </c>
      <c r="FV118" s="2"/>
      <c r="FW118" s="2"/>
      <c r="FX118" s="2">
        <v>99</v>
      </c>
      <c r="FY118" s="2">
        <v>59.5</v>
      </c>
      <c r="FZ118" s="2"/>
      <c r="GA118" s="2" t="s">
        <v>6</v>
      </c>
      <c r="GB118" s="2"/>
      <c r="GC118" s="2"/>
      <c r="GD118" s="2">
        <v>0</v>
      </c>
      <c r="GE118" s="2"/>
      <c r="GF118" s="2">
        <v>-39663164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31"/>
        <v>0</v>
      </c>
      <c r="GM118" s="2">
        <f t="shared" si="132"/>
        <v>99.74</v>
      </c>
      <c r="GN118" s="2">
        <f t="shared" si="133"/>
        <v>99.74</v>
      </c>
      <c r="GO118" s="2">
        <f t="shared" si="134"/>
        <v>0</v>
      </c>
      <c r="GP118" s="2">
        <f t="shared" si="135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36"/>
        <v>0</v>
      </c>
      <c r="GW118" s="2">
        <v>1</v>
      </c>
      <c r="GX118" s="2">
        <f t="shared" si="137"/>
        <v>0</v>
      </c>
      <c r="GY118" s="2"/>
      <c r="GZ118" s="2"/>
      <c r="HA118" s="2">
        <v>0</v>
      </c>
      <c r="HB118" s="2">
        <v>0</v>
      </c>
      <c r="HC118" s="2">
        <f t="shared" si="138"/>
        <v>0</v>
      </c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17</v>
      </c>
      <c r="B119">
        <v>1</v>
      </c>
      <c r="C119">
        <f>ROW(SmtRes!A338)</f>
        <v>338</v>
      </c>
      <c r="D119">
        <f>ROW(EtalonRes!A342)</f>
        <v>342</v>
      </c>
      <c r="E119" t="s">
        <v>242</v>
      </c>
      <c r="F119" t="s">
        <v>243</v>
      </c>
      <c r="G119" t="s">
        <v>244</v>
      </c>
      <c r="H119" t="s">
        <v>227</v>
      </c>
      <c r="I119">
        <f>ROUND(66/100,9)</f>
        <v>0.66</v>
      </c>
      <c r="J119">
        <v>0</v>
      </c>
      <c r="O119">
        <f t="shared" si="105"/>
        <v>235.3</v>
      </c>
      <c r="P119">
        <f t="shared" si="106"/>
        <v>0</v>
      </c>
      <c r="Q119">
        <f t="shared" si="107"/>
        <v>0</v>
      </c>
      <c r="R119">
        <f t="shared" si="108"/>
        <v>0</v>
      </c>
      <c r="S119">
        <f t="shared" si="109"/>
        <v>235.3</v>
      </c>
      <c r="T119">
        <f t="shared" si="110"/>
        <v>0</v>
      </c>
      <c r="U119">
        <f t="shared" si="111"/>
        <v>4.5144000000000002</v>
      </c>
      <c r="V119">
        <f t="shared" si="112"/>
        <v>0</v>
      </c>
      <c r="W119">
        <f t="shared" si="113"/>
        <v>0</v>
      </c>
      <c r="X119">
        <f t="shared" si="114"/>
        <v>232.95</v>
      </c>
      <c r="Y119">
        <f t="shared" si="115"/>
        <v>141.18</v>
      </c>
      <c r="AA119">
        <v>16784196</v>
      </c>
      <c r="AB119">
        <f t="shared" si="116"/>
        <v>58.35</v>
      </c>
      <c r="AC119">
        <f t="shared" si="143"/>
        <v>0</v>
      </c>
      <c r="AD119">
        <f t="shared" si="144"/>
        <v>0</v>
      </c>
      <c r="AE119">
        <f t="shared" si="145"/>
        <v>0</v>
      </c>
      <c r="AF119">
        <f t="shared" si="145"/>
        <v>58.35</v>
      </c>
      <c r="AG119">
        <f t="shared" si="117"/>
        <v>0</v>
      </c>
      <c r="AH119">
        <f t="shared" si="146"/>
        <v>6.84</v>
      </c>
      <c r="AI119">
        <f t="shared" si="146"/>
        <v>0</v>
      </c>
      <c r="AJ119">
        <f t="shared" si="118"/>
        <v>0</v>
      </c>
      <c r="AK119">
        <v>58.35</v>
      </c>
      <c r="AL119">
        <v>0</v>
      </c>
      <c r="AM119">
        <v>0</v>
      </c>
      <c r="AN119">
        <v>0</v>
      </c>
      <c r="AO119">
        <v>58.35</v>
      </c>
      <c r="AP119">
        <v>0</v>
      </c>
      <c r="AQ119">
        <v>6.84</v>
      </c>
      <c r="AR119">
        <v>0</v>
      </c>
      <c r="AS119">
        <v>0</v>
      </c>
      <c r="AT119">
        <v>99</v>
      </c>
      <c r="AU119">
        <v>60</v>
      </c>
      <c r="AV119">
        <v>1</v>
      </c>
      <c r="AW119">
        <v>1</v>
      </c>
      <c r="AZ119">
        <v>6.11</v>
      </c>
      <c r="BA119">
        <v>6.11</v>
      </c>
      <c r="BB119">
        <v>6.11</v>
      </c>
      <c r="BC119">
        <v>6.11</v>
      </c>
      <c r="BD119" t="s">
        <v>6</v>
      </c>
      <c r="BE119" t="s">
        <v>6</v>
      </c>
      <c r="BF119" t="s">
        <v>6</v>
      </c>
      <c r="BG119" t="s">
        <v>6</v>
      </c>
      <c r="BH119">
        <v>0</v>
      </c>
      <c r="BI119">
        <v>1</v>
      </c>
      <c r="BJ119" t="s">
        <v>245</v>
      </c>
      <c r="BM119">
        <v>46001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6.11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110</v>
      </c>
      <c r="CA119">
        <v>70</v>
      </c>
      <c r="CE119">
        <v>0</v>
      </c>
      <c r="CF119">
        <v>0</v>
      </c>
      <c r="CG119">
        <v>0</v>
      </c>
      <c r="CM119">
        <v>0</v>
      </c>
      <c r="CN119" t="s">
        <v>6</v>
      </c>
      <c r="CO119">
        <v>0</v>
      </c>
      <c r="CP119">
        <f t="shared" si="119"/>
        <v>235.3</v>
      </c>
      <c r="CQ119">
        <f t="shared" si="120"/>
        <v>0</v>
      </c>
      <c r="CR119">
        <f t="shared" si="121"/>
        <v>0</v>
      </c>
      <c r="CS119">
        <f t="shared" si="122"/>
        <v>0</v>
      </c>
      <c r="CT119">
        <f t="shared" si="123"/>
        <v>356.51850000000002</v>
      </c>
      <c r="CU119">
        <f t="shared" si="124"/>
        <v>0</v>
      </c>
      <c r="CV119">
        <f t="shared" si="125"/>
        <v>6.84</v>
      </c>
      <c r="CW119">
        <f t="shared" si="126"/>
        <v>0</v>
      </c>
      <c r="CX119">
        <f t="shared" si="127"/>
        <v>0</v>
      </c>
      <c r="CY119">
        <f t="shared" si="128"/>
        <v>232.947</v>
      </c>
      <c r="CZ119">
        <f t="shared" si="129"/>
        <v>141.18</v>
      </c>
      <c r="DC119" t="s">
        <v>6</v>
      </c>
      <c r="DD119" t="s">
        <v>6</v>
      </c>
      <c r="DE119" t="s">
        <v>6</v>
      </c>
      <c r="DF119" t="s">
        <v>6</v>
      </c>
      <c r="DG119" t="s">
        <v>6</v>
      </c>
      <c r="DH119" t="s">
        <v>6</v>
      </c>
      <c r="DI119" t="s">
        <v>6</v>
      </c>
      <c r="DJ119" t="s">
        <v>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1013</v>
      </c>
      <c r="DV119" t="s">
        <v>227</v>
      </c>
      <c r="DW119" t="s">
        <v>227</v>
      </c>
      <c r="DX119">
        <v>1</v>
      </c>
      <c r="EE119">
        <v>16510555</v>
      </c>
      <c r="EF119">
        <v>2</v>
      </c>
      <c r="EG119" t="s">
        <v>18</v>
      </c>
      <c r="EH119">
        <v>0</v>
      </c>
      <c r="EI119" t="s">
        <v>6</v>
      </c>
      <c r="EJ119">
        <v>1</v>
      </c>
      <c r="EK119">
        <v>46001</v>
      </c>
      <c r="EL119" t="s">
        <v>19</v>
      </c>
      <c r="EM119" t="s">
        <v>20</v>
      </c>
      <c r="EO119" t="s">
        <v>6</v>
      </c>
      <c r="EQ119">
        <v>0</v>
      </c>
      <c r="ER119">
        <v>58.35</v>
      </c>
      <c r="ES119">
        <v>0</v>
      </c>
      <c r="ET119">
        <v>0</v>
      </c>
      <c r="EU119">
        <v>0</v>
      </c>
      <c r="EV119">
        <v>58.35</v>
      </c>
      <c r="EW119">
        <v>6.84</v>
      </c>
      <c r="EX119">
        <v>0</v>
      </c>
      <c r="EY119">
        <v>0</v>
      </c>
      <c r="FQ119">
        <v>0</v>
      </c>
      <c r="FR119">
        <f t="shared" si="130"/>
        <v>0</v>
      </c>
      <c r="FS119">
        <v>0</v>
      </c>
      <c r="FT119" t="s">
        <v>21</v>
      </c>
      <c r="FU119" t="s">
        <v>22</v>
      </c>
      <c r="FX119">
        <v>99</v>
      </c>
      <c r="FY119">
        <v>59.5</v>
      </c>
      <c r="GA119" t="s">
        <v>6</v>
      </c>
      <c r="GD119">
        <v>0</v>
      </c>
      <c r="GF119">
        <v>-39663164</v>
      </c>
      <c r="GG119">
        <v>1</v>
      </c>
      <c r="GH119">
        <v>1</v>
      </c>
      <c r="GI119">
        <v>4</v>
      </c>
      <c r="GJ119">
        <v>0</v>
      </c>
      <c r="GK119">
        <f>ROUND(R119*(S12)/100,2)</f>
        <v>0</v>
      </c>
      <c r="GL119">
        <f t="shared" si="131"/>
        <v>0</v>
      </c>
      <c r="GM119">
        <f t="shared" si="132"/>
        <v>609.42999999999995</v>
      </c>
      <c r="GN119">
        <f t="shared" si="133"/>
        <v>609.42999999999995</v>
      </c>
      <c r="GO119">
        <f t="shared" si="134"/>
        <v>0</v>
      </c>
      <c r="GP119">
        <f t="shared" si="135"/>
        <v>0</v>
      </c>
      <c r="GR119">
        <v>0</v>
      </c>
      <c r="GS119">
        <v>3</v>
      </c>
      <c r="GT119">
        <v>0</v>
      </c>
      <c r="GU119" t="s">
        <v>6</v>
      </c>
      <c r="GV119">
        <f t="shared" si="136"/>
        <v>0</v>
      </c>
      <c r="GW119">
        <v>1</v>
      </c>
      <c r="GX119">
        <f t="shared" si="137"/>
        <v>0</v>
      </c>
      <c r="HA119">
        <v>0</v>
      </c>
      <c r="HB119">
        <v>0</v>
      </c>
      <c r="HC119">
        <f t="shared" si="138"/>
        <v>0</v>
      </c>
      <c r="IK119">
        <v>0</v>
      </c>
    </row>
    <row r="120" spans="1:255" x14ac:dyDescent="0.2">
      <c r="A120" s="2">
        <v>17</v>
      </c>
      <c r="B120" s="2">
        <v>1</v>
      </c>
      <c r="C120" s="2">
        <f>ROW(SmtRes!A343)</f>
        <v>343</v>
      </c>
      <c r="D120" s="2">
        <f>ROW(EtalonRes!A348)</f>
        <v>348</v>
      </c>
      <c r="E120" s="2" t="s">
        <v>246</v>
      </c>
      <c r="F120" s="2" t="s">
        <v>247</v>
      </c>
      <c r="G120" s="2" t="s">
        <v>248</v>
      </c>
      <c r="H120" s="2" t="s">
        <v>65</v>
      </c>
      <c r="I120" s="2">
        <v>1.2E-2</v>
      </c>
      <c r="J120" s="2">
        <v>0</v>
      </c>
      <c r="K120" s="2"/>
      <c r="L120" s="2"/>
      <c r="M120" s="2"/>
      <c r="N120" s="2"/>
      <c r="O120" s="2">
        <f t="shared" si="105"/>
        <v>160.5</v>
      </c>
      <c r="P120" s="2">
        <f t="shared" si="106"/>
        <v>121.2</v>
      </c>
      <c r="Q120" s="2">
        <f t="shared" si="107"/>
        <v>0.78</v>
      </c>
      <c r="R120" s="2">
        <f t="shared" si="108"/>
        <v>0.12</v>
      </c>
      <c r="S120" s="2">
        <f t="shared" si="109"/>
        <v>38.520000000000003</v>
      </c>
      <c r="T120" s="2">
        <f t="shared" si="110"/>
        <v>0</v>
      </c>
      <c r="U120" s="2">
        <f t="shared" si="111"/>
        <v>4.3471379999999993</v>
      </c>
      <c r="V120" s="2">
        <f t="shared" si="112"/>
        <v>9.300000000000001E-3</v>
      </c>
      <c r="W120" s="2">
        <f t="shared" si="113"/>
        <v>0</v>
      </c>
      <c r="X120" s="2">
        <f t="shared" si="114"/>
        <v>36.71</v>
      </c>
      <c r="Y120" s="2">
        <f t="shared" si="115"/>
        <v>21.25</v>
      </c>
      <c r="Z120" s="2"/>
      <c r="AA120" s="2">
        <v>16784195</v>
      </c>
      <c r="AB120" s="2">
        <f t="shared" ref="AB120:AB121" si="147">ROUND((AC120+AD120+AF120),2)</f>
        <v>13375.03</v>
      </c>
      <c r="AC120" s="2">
        <f t="shared" si="143"/>
        <v>10100</v>
      </c>
      <c r="AD120" s="2">
        <f>ROUND(((((ET120*1.25))-((EU120*1.25)))+AE120),2)</f>
        <v>65.39</v>
      </c>
      <c r="AE120" s="2">
        <f>ROUND(((EU120*1.25)),2)</f>
        <v>9.59</v>
      </c>
      <c r="AF120" s="2">
        <f>ROUND(((EV120*1.15)),2)</f>
        <v>3209.64</v>
      </c>
      <c r="AG120" s="2">
        <f t="shared" si="117"/>
        <v>0</v>
      </c>
      <c r="AH120" s="2">
        <f>((EW120*1.15))</f>
        <v>362.26149999999996</v>
      </c>
      <c r="AI120" s="2">
        <f>((EX120*1.25))</f>
        <v>0.77500000000000002</v>
      </c>
      <c r="AJ120" s="2">
        <f t="shared" si="118"/>
        <v>0</v>
      </c>
      <c r="AK120" s="2">
        <v>12943.3</v>
      </c>
      <c r="AL120" s="2">
        <v>10100</v>
      </c>
      <c r="AM120" s="2">
        <v>52.31</v>
      </c>
      <c r="AN120" s="2">
        <v>7.67</v>
      </c>
      <c r="AO120" s="2">
        <v>2790.99</v>
      </c>
      <c r="AP120" s="2">
        <v>0</v>
      </c>
      <c r="AQ120" s="2">
        <v>315.01</v>
      </c>
      <c r="AR120" s="2">
        <v>0.62</v>
      </c>
      <c r="AS120" s="2">
        <v>0</v>
      </c>
      <c r="AT120" s="2">
        <v>95</v>
      </c>
      <c r="AU120" s="2">
        <v>55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0</v>
      </c>
      <c r="BI120" s="2">
        <v>1</v>
      </c>
      <c r="BJ120" s="2" t="s">
        <v>249</v>
      </c>
      <c r="BK120" s="2"/>
      <c r="BL120" s="2"/>
      <c r="BM120" s="2">
        <v>6001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105</v>
      </c>
      <c r="CA120" s="2">
        <v>65</v>
      </c>
      <c r="CB120" s="2"/>
      <c r="CC120" s="2"/>
      <c r="CD120" s="2"/>
      <c r="CE120" s="2">
        <v>0</v>
      </c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824</v>
      </c>
      <c r="CO120" s="2">
        <v>0</v>
      </c>
      <c r="CP120" s="2">
        <f t="shared" si="119"/>
        <v>160.5</v>
      </c>
      <c r="CQ120" s="2">
        <f t="shared" si="120"/>
        <v>10100</v>
      </c>
      <c r="CR120" s="2">
        <f t="shared" si="121"/>
        <v>65.39</v>
      </c>
      <c r="CS120" s="2">
        <f t="shared" si="122"/>
        <v>9.59</v>
      </c>
      <c r="CT120" s="2">
        <f t="shared" si="123"/>
        <v>3209.64</v>
      </c>
      <c r="CU120" s="2">
        <f t="shared" si="124"/>
        <v>0</v>
      </c>
      <c r="CV120" s="2">
        <f t="shared" si="125"/>
        <v>362.26149999999996</v>
      </c>
      <c r="CW120" s="2">
        <f t="shared" si="126"/>
        <v>0.77500000000000002</v>
      </c>
      <c r="CX120" s="2">
        <f t="shared" si="127"/>
        <v>0</v>
      </c>
      <c r="CY120" s="2">
        <f t="shared" si="128"/>
        <v>36.707999999999998</v>
      </c>
      <c r="CZ120" s="2">
        <f t="shared" si="129"/>
        <v>21.251999999999999</v>
      </c>
      <c r="DA120" s="2"/>
      <c r="DB120" s="2"/>
      <c r="DC120" s="2" t="s">
        <v>6</v>
      </c>
      <c r="DD120" s="2" t="s">
        <v>6</v>
      </c>
      <c r="DE120" s="2" t="s">
        <v>27</v>
      </c>
      <c r="DF120" s="2" t="s">
        <v>27</v>
      </c>
      <c r="DG120" s="2" t="s">
        <v>28</v>
      </c>
      <c r="DH120" s="2" t="s">
        <v>6</v>
      </c>
      <c r="DI120" s="2" t="s">
        <v>28</v>
      </c>
      <c r="DJ120" s="2" t="s">
        <v>27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1009</v>
      </c>
      <c r="DV120" s="2" t="s">
        <v>65</v>
      </c>
      <c r="DW120" s="2" t="s">
        <v>65</v>
      </c>
      <c r="DX120" s="2">
        <v>1000</v>
      </c>
      <c r="DY120" s="2"/>
      <c r="DZ120" s="2"/>
      <c r="EA120" s="2"/>
      <c r="EB120" s="2"/>
      <c r="EC120" s="2"/>
      <c r="ED120" s="2"/>
      <c r="EE120" s="2">
        <v>16510474</v>
      </c>
      <c r="EF120" s="2">
        <v>2</v>
      </c>
      <c r="EG120" s="2" t="s">
        <v>18</v>
      </c>
      <c r="EH120" s="2">
        <v>0</v>
      </c>
      <c r="EI120" s="2" t="s">
        <v>6</v>
      </c>
      <c r="EJ120" s="2">
        <v>1</v>
      </c>
      <c r="EK120" s="2">
        <v>6001</v>
      </c>
      <c r="EL120" s="2" t="s">
        <v>250</v>
      </c>
      <c r="EM120" s="2" t="s">
        <v>251</v>
      </c>
      <c r="EN120" s="2"/>
      <c r="EO120" s="2" t="s">
        <v>31</v>
      </c>
      <c r="EP120" s="2"/>
      <c r="EQ120" s="2">
        <v>0</v>
      </c>
      <c r="ER120" s="2">
        <v>12943.3</v>
      </c>
      <c r="ES120" s="2">
        <v>10100</v>
      </c>
      <c r="ET120" s="2">
        <v>52.31</v>
      </c>
      <c r="EU120" s="2">
        <v>7.67</v>
      </c>
      <c r="EV120" s="2">
        <v>2790.99</v>
      </c>
      <c r="EW120" s="2">
        <v>315.01</v>
      </c>
      <c r="EX120" s="2">
        <v>0.62</v>
      </c>
      <c r="EY120" s="2">
        <v>0</v>
      </c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ref="FR120:FR151" si="148">ROUND(IF(AND(BH120=3,BI120=3),P120,0),2)</f>
        <v>0</v>
      </c>
      <c r="FS120" s="2">
        <v>0</v>
      </c>
      <c r="FT120" s="2" t="s">
        <v>21</v>
      </c>
      <c r="FU120" s="2" t="s">
        <v>22</v>
      </c>
      <c r="FV120" s="2"/>
      <c r="FW120" s="2"/>
      <c r="FX120" s="2">
        <v>94.5</v>
      </c>
      <c r="FY120" s="2">
        <v>55.25</v>
      </c>
      <c r="FZ120" s="2"/>
      <c r="GA120" s="2" t="s">
        <v>6</v>
      </c>
      <c r="GB120" s="2"/>
      <c r="GC120" s="2"/>
      <c r="GD120" s="2">
        <v>0</v>
      </c>
      <c r="GE120" s="2"/>
      <c r="GF120" s="2">
        <v>-78296918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ref="GL120:GL151" si="149">ROUND(IF(AND(BH120=3,BI120=3,FS120&lt;&gt;0),P120,0),2)</f>
        <v>0</v>
      </c>
      <c r="GM120" s="2">
        <f t="shared" si="132"/>
        <v>218.46</v>
      </c>
      <c r="GN120" s="2">
        <f t="shared" si="133"/>
        <v>218.46</v>
      </c>
      <c r="GO120" s="2">
        <f t="shared" si="134"/>
        <v>0</v>
      </c>
      <c r="GP120" s="2">
        <f t="shared" si="135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36"/>
        <v>0</v>
      </c>
      <c r="GW120" s="2">
        <v>1</v>
      </c>
      <c r="GX120" s="2">
        <f t="shared" si="137"/>
        <v>0</v>
      </c>
      <c r="GY120" s="2"/>
      <c r="GZ120" s="2"/>
      <c r="HA120" s="2">
        <v>0</v>
      </c>
      <c r="HB120" s="2">
        <v>0</v>
      </c>
      <c r="HC120" s="2">
        <f t="shared" si="138"/>
        <v>0</v>
      </c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17</v>
      </c>
      <c r="B121">
        <v>1</v>
      </c>
      <c r="C121">
        <f>ROW(SmtRes!A348)</f>
        <v>348</v>
      </c>
      <c r="D121">
        <f>ROW(EtalonRes!A354)</f>
        <v>354</v>
      </c>
      <c r="E121" t="s">
        <v>246</v>
      </c>
      <c r="F121" t="s">
        <v>247</v>
      </c>
      <c r="G121" t="s">
        <v>248</v>
      </c>
      <c r="H121" t="s">
        <v>65</v>
      </c>
      <c r="I121">
        <v>1.2E-2</v>
      </c>
      <c r="J121">
        <v>0</v>
      </c>
      <c r="O121">
        <f t="shared" si="105"/>
        <v>980.65</v>
      </c>
      <c r="P121">
        <f t="shared" si="106"/>
        <v>740.53</v>
      </c>
      <c r="Q121">
        <f t="shared" si="107"/>
        <v>4.79</v>
      </c>
      <c r="R121">
        <f t="shared" si="108"/>
        <v>0.7</v>
      </c>
      <c r="S121">
        <f t="shared" si="109"/>
        <v>235.33</v>
      </c>
      <c r="T121">
        <f t="shared" si="110"/>
        <v>0</v>
      </c>
      <c r="U121">
        <f t="shared" si="111"/>
        <v>4.3471379999999993</v>
      </c>
      <c r="V121">
        <f t="shared" si="112"/>
        <v>9.300000000000001E-3</v>
      </c>
      <c r="W121">
        <f t="shared" si="113"/>
        <v>0</v>
      </c>
      <c r="X121">
        <f t="shared" si="114"/>
        <v>224.23</v>
      </c>
      <c r="Y121">
        <f t="shared" si="115"/>
        <v>129.82</v>
      </c>
      <c r="AA121">
        <v>16784196</v>
      </c>
      <c r="AB121">
        <f t="shared" si="147"/>
        <v>13375.03</v>
      </c>
      <c r="AC121">
        <f t="shared" si="143"/>
        <v>10100</v>
      </c>
      <c r="AD121">
        <f>ROUND(((((ET121*1.25))-((EU121*1.25)))+AE121),2)</f>
        <v>65.39</v>
      </c>
      <c r="AE121">
        <f>ROUND(((EU121*1.25)),2)</f>
        <v>9.59</v>
      </c>
      <c r="AF121">
        <f>ROUND(((EV121*1.15)),2)</f>
        <v>3209.64</v>
      </c>
      <c r="AG121">
        <f t="shared" si="117"/>
        <v>0</v>
      </c>
      <c r="AH121">
        <f>((EW121*1.15))</f>
        <v>362.26149999999996</v>
      </c>
      <c r="AI121">
        <f>((EX121*1.25))</f>
        <v>0.77500000000000002</v>
      </c>
      <c r="AJ121">
        <f t="shared" si="118"/>
        <v>0</v>
      </c>
      <c r="AK121">
        <v>12943.3</v>
      </c>
      <c r="AL121">
        <v>10100</v>
      </c>
      <c r="AM121">
        <v>52.31</v>
      </c>
      <c r="AN121">
        <v>7.67</v>
      </c>
      <c r="AO121">
        <v>2790.99</v>
      </c>
      <c r="AP121">
        <v>0</v>
      </c>
      <c r="AQ121">
        <v>315.01</v>
      </c>
      <c r="AR121">
        <v>0.62</v>
      </c>
      <c r="AS121">
        <v>0</v>
      </c>
      <c r="AT121">
        <v>95</v>
      </c>
      <c r="AU121">
        <v>55</v>
      </c>
      <c r="AV121">
        <v>1</v>
      </c>
      <c r="AW121">
        <v>1</v>
      </c>
      <c r="AZ121">
        <v>6.11</v>
      </c>
      <c r="BA121">
        <v>6.11</v>
      </c>
      <c r="BB121">
        <v>6.11</v>
      </c>
      <c r="BC121">
        <v>6.11</v>
      </c>
      <c r="BD121" t="s">
        <v>6</v>
      </c>
      <c r="BE121" t="s">
        <v>6</v>
      </c>
      <c r="BF121" t="s">
        <v>6</v>
      </c>
      <c r="BG121" t="s">
        <v>6</v>
      </c>
      <c r="BH121">
        <v>0</v>
      </c>
      <c r="BI121">
        <v>1</v>
      </c>
      <c r="BJ121" t="s">
        <v>249</v>
      </c>
      <c r="BM121">
        <v>6001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6.11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105</v>
      </c>
      <c r="CA121">
        <v>65</v>
      </c>
      <c r="CE121">
        <v>0</v>
      </c>
      <c r="CF121">
        <v>0</v>
      </c>
      <c r="CG121">
        <v>0</v>
      </c>
      <c r="CM121">
        <v>0</v>
      </c>
      <c r="CN121" t="s">
        <v>824</v>
      </c>
      <c r="CO121">
        <v>0</v>
      </c>
      <c r="CP121">
        <f t="shared" si="119"/>
        <v>980.65</v>
      </c>
      <c r="CQ121">
        <f t="shared" si="120"/>
        <v>61711</v>
      </c>
      <c r="CR121">
        <f t="shared" si="121"/>
        <v>399.53290000000004</v>
      </c>
      <c r="CS121">
        <f t="shared" si="122"/>
        <v>58.594900000000003</v>
      </c>
      <c r="CT121">
        <f t="shared" si="123"/>
        <v>19610.900399999999</v>
      </c>
      <c r="CU121">
        <f t="shared" si="124"/>
        <v>0</v>
      </c>
      <c r="CV121">
        <f t="shared" si="125"/>
        <v>362.26149999999996</v>
      </c>
      <c r="CW121">
        <f t="shared" si="126"/>
        <v>0.77500000000000002</v>
      </c>
      <c r="CX121">
        <f t="shared" si="127"/>
        <v>0</v>
      </c>
      <c r="CY121">
        <f t="shared" si="128"/>
        <v>224.2285</v>
      </c>
      <c r="CZ121">
        <f t="shared" si="129"/>
        <v>129.81649999999999</v>
      </c>
      <c r="DC121" t="s">
        <v>6</v>
      </c>
      <c r="DD121" t="s">
        <v>6</v>
      </c>
      <c r="DE121" t="s">
        <v>27</v>
      </c>
      <c r="DF121" t="s">
        <v>27</v>
      </c>
      <c r="DG121" t="s">
        <v>28</v>
      </c>
      <c r="DH121" t="s">
        <v>6</v>
      </c>
      <c r="DI121" t="s">
        <v>28</v>
      </c>
      <c r="DJ121" t="s">
        <v>27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1009</v>
      </c>
      <c r="DV121" t="s">
        <v>65</v>
      </c>
      <c r="DW121" t="s">
        <v>65</v>
      </c>
      <c r="DX121">
        <v>1000</v>
      </c>
      <c r="EE121">
        <v>16510474</v>
      </c>
      <c r="EF121">
        <v>2</v>
      </c>
      <c r="EG121" t="s">
        <v>18</v>
      </c>
      <c r="EH121">
        <v>0</v>
      </c>
      <c r="EI121" t="s">
        <v>6</v>
      </c>
      <c r="EJ121">
        <v>1</v>
      </c>
      <c r="EK121">
        <v>6001</v>
      </c>
      <c r="EL121" t="s">
        <v>250</v>
      </c>
      <c r="EM121" t="s">
        <v>251</v>
      </c>
      <c r="EO121" t="s">
        <v>31</v>
      </c>
      <c r="EQ121">
        <v>0</v>
      </c>
      <c r="ER121">
        <v>12943.3</v>
      </c>
      <c r="ES121">
        <v>10100</v>
      </c>
      <c r="ET121">
        <v>52.31</v>
      </c>
      <c r="EU121">
        <v>7.67</v>
      </c>
      <c r="EV121">
        <v>2790.99</v>
      </c>
      <c r="EW121">
        <v>315.01</v>
      </c>
      <c r="EX121">
        <v>0.62</v>
      </c>
      <c r="EY121">
        <v>0</v>
      </c>
      <c r="FQ121">
        <v>0</v>
      </c>
      <c r="FR121">
        <f t="shared" si="148"/>
        <v>0</v>
      </c>
      <c r="FS121">
        <v>0</v>
      </c>
      <c r="FT121" t="s">
        <v>21</v>
      </c>
      <c r="FU121" t="s">
        <v>22</v>
      </c>
      <c r="FX121">
        <v>94.5</v>
      </c>
      <c r="FY121">
        <v>55.25</v>
      </c>
      <c r="GA121" t="s">
        <v>6</v>
      </c>
      <c r="GD121">
        <v>0</v>
      </c>
      <c r="GF121">
        <v>-78296918</v>
      </c>
      <c r="GG121">
        <v>1</v>
      </c>
      <c r="GH121">
        <v>1</v>
      </c>
      <c r="GI121">
        <v>4</v>
      </c>
      <c r="GJ121">
        <v>0</v>
      </c>
      <c r="GK121">
        <f>ROUND(R121*(S12)/100,2)</f>
        <v>0</v>
      </c>
      <c r="GL121">
        <f t="shared" si="149"/>
        <v>0</v>
      </c>
      <c r="GM121">
        <f t="shared" si="132"/>
        <v>1334.7</v>
      </c>
      <c r="GN121">
        <f t="shared" si="133"/>
        <v>1334.7</v>
      </c>
      <c r="GO121">
        <f t="shared" si="134"/>
        <v>0</v>
      </c>
      <c r="GP121">
        <f t="shared" si="135"/>
        <v>0</v>
      </c>
      <c r="GR121">
        <v>0</v>
      </c>
      <c r="GS121">
        <v>3</v>
      </c>
      <c r="GT121">
        <v>0</v>
      </c>
      <c r="GU121" t="s">
        <v>6</v>
      </c>
      <c r="GV121">
        <f t="shared" si="136"/>
        <v>0</v>
      </c>
      <c r="GW121">
        <v>1</v>
      </c>
      <c r="GX121">
        <f t="shared" si="137"/>
        <v>0</v>
      </c>
      <c r="HA121">
        <v>0</v>
      </c>
      <c r="HB121">
        <v>0</v>
      </c>
      <c r="HC121">
        <f t="shared" si="138"/>
        <v>0</v>
      </c>
      <c r="IK121">
        <v>0</v>
      </c>
    </row>
    <row r="122" spans="1:255" x14ac:dyDescent="0.2">
      <c r="A122" s="2">
        <v>17</v>
      </c>
      <c r="B122" s="2">
        <v>1</v>
      </c>
      <c r="C122" s="2"/>
      <c r="D122" s="2"/>
      <c r="E122" s="2" t="s">
        <v>252</v>
      </c>
      <c r="F122" s="2" t="s">
        <v>253</v>
      </c>
      <c r="G122" s="2" t="s">
        <v>254</v>
      </c>
      <c r="H122" s="2" t="s">
        <v>255</v>
      </c>
      <c r="I122" s="2">
        <v>4.13</v>
      </c>
      <c r="J122" s="2">
        <v>0</v>
      </c>
      <c r="K122" s="2"/>
      <c r="L122" s="2"/>
      <c r="M122" s="2"/>
      <c r="N122" s="2"/>
      <c r="O122" s="2">
        <f>0</f>
        <v>0</v>
      </c>
      <c r="P122" s="2">
        <f>0</f>
        <v>0</v>
      </c>
      <c r="Q122" s="2">
        <f>0</f>
        <v>0</v>
      </c>
      <c r="R122" s="2">
        <f>0</f>
        <v>0</v>
      </c>
      <c r="S122" s="2">
        <f>0</f>
        <v>0</v>
      </c>
      <c r="T122" s="2">
        <f>0</f>
        <v>0</v>
      </c>
      <c r="U122" s="2">
        <f>0</f>
        <v>0</v>
      </c>
      <c r="V122" s="2">
        <f>0</f>
        <v>0</v>
      </c>
      <c r="W122" s="2">
        <f>0</f>
        <v>0</v>
      </c>
      <c r="X122" s="2">
        <f>0</f>
        <v>0</v>
      </c>
      <c r="Y122" s="2">
        <f>0</f>
        <v>0</v>
      </c>
      <c r="Z122" s="2"/>
      <c r="AA122" s="2">
        <v>16784195</v>
      </c>
      <c r="AB122" s="2">
        <f>ROUND((AK122),2)</f>
        <v>42.98</v>
      </c>
      <c r="AC122" s="2">
        <f>0</f>
        <v>0</v>
      </c>
      <c r="AD122" s="2">
        <f>0</f>
        <v>0</v>
      </c>
      <c r="AE122" s="2">
        <f>0</f>
        <v>0</v>
      </c>
      <c r="AF122" s="2">
        <f>0</f>
        <v>0</v>
      </c>
      <c r="AG122" s="2">
        <f>0</f>
        <v>0</v>
      </c>
      <c r="AH122" s="2">
        <f>0</f>
        <v>0</v>
      </c>
      <c r="AI122" s="2">
        <f>0</f>
        <v>0</v>
      </c>
      <c r="AJ122" s="2">
        <f>0</f>
        <v>0</v>
      </c>
      <c r="AK122" s="2">
        <v>42.98</v>
      </c>
      <c r="AL122" s="2">
        <v>0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0</v>
      </c>
      <c r="BI122" s="2">
        <v>1</v>
      </c>
      <c r="BJ122" s="2" t="s">
        <v>256</v>
      </c>
      <c r="BK122" s="2"/>
      <c r="BL122" s="2"/>
      <c r="BM122" s="2">
        <v>700004</v>
      </c>
      <c r="BN122" s="2">
        <v>0</v>
      </c>
      <c r="BO122" s="2" t="s">
        <v>6</v>
      </c>
      <c r="BP122" s="2">
        <v>0</v>
      </c>
      <c r="BQ122" s="2">
        <v>19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0</v>
      </c>
      <c r="CA122" s="2">
        <v>0</v>
      </c>
      <c r="CB122" s="2"/>
      <c r="CC122" s="2"/>
      <c r="CD122" s="2"/>
      <c r="CE122" s="2">
        <v>0</v>
      </c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6</v>
      </c>
      <c r="CO122" s="2">
        <v>0</v>
      </c>
      <c r="CP122" s="2">
        <f>AB122*AZ122</f>
        <v>42.98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/>
      <c r="DB122" s="2"/>
      <c r="DC122" s="2" t="s">
        <v>6</v>
      </c>
      <c r="DD122" s="2" t="s">
        <v>6</v>
      </c>
      <c r="DE122" s="2" t="s">
        <v>6</v>
      </c>
      <c r="DF122" s="2" t="s">
        <v>6</v>
      </c>
      <c r="DG122" s="2" t="s">
        <v>6</v>
      </c>
      <c r="DH122" s="2" t="s">
        <v>6</v>
      </c>
      <c r="DI122" s="2" t="s">
        <v>6</v>
      </c>
      <c r="DJ122" s="2" t="s">
        <v>6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1013</v>
      </c>
      <c r="DV122" s="2" t="s">
        <v>255</v>
      </c>
      <c r="DW122" s="2" t="s">
        <v>255</v>
      </c>
      <c r="DX122" s="2">
        <v>1</v>
      </c>
      <c r="DY122" s="2"/>
      <c r="DZ122" s="2"/>
      <c r="EA122" s="2"/>
      <c r="EB122" s="2"/>
      <c r="EC122" s="2"/>
      <c r="ED122" s="2"/>
      <c r="EE122" s="2">
        <v>16510675</v>
      </c>
      <c r="EF122" s="2">
        <v>19</v>
      </c>
      <c r="EG122" s="2" t="s">
        <v>257</v>
      </c>
      <c r="EH122" s="2">
        <v>0</v>
      </c>
      <c r="EI122" s="2" t="s">
        <v>6</v>
      </c>
      <c r="EJ122" s="2">
        <v>1</v>
      </c>
      <c r="EK122" s="2">
        <v>700004</v>
      </c>
      <c r="EL122" s="2" t="s">
        <v>258</v>
      </c>
      <c r="EM122" s="2" t="s">
        <v>259</v>
      </c>
      <c r="EN122" s="2"/>
      <c r="EO122" s="2" t="s">
        <v>6</v>
      </c>
      <c r="EP122" s="2"/>
      <c r="EQ122" s="2">
        <v>131072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48"/>
        <v>0</v>
      </c>
      <c r="FS122" s="2">
        <v>0</v>
      </c>
      <c r="FT122" s="2"/>
      <c r="FU122" s="2"/>
      <c r="FV122" s="2"/>
      <c r="FW122" s="2"/>
      <c r="FX122" s="2">
        <v>0</v>
      </c>
      <c r="FY122" s="2">
        <v>0</v>
      </c>
      <c r="FZ122" s="2"/>
      <c r="GA122" s="2" t="s">
        <v>6</v>
      </c>
      <c r="GB122" s="2"/>
      <c r="GC122" s="2"/>
      <c r="GD122" s="2">
        <v>0</v>
      </c>
      <c r="GE122" s="2"/>
      <c r="GF122" s="2">
        <v>811861299</v>
      </c>
      <c r="GG122" s="2">
        <v>2</v>
      </c>
      <c r="GH122" s="2">
        <v>1</v>
      </c>
      <c r="GI122" s="2">
        <v>-2</v>
      </c>
      <c r="GJ122" s="2">
        <v>2</v>
      </c>
      <c r="GK122" s="2">
        <f>ROUND(R122*(R12)/100,2)</f>
        <v>0</v>
      </c>
      <c r="GL122" s="2">
        <f t="shared" si="149"/>
        <v>0</v>
      </c>
      <c r="GM122" s="2">
        <f>ROUND(CP122*I122,2)</f>
        <v>177.51</v>
      </c>
      <c r="GN122" s="2">
        <f>IF(OR(BI122=0,BI122=1),ROUND(CP122*I122,2),0)</f>
        <v>177.51</v>
      </c>
      <c r="GO122" s="2">
        <f>IF(BI122=2,ROUND(CP122*I122,2),0)</f>
        <v>0</v>
      </c>
      <c r="GP122" s="2">
        <f>IF(BI122=4,ROUND(CP122*I122,2)+GX122,0)</f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>0</f>
        <v>0</v>
      </c>
      <c r="GW122" s="2">
        <v>1</v>
      </c>
      <c r="GX122" s="2">
        <f>0</f>
        <v>0</v>
      </c>
      <c r="GY122" s="2"/>
      <c r="GZ122" s="2"/>
      <c r="HA122" s="2">
        <v>0</v>
      </c>
      <c r="HB122" s="2">
        <v>0</v>
      </c>
      <c r="HC122" s="2">
        <v>0</v>
      </c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17</v>
      </c>
      <c r="B123">
        <v>1</v>
      </c>
      <c r="E123" t="s">
        <v>252</v>
      </c>
      <c r="F123" t="s">
        <v>253</v>
      </c>
      <c r="G123" t="s">
        <v>254</v>
      </c>
      <c r="H123" t="s">
        <v>255</v>
      </c>
      <c r="I123">
        <v>4.13</v>
      </c>
      <c r="J123">
        <v>0</v>
      </c>
      <c r="O123">
        <f>0</f>
        <v>0</v>
      </c>
      <c r="P123">
        <f>0</f>
        <v>0</v>
      </c>
      <c r="Q123">
        <f>0</f>
        <v>0</v>
      </c>
      <c r="R123">
        <f>0</f>
        <v>0</v>
      </c>
      <c r="S123">
        <f>0</f>
        <v>0</v>
      </c>
      <c r="T123">
        <f>0</f>
        <v>0</v>
      </c>
      <c r="U123">
        <f>0</f>
        <v>0</v>
      </c>
      <c r="V123">
        <f>0</f>
        <v>0</v>
      </c>
      <c r="W123">
        <f>0</f>
        <v>0</v>
      </c>
      <c r="X123">
        <f>0</f>
        <v>0</v>
      </c>
      <c r="Y123">
        <f>0</f>
        <v>0</v>
      </c>
      <c r="AA123">
        <v>16784196</v>
      </c>
      <c r="AB123">
        <f>ROUND((AK123),2)</f>
        <v>42.98</v>
      </c>
      <c r="AC123">
        <f>0</f>
        <v>0</v>
      </c>
      <c r="AD123">
        <f>0</f>
        <v>0</v>
      </c>
      <c r="AE123">
        <f>0</f>
        <v>0</v>
      </c>
      <c r="AF123">
        <f>0</f>
        <v>0</v>
      </c>
      <c r="AG123">
        <f>0</f>
        <v>0</v>
      </c>
      <c r="AH123">
        <f>0</f>
        <v>0</v>
      </c>
      <c r="AI123">
        <f>0</f>
        <v>0</v>
      </c>
      <c r="AJ123">
        <f>0</f>
        <v>0</v>
      </c>
      <c r="AK123">
        <v>42.98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1</v>
      </c>
      <c r="AW123">
        <v>1</v>
      </c>
      <c r="AZ123">
        <v>6.11</v>
      </c>
      <c r="BA123">
        <v>1</v>
      </c>
      <c r="BB123">
        <v>1</v>
      </c>
      <c r="BC123">
        <v>1</v>
      </c>
      <c r="BD123" t="s">
        <v>6</v>
      </c>
      <c r="BE123" t="s">
        <v>6</v>
      </c>
      <c r="BF123" t="s">
        <v>6</v>
      </c>
      <c r="BG123" t="s">
        <v>6</v>
      </c>
      <c r="BH123">
        <v>0</v>
      </c>
      <c r="BI123">
        <v>1</v>
      </c>
      <c r="BJ123" t="s">
        <v>256</v>
      </c>
      <c r="BM123">
        <v>700004</v>
      </c>
      <c r="BN123">
        <v>0</v>
      </c>
      <c r="BO123" t="s">
        <v>6</v>
      </c>
      <c r="BP123">
        <v>0</v>
      </c>
      <c r="BQ123">
        <v>19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0</v>
      </c>
      <c r="CA123">
        <v>0</v>
      </c>
      <c r="CE123">
        <v>0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>AB123*AZ123</f>
        <v>262.6078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1013</v>
      </c>
      <c r="DV123" t="s">
        <v>255</v>
      </c>
      <c r="DW123" t="s">
        <v>255</v>
      </c>
      <c r="DX123">
        <v>1</v>
      </c>
      <c r="EE123">
        <v>16510675</v>
      </c>
      <c r="EF123">
        <v>19</v>
      </c>
      <c r="EG123" t="s">
        <v>257</v>
      </c>
      <c r="EH123">
        <v>0</v>
      </c>
      <c r="EI123" t="s">
        <v>6</v>
      </c>
      <c r="EJ123">
        <v>1</v>
      </c>
      <c r="EK123">
        <v>700004</v>
      </c>
      <c r="EL123" t="s">
        <v>258</v>
      </c>
      <c r="EM123" t="s">
        <v>259</v>
      </c>
      <c r="EO123" t="s">
        <v>6</v>
      </c>
      <c r="EQ123">
        <v>131072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  <c r="FQ123">
        <v>0</v>
      </c>
      <c r="FR123">
        <f t="shared" si="148"/>
        <v>0</v>
      </c>
      <c r="FS123">
        <v>0</v>
      </c>
      <c r="FX123">
        <v>0</v>
      </c>
      <c r="FY123">
        <v>0</v>
      </c>
      <c r="GA123" t="s">
        <v>6</v>
      </c>
      <c r="GD123">
        <v>0</v>
      </c>
      <c r="GF123">
        <v>811861299</v>
      </c>
      <c r="GG123">
        <v>1</v>
      </c>
      <c r="GH123">
        <v>1</v>
      </c>
      <c r="GI123">
        <v>4</v>
      </c>
      <c r="GJ123">
        <v>2</v>
      </c>
      <c r="GK123">
        <f>ROUND(R123*(S12)/100,2)</f>
        <v>0</v>
      </c>
      <c r="GL123">
        <f t="shared" si="149"/>
        <v>0</v>
      </c>
      <c r="GM123">
        <f>ROUND(CP123*I123,2)</f>
        <v>1084.57</v>
      </c>
      <c r="GN123">
        <f>IF(OR(BI123=0,BI123=1),ROUND(CP123*I123,2),0)</f>
        <v>1084.57</v>
      </c>
      <c r="GO123">
        <f>IF(BI123=2,ROUND(CP123*I123,2),0)</f>
        <v>0</v>
      </c>
      <c r="GP123">
        <f>IF(BI123=4,ROUND(CP123*I123,2)+GX123,0)</f>
        <v>0</v>
      </c>
      <c r="GR123">
        <v>0</v>
      </c>
      <c r="GS123">
        <v>3</v>
      </c>
      <c r="GT123">
        <v>0</v>
      </c>
      <c r="GU123" t="s">
        <v>6</v>
      </c>
      <c r="GV123">
        <f>0</f>
        <v>0</v>
      </c>
      <c r="GW123">
        <v>1</v>
      </c>
      <c r="GX123">
        <f>0</f>
        <v>0</v>
      </c>
      <c r="HA123">
        <v>0</v>
      </c>
      <c r="HB123">
        <v>0</v>
      </c>
      <c r="HC123">
        <v>0</v>
      </c>
      <c r="IK123">
        <v>0</v>
      </c>
    </row>
    <row r="124" spans="1:255" x14ac:dyDescent="0.2">
      <c r="A124" s="2">
        <v>17</v>
      </c>
      <c r="B124" s="2">
        <v>1</v>
      </c>
      <c r="C124" s="2"/>
      <c r="D124" s="2"/>
      <c r="E124" s="2" t="s">
        <v>260</v>
      </c>
      <c r="F124" s="2" t="s">
        <v>261</v>
      </c>
      <c r="G124" s="2" t="s">
        <v>262</v>
      </c>
      <c r="H124" s="2" t="s">
        <v>255</v>
      </c>
      <c r="I124" s="2">
        <v>4.13</v>
      </c>
      <c r="J124" s="2">
        <v>0</v>
      </c>
      <c r="K124" s="2"/>
      <c r="L124" s="2"/>
      <c r="M124" s="2"/>
      <c r="N124" s="2"/>
      <c r="O124" s="2">
        <f>0</f>
        <v>0</v>
      </c>
      <c r="P124" s="2">
        <f>0</f>
        <v>0</v>
      </c>
      <c r="Q124" s="2">
        <f>0</f>
        <v>0</v>
      </c>
      <c r="R124" s="2">
        <f>0</f>
        <v>0</v>
      </c>
      <c r="S124" s="2">
        <f>0</f>
        <v>0</v>
      </c>
      <c r="T124" s="2">
        <f>0</f>
        <v>0</v>
      </c>
      <c r="U124" s="2">
        <f>0</f>
        <v>0</v>
      </c>
      <c r="V124" s="2">
        <f>0</f>
        <v>0</v>
      </c>
      <c r="W124" s="2">
        <f>0</f>
        <v>0</v>
      </c>
      <c r="X124" s="2">
        <f>0</f>
        <v>0</v>
      </c>
      <c r="Y124" s="2">
        <f>0</f>
        <v>0</v>
      </c>
      <c r="Z124" s="2"/>
      <c r="AA124" s="2">
        <v>16784195</v>
      </c>
      <c r="AB124" s="2">
        <f>ROUND((AK124),2)</f>
        <v>19.04</v>
      </c>
      <c r="AC124" s="2">
        <f>0</f>
        <v>0</v>
      </c>
      <c r="AD124" s="2">
        <f>0</f>
        <v>0</v>
      </c>
      <c r="AE124" s="2">
        <f>0</f>
        <v>0</v>
      </c>
      <c r="AF124" s="2">
        <f>0</f>
        <v>0</v>
      </c>
      <c r="AG124" s="2">
        <f>0</f>
        <v>0</v>
      </c>
      <c r="AH124" s="2">
        <f>0</f>
        <v>0</v>
      </c>
      <c r="AI124" s="2">
        <f>0</f>
        <v>0</v>
      </c>
      <c r="AJ124" s="2">
        <f>0</f>
        <v>0</v>
      </c>
      <c r="AK124" s="2">
        <v>19.04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0</v>
      </c>
      <c r="BI124" s="2">
        <v>1</v>
      </c>
      <c r="BJ124" s="2" t="s">
        <v>263</v>
      </c>
      <c r="BK124" s="2"/>
      <c r="BL124" s="2"/>
      <c r="BM124" s="2">
        <v>700005</v>
      </c>
      <c r="BN124" s="2">
        <v>0</v>
      </c>
      <c r="BO124" s="2" t="s">
        <v>6</v>
      </c>
      <c r="BP124" s="2">
        <v>0</v>
      </c>
      <c r="BQ124" s="2">
        <v>10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0</v>
      </c>
      <c r="CA124" s="2">
        <v>0</v>
      </c>
      <c r="CB124" s="2"/>
      <c r="CC124" s="2"/>
      <c r="CD124" s="2"/>
      <c r="CE124" s="2">
        <v>0</v>
      </c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6</v>
      </c>
      <c r="CO124" s="2">
        <v>0</v>
      </c>
      <c r="CP124" s="2">
        <f>AB124*AZ124</f>
        <v>19.04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/>
      <c r="DB124" s="2"/>
      <c r="DC124" s="2" t="s">
        <v>6</v>
      </c>
      <c r="DD124" s="2" t="s">
        <v>6</v>
      </c>
      <c r="DE124" s="2" t="s">
        <v>6</v>
      </c>
      <c r="DF124" s="2" t="s">
        <v>6</v>
      </c>
      <c r="DG124" s="2" t="s">
        <v>6</v>
      </c>
      <c r="DH124" s="2" t="s">
        <v>6</v>
      </c>
      <c r="DI124" s="2" t="s">
        <v>6</v>
      </c>
      <c r="DJ124" s="2" t="s">
        <v>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1013</v>
      </c>
      <c r="DV124" s="2" t="s">
        <v>255</v>
      </c>
      <c r="DW124" s="2" t="s">
        <v>255</v>
      </c>
      <c r="DX124" s="2">
        <v>1</v>
      </c>
      <c r="DY124" s="2"/>
      <c r="DZ124" s="2"/>
      <c r="EA124" s="2"/>
      <c r="EB124" s="2"/>
      <c r="EC124" s="2"/>
      <c r="ED124" s="2"/>
      <c r="EE124" s="2">
        <v>16510679</v>
      </c>
      <c r="EF124" s="2">
        <v>10</v>
      </c>
      <c r="EG124" s="2" t="s">
        <v>264</v>
      </c>
      <c r="EH124" s="2">
        <v>0</v>
      </c>
      <c r="EI124" s="2" t="s">
        <v>6</v>
      </c>
      <c r="EJ124" s="2">
        <v>1</v>
      </c>
      <c r="EK124" s="2">
        <v>700005</v>
      </c>
      <c r="EL124" s="2" t="s">
        <v>265</v>
      </c>
      <c r="EM124" s="2" t="s">
        <v>266</v>
      </c>
      <c r="EN124" s="2"/>
      <c r="EO124" s="2" t="s">
        <v>6</v>
      </c>
      <c r="EP124" s="2"/>
      <c r="EQ124" s="2">
        <v>131072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si="148"/>
        <v>0</v>
      </c>
      <c r="FS124" s="2">
        <v>0</v>
      </c>
      <c r="FT124" s="2"/>
      <c r="FU124" s="2"/>
      <c r="FV124" s="2"/>
      <c r="FW124" s="2"/>
      <c r="FX124" s="2">
        <v>0</v>
      </c>
      <c r="FY124" s="2">
        <v>0</v>
      </c>
      <c r="FZ124" s="2"/>
      <c r="GA124" s="2" t="s">
        <v>6</v>
      </c>
      <c r="GB124" s="2"/>
      <c r="GC124" s="2"/>
      <c r="GD124" s="2">
        <v>0</v>
      </c>
      <c r="GE124" s="2"/>
      <c r="GF124" s="2">
        <v>-1691558958</v>
      </c>
      <c r="GG124" s="2">
        <v>2</v>
      </c>
      <c r="GH124" s="2">
        <v>1</v>
      </c>
      <c r="GI124" s="2">
        <v>-2</v>
      </c>
      <c r="GJ124" s="2">
        <v>2</v>
      </c>
      <c r="GK124" s="2">
        <f>ROUND(R124*(R12)/100,2)</f>
        <v>0</v>
      </c>
      <c r="GL124" s="2">
        <f t="shared" si="149"/>
        <v>0</v>
      </c>
      <c r="GM124" s="2">
        <f>ROUND(CP124*I124,2)</f>
        <v>78.64</v>
      </c>
      <c r="GN124" s="2">
        <f>IF(OR(BI124=0,BI124=1),ROUND(CP124*I124,2),0)</f>
        <v>78.64</v>
      </c>
      <c r="GO124" s="2">
        <f>IF(BI124=2,ROUND(CP124*I124,2),0)</f>
        <v>0</v>
      </c>
      <c r="GP124" s="2">
        <f>IF(BI124=4,ROUND(CP124*I124,2)+GX124,0)</f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>0</f>
        <v>0</v>
      </c>
      <c r="GW124" s="2">
        <v>1</v>
      </c>
      <c r="GX124" s="2">
        <f>0</f>
        <v>0</v>
      </c>
      <c r="GY124" s="2"/>
      <c r="GZ124" s="2"/>
      <c r="HA124" s="2">
        <v>0</v>
      </c>
      <c r="HB124" s="2">
        <v>0</v>
      </c>
      <c r="HC124" s="2">
        <v>0</v>
      </c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E125" t="s">
        <v>260</v>
      </c>
      <c r="F125" t="s">
        <v>261</v>
      </c>
      <c r="G125" t="s">
        <v>262</v>
      </c>
      <c r="H125" t="s">
        <v>255</v>
      </c>
      <c r="I125">
        <v>4.13</v>
      </c>
      <c r="J125">
        <v>0</v>
      </c>
      <c r="O125">
        <f>0</f>
        <v>0</v>
      </c>
      <c r="P125">
        <f>0</f>
        <v>0</v>
      </c>
      <c r="Q125">
        <f>0</f>
        <v>0</v>
      </c>
      <c r="R125">
        <f>0</f>
        <v>0</v>
      </c>
      <c r="S125">
        <f>0</f>
        <v>0</v>
      </c>
      <c r="T125">
        <f>0</f>
        <v>0</v>
      </c>
      <c r="U125">
        <f>0</f>
        <v>0</v>
      </c>
      <c r="V125">
        <f>0</f>
        <v>0</v>
      </c>
      <c r="W125">
        <f>0</f>
        <v>0</v>
      </c>
      <c r="X125">
        <f>0</f>
        <v>0</v>
      </c>
      <c r="Y125">
        <f>0</f>
        <v>0</v>
      </c>
      <c r="AA125">
        <v>16784196</v>
      </c>
      <c r="AB125">
        <f>ROUND((AK125),2)</f>
        <v>19.04</v>
      </c>
      <c r="AC125">
        <f>0</f>
        <v>0</v>
      </c>
      <c r="AD125">
        <f>0</f>
        <v>0</v>
      </c>
      <c r="AE125">
        <f>0</f>
        <v>0</v>
      </c>
      <c r="AF125">
        <f>0</f>
        <v>0</v>
      </c>
      <c r="AG125">
        <f>0</f>
        <v>0</v>
      </c>
      <c r="AH125">
        <f>0</f>
        <v>0</v>
      </c>
      <c r="AI125">
        <f>0</f>
        <v>0</v>
      </c>
      <c r="AJ125">
        <f>0</f>
        <v>0</v>
      </c>
      <c r="AK125">
        <v>19.04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1</v>
      </c>
      <c r="AW125">
        <v>1</v>
      </c>
      <c r="AZ125">
        <v>6.11</v>
      </c>
      <c r="BA125">
        <v>1</v>
      </c>
      <c r="BB125">
        <v>1</v>
      </c>
      <c r="BC125">
        <v>1</v>
      </c>
      <c r="BD125" t="s">
        <v>6</v>
      </c>
      <c r="BE125" t="s">
        <v>6</v>
      </c>
      <c r="BF125" t="s">
        <v>6</v>
      </c>
      <c r="BG125" t="s">
        <v>6</v>
      </c>
      <c r="BH125">
        <v>0</v>
      </c>
      <c r="BI125">
        <v>1</v>
      </c>
      <c r="BJ125" t="s">
        <v>263</v>
      </c>
      <c r="BM125">
        <v>700005</v>
      </c>
      <c r="BN125">
        <v>0</v>
      </c>
      <c r="BO125" t="s">
        <v>6</v>
      </c>
      <c r="BP125">
        <v>0</v>
      </c>
      <c r="BQ125">
        <v>10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0</v>
      </c>
      <c r="CA125">
        <v>0</v>
      </c>
      <c r="CE125">
        <v>0</v>
      </c>
      <c r="CF125">
        <v>0</v>
      </c>
      <c r="CG125">
        <v>0</v>
      </c>
      <c r="CM125">
        <v>0</v>
      </c>
      <c r="CN125" t="s">
        <v>6</v>
      </c>
      <c r="CO125">
        <v>0</v>
      </c>
      <c r="CP125">
        <f>AB125*AZ125</f>
        <v>116.3344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C125" t="s">
        <v>6</v>
      </c>
      <c r="DD125" t="s">
        <v>6</v>
      </c>
      <c r="DE125" t="s">
        <v>6</v>
      </c>
      <c r="DF125" t="s">
        <v>6</v>
      </c>
      <c r="DG125" t="s">
        <v>6</v>
      </c>
      <c r="DH125" t="s">
        <v>6</v>
      </c>
      <c r="DI125" t="s">
        <v>6</v>
      </c>
      <c r="DJ125" t="s">
        <v>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1013</v>
      </c>
      <c r="DV125" t="s">
        <v>255</v>
      </c>
      <c r="DW125" t="s">
        <v>255</v>
      </c>
      <c r="DX125">
        <v>1</v>
      </c>
      <c r="EE125">
        <v>16510679</v>
      </c>
      <c r="EF125">
        <v>10</v>
      </c>
      <c r="EG125" t="s">
        <v>264</v>
      </c>
      <c r="EH125">
        <v>0</v>
      </c>
      <c r="EI125" t="s">
        <v>6</v>
      </c>
      <c r="EJ125">
        <v>1</v>
      </c>
      <c r="EK125">
        <v>700005</v>
      </c>
      <c r="EL125" t="s">
        <v>265</v>
      </c>
      <c r="EM125" t="s">
        <v>266</v>
      </c>
      <c r="EO125" t="s">
        <v>6</v>
      </c>
      <c r="EQ125">
        <v>131072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FQ125">
        <v>0</v>
      </c>
      <c r="FR125">
        <f t="shared" si="148"/>
        <v>0</v>
      </c>
      <c r="FS125">
        <v>0</v>
      </c>
      <c r="FX125">
        <v>0</v>
      </c>
      <c r="FY125">
        <v>0</v>
      </c>
      <c r="GA125" t="s">
        <v>6</v>
      </c>
      <c r="GD125">
        <v>0</v>
      </c>
      <c r="GF125">
        <v>-1691558958</v>
      </c>
      <c r="GG125">
        <v>1</v>
      </c>
      <c r="GH125">
        <v>1</v>
      </c>
      <c r="GI125">
        <v>4</v>
      </c>
      <c r="GJ125">
        <v>2</v>
      </c>
      <c r="GK125">
        <f>ROUND(R125*(S12)/100,2)</f>
        <v>0</v>
      </c>
      <c r="GL125">
        <f t="shared" si="149"/>
        <v>0</v>
      </c>
      <c r="GM125">
        <f>ROUND(CP125*I125,2)</f>
        <v>480.46</v>
      </c>
      <c r="GN125">
        <f>IF(OR(BI125=0,BI125=1),ROUND(CP125*I125,2),0)</f>
        <v>480.46</v>
      </c>
      <c r="GO125">
        <f>IF(BI125=2,ROUND(CP125*I125,2),0)</f>
        <v>0</v>
      </c>
      <c r="GP125">
        <f>IF(BI125=4,ROUND(CP125*I125,2)+GX125,0)</f>
        <v>0</v>
      </c>
      <c r="GR125">
        <v>0</v>
      </c>
      <c r="GS125">
        <v>3</v>
      </c>
      <c r="GT125">
        <v>0</v>
      </c>
      <c r="GU125" t="s">
        <v>6</v>
      </c>
      <c r="GV125">
        <f>0</f>
        <v>0</v>
      </c>
      <c r="GW125">
        <v>1</v>
      </c>
      <c r="GX125">
        <f>0</f>
        <v>0</v>
      </c>
      <c r="HA125">
        <v>0</v>
      </c>
      <c r="HB125">
        <v>0</v>
      </c>
      <c r="HC125">
        <v>0</v>
      </c>
      <c r="IK125">
        <v>0</v>
      </c>
    </row>
    <row r="126" spans="1:255" x14ac:dyDescent="0.2">
      <c r="A126" s="2">
        <v>17</v>
      </c>
      <c r="B126" s="2">
        <v>1</v>
      </c>
      <c r="C126" s="2">
        <f>ROW(SmtRes!A361)</f>
        <v>361</v>
      </c>
      <c r="D126" s="2">
        <f>ROW(EtalonRes!A366)</f>
        <v>366</v>
      </c>
      <c r="E126" s="2" t="s">
        <v>267</v>
      </c>
      <c r="F126" s="2" t="s">
        <v>268</v>
      </c>
      <c r="G126" s="2" t="s">
        <v>269</v>
      </c>
      <c r="H126" s="2" t="s">
        <v>227</v>
      </c>
      <c r="I126" s="2">
        <f>ROUND(4/100,9)</f>
        <v>0.04</v>
      </c>
      <c r="J126" s="2">
        <v>0</v>
      </c>
      <c r="K126" s="2"/>
      <c r="L126" s="2"/>
      <c r="M126" s="2"/>
      <c r="N126" s="2"/>
      <c r="O126" s="2">
        <f t="shared" ref="O126:O173" si="150">ROUND(CP126,2)</f>
        <v>160</v>
      </c>
      <c r="P126" s="2">
        <f t="shared" ref="P126:P173" si="151">ROUND(CQ126*I126,2)</f>
        <v>41.27</v>
      </c>
      <c r="Q126" s="2">
        <f t="shared" ref="Q126:Q173" si="152">ROUND(CR126*I126,2)</f>
        <v>8.9</v>
      </c>
      <c r="R126" s="2">
        <f t="shared" ref="R126:R173" si="153">ROUND(CS126*I126,2)</f>
        <v>1.2</v>
      </c>
      <c r="S126" s="2">
        <f t="shared" ref="S126:S173" si="154">ROUND(CT126*I126,2)</f>
        <v>109.83</v>
      </c>
      <c r="T126" s="2">
        <f t="shared" ref="T126:T173" si="155">ROUND(CU126*I126,2)</f>
        <v>0</v>
      </c>
      <c r="U126" s="2">
        <f t="shared" ref="U126:U173" si="156">CV126*I126</f>
        <v>11.072000000000001</v>
      </c>
      <c r="V126" s="2">
        <f t="shared" ref="V126:V173" si="157">CW126*I126</f>
        <v>9.6000000000000002E-2</v>
      </c>
      <c r="W126" s="2">
        <f t="shared" ref="W126:W173" si="158">ROUND(CX126*I126,2)</f>
        <v>0</v>
      </c>
      <c r="X126" s="2">
        <f t="shared" ref="X126:X173" si="159">ROUND(CY126,2)</f>
        <v>105.48</v>
      </c>
      <c r="Y126" s="2">
        <f t="shared" ref="Y126:Y173" si="160">ROUND(CZ126,2)</f>
        <v>72.17</v>
      </c>
      <c r="Z126" s="2"/>
      <c r="AA126" s="2">
        <v>16784195</v>
      </c>
      <c r="AB126" s="2">
        <f t="shared" ref="AB126:AB173" si="161">ROUND((AC126+AD126+AF126),2)</f>
        <v>4000.04</v>
      </c>
      <c r="AC126" s="2">
        <f t="shared" ref="AC126:AC173" si="162">ROUND((ES126),2)</f>
        <v>1031.71</v>
      </c>
      <c r="AD126" s="2">
        <f t="shared" ref="AD126:AD131" si="163">ROUND((((ET126)-(EU126))+AE126),2)</f>
        <v>222.47</v>
      </c>
      <c r="AE126" s="2">
        <f t="shared" ref="AE126:AF131" si="164">ROUND((EU126),2)</f>
        <v>30.12</v>
      </c>
      <c r="AF126" s="2">
        <f t="shared" si="164"/>
        <v>2745.86</v>
      </c>
      <c r="AG126" s="2">
        <f t="shared" ref="AG126:AG173" si="165">ROUND((AP126),2)</f>
        <v>0</v>
      </c>
      <c r="AH126" s="2">
        <f t="shared" ref="AH126:AI131" si="166">(EW126)</f>
        <v>276.8</v>
      </c>
      <c r="AI126" s="2">
        <f t="shared" si="166"/>
        <v>2.4</v>
      </c>
      <c r="AJ126" s="2">
        <f t="shared" ref="AJ126:AJ173" si="167">(AS126)</f>
        <v>0</v>
      </c>
      <c r="AK126" s="2">
        <v>4000.04</v>
      </c>
      <c r="AL126" s="2">
        <v>1031.71</v>
      </c>
      <c r="AM126" s="2">
        <v>222.47</v>
      </c>
      <c r="AN126" s="2">
        <v>30.12</v>
      </c>
      <c r="AO126" s="2">
        <v>2745.86</v>
      </c>
      <c r="AP126" s="2">
        <v>0</v>
      </c>
      <c r="AQ126" s="2">
        <v>276.8</v>
      </c>
      <c r="AR126" s="2">
        <v>2.4</v>
      </c>
      <c r="AS126" s="2">
        <v>0</v>
      </c>
      <c r="AT126" s="2">
        <v>95</v>
      </c>
      <c r="AU126" s="2">
        <v>65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0</v>
      </c>
      <c r="BI126" s="2">
        <v>2</v>
      </c>
      <c r="BJ126" s="2" t="s">
        <v>270</v>
      </c>
      <c r="BK126" s="2"/>
      <c r="BL126" s="2"/>
      <c r="BM126" s="2">
        <v>108001</v>
      </c>
      <c r="BN126" s="2">
        <v>0</v>
      </c>
      <c r="BO126" s="2" t="s">
        <v>6</v>
      </c>
      <c r="BP126" s="2">
        <v>0</v>
      </c>
      <c r="BQ126" s="2">
        <v>3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95</v>
      </c>
      <c r="CA126" s="2">
        <v>65</v>
      </c>
      <c r="CB126" s="2"/>
      <c r="CC126" s="2"/>
      <c r="CD126" s="2"/>
      <c r="CE126" s="2">
        <v>0</v>
      </c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6</v>
      </c>
      <c r="CO126" s="2">
        <v>0</v>
      </c>
      <c r="CP126" s="2">
        <f t="shared" ref="CP126:CP173" si="168">(P126+Q126+S126)</f>
        <v>160</v>
      </c>
      <c r="CQ126" s="2">
        <f t="shared" ref="CQ126:CQ173" si="169">AC126*BC126</f>
        <v>1031.71</v>
      </c>
      <c r="CR126" s="2">
        <f t="shared" ref="CR126:CR173" si="170">AD126*BB126</f>
        <v>222.47</v>
      </c>
      <c r="CS126" s="2">
        <f t="shared" ref="CS126:CS173" si="171">AE126*BS126</f>
        <v>30.12</v>
      </c>
      <c r="CT126" s="2">
        <f t="shared" ref="CT126:CT173" si="172">AF126*BA126</f>
        <v>2745.86</v>
      </c>
      <c r="CU126" s="2">
        <f t="shared" ref="CU126:CU173" si="173">AG126</f>
        <v>0</v>
      </c>
      <c r="CV126" s="2">
        <f t="shared" ref="CV126:CV173" si="174">AH126</f>
        <v>276.8</v>
      </c>
      <c r="CW126" s="2">
        <f t="shared" ref="CW126:CW173" si="175">AI126</f>
        <v>2.4</v>
      </c>
      <c r="CX126" s="2">
        <f t="shared" ref="CX126:CX173" si="176">AJ126</f>
        <v>0</v>
      </c>
      <c r="CY126" s="2">
        <f t="shared" ref="CY126:CY173" si="177">(((S126+R126)*AT126)/100)</f>
        <v>105.4785</v>
      </c>
      <c r="CZ126" s="2">
        <f t="shared" ref="CZ126:CZ173" si="178">(((S126+R126)*AU126)/100)</f>
        <v>72.169499999999999</v>
      </c>
      <c r="DA126" s="2"/>
      <c r="DB126" s="2"/>
      <c r="DC126" s="2" t="s">
        <v>6</v>
      </c>
      <c r="DD126" s="2" t="s">
        <v>6</v>
      </c>
      <c r="DE126" s="2" t="s">
        <v>6</v>
      </c>
      <c r="DF126" s="2" t="s">
        <v>6</v>
      </c>
      <c r="DG126" s="2" t="s">
        <v>6</v>
      </c>
      <c r="DH126" s="2" t="s">
        <v>6</v>
      </c>
      <c r="DI126" s="2" t="s">
        <v>6</v>
      </c>
      <c r="DJ126" s="2" t="s">
        <v>6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1013</v>
      </c>
      <c r="DV126" s="2" t="s">
        <v>227</v>
      </c>
      <c r="DW126" s="2" t="s">
        <v>227</v>
      </c>
      <c r="DX126" s="2">
        <v>1</v>
      </c>
      <c r="DY126" s="2"/>
      <c r="DZ126" s="2"/>
      <c r="EA126" s="2"/>
      <c r="EB126" s="2"/>
      <c r="EC126" s="2"/>
      <c r="ED126" s="2"/>
      <c r="EE126" s="2">
        <v>16510370</v>
      </c>
      <c r="EF126" s="2">
        <v>3</v>
      </c>
      <c r="EG126" s="2" t="s">
        <v>271</v>
      </c>
      <c r="EH126" s="2">
        <v>0</v>
      </c>
      <c r="EI126" s="2" t="s">
        <v>6</v>
      </c>
      <c r="EJ126" s="2">
        <v>2</v>
      </c>
      <c r="EK126" s="2">
        <v>108001</v>
      </c>
      <c r="EL126" s="2" t="s">
        <v>272</v>
      </c>
      <c r="EM126" s="2" t="s">
        <v>273</v>
      </c>
      <c r="EN126" s="2"/>
      <c r="EO126" s="2" t="s">
        <v>6</v>
      </c>
      <c r="EP126" s="2"/>
      <c r="EQ126" s="2">
        <v>131072</v>
      </c>
      <c r="ER126" s="2">
        <v>4000.04</v>
      </c>
      <c r="ES126" s="2">
        <v>1031.71</v>
      </c>
      <c r="ET126" s="2">
        <v>222.47</v>
      </c>
      <c r="EU126" s="2">
        <v>30.12</v>
      </c>
      <c r="EV126" s="2">
        <v>2745.86</v>
      </c>
      <c r="EW126" s="2">
        <v>276.8</v>
      </c>
      <c r="EX126" s="2">
        <v>2.4</v>
      </c>
      <c r="EY126" s="2">
        <v>0</v>
      </c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48"/>
        <v>0</v>
      </c>
      <c r="FS126" s="2">
        <v>0</v>
      </c>
      <c r="FT126" s="2"/>
      <c r="FU126" s="2"/>
      <c r="FV126" s="2"/>
      <c r="FW126" s="2"/>
      <c r="FX126" s="2">
        <v>95</v>
      </c>
      <c r="FY126" s="2">
        <v>65</v>
      </c>
      <c r="FZ126" s="2"/>
      <c r="GA126" s="2" t="s">
        <v>6</v>
      </c>
      <c r="GB126" s="2"/>
      <c r="GC126" s="2"/>
      <c r="GD126" s="2">
        <v>0</v>
      </c>
      <c r="GE126" s="2"/>
      <c r="GF126" s="2">
        <v>-932102563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49"/>
        <v>0</v>
      </c>
      <c r="GM126" s="2">
        <f t="shared" ref="GM126:GM173" si="179">ROUND(O126+X126+Y126+GK126,2)+GX126</f>
        <v>337.65</v>
      </c>
      <c r="GN126" s="2">
        <f t="shared" ref="GN126:GN173" si="180">IF(OR(BI126=0,BI126=1),ROUND(O126+X126+Y126+GK126,2),0)</f>
        <v>0</v>
      </c>
      <c r="GO126" s="2">
        <f t="shared" ref="GO126:GO173" si="181">IF(BI126=2,ROUND(O126+X126+Y126+GK126,2),0)</f>
        <v>337.65</v>
      </c>
      <c r="GP126" s="2">
        <f t="shared" ref="GP126:GP173" si="182">IF(BI126=4,ROUND(O126+X126+Y126+GK126,2)+GX126,0)</f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 t="shared" ref="GV126:GV173" si="183">ROUND((GT126),2)</f>
        <v>0</v>
      </c>
      <c r="GW126" s="2">
        <v>1</v>
      </c>
      <c r="GX126" s="2">
        <f t="shared" ref="GX126:GX173" si="184">ROUND(HC126*I126,2)</f>
        <v>0</v>
      </c>
      <c r="GY126" s="2"/>
      <c r="GZ126" s="2"/>
      <c r="HA126" s="2">
        <v>0</v>
      </c>
      <c r="HB126" s="2">
        <v>0</v>
      </c>
      <c r="HC126" s="2">
        <f t="shared" ref="HC126:HC173" si="185">GV126*GW126</f>
        <v>0</v>
      </c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17</v>
      </c>
      <c r="B127">
        <v>1</v>
      </c>
      <c r="C127">
        <f>ROW(SmtRes!A374)</f>
        <v>374</v>
      </c>
      <c r="D127">
        <f>ROW(EtalonRes!A378)</f>
        <v>378</v>
      </c>
      <c r="E127" t="s">
        <v>267</v>
      </c>
      <c r="F127" t="s">
        <v>268</v>
      </c>
      <c r="G127" t="s">
        <v>269</v>
      </c>
      <c r="H127" t="s">
        <v>227</v>
      </c>
      <c r="I127">
        <f>ROUND(4/100,9)</f>
        <v>0.04</v>
      </c>
      <c r="J127">
        <v>0</v>
      </c>
      <c r="O127">
        <f t="shared" si="150"/>
        <v>977.61</v>
      </c>
      <c r="P127">
        <f t="shared" si="151"/>
        <v>252.15</v>
      </c>
      <c r="Q127">
        <f t="shared" si="152"/>
        <v>54.37</v>
      </c>
      <c r="R127">
        <f t="shared" si="153"/>
        <v>7.36</v>
      </c>
      <c r="S127">
        <f t="shared" si="154"/>
        <v>671.09</v>
      </c>
      <c r="T127">
        <f t="shared" si="155"/>
        <v>0</v>
      </c>
      <c r="U127">
        <f t="shared" si="156"/>
        <v>11.072000000000001</v>
      </c>
      <c r="V127">
        <f t="shared" si="157"/>
        <v>9.6000000000000002E-2</v>
      </c>
      <c r="W127">
        <f t="shared" si="158"/>
        <v>0</v>
      </c>
      <c r="X127">
        <f t="shared" si="159"/>
        <v>644.53</v>
      </c>
      <c r="Y127">
        <f t="shared" si="160"/>
        <v>440.99</v>
      </c>
      <c r="AA127">
        <v>16784196</v>
      </c>
      <c r="AB127">
        <f t="shared" si="161"/>
        <v>4000.04</v>
      </c>
      <c r="AC127">
        <f t="shared" si="162"/>
        <v>1031.71</v>
      </c>
      <c r="AD127">
        <f t="shared" si="163"/>
        <v>222.47</v>
      </c>
      <c r="AE127">
        <f t="shared" si="164"/>
        <v>30.12</v>
      </c>
      <c r="AF127">
        <f t="shared" si="164"/>
        <v>2745.86</v>
      </c>
      <c r="AG127">
        <f t="shared" si="165"/>
        <v>0</v>
      </c>
      <c r="AH127">
        <f t="shared" si="166"/>
        <v>276.8</v>
      </c>
      <c r="AI127">
        <f t="shared" si="166"/>
        <v>2.4</v>
      </c>
      <c r="AJ127">
        <f t="shared" si="167"/>
        <v>0</v>
      </c>
      <c r="AK127">
        <v>4000.04</v>
      </c>
      <c r="AL127">
        <v>1031.71</v>
      </c>
      <c r="AM127">
        <v>222.47</v>
      </c>
      <c r="AN127">
        <v>30.12</v>
      </c>
      <c r="AO127">
        <v>2745.86</v>
      </c>
      <c r="AP127">
        <v>0</v>
      </c>
      <c r="AQ127">
        <v>276.8</v>
      </c>
      <c r="AR127">
        <v>2.4</v>
      </c>
      <c r="AS127">
        <v>0</v>
      </c>
      <c r="AT127">
        <v>95</v>
      </c>
      <c r="AU127">
        <v>65</v>
      </c>
      <c r="AV127">
        <v>1</v>
      </c>
      <c r="AW127">
        <v>1</v>
      </c>
      <c r="AZ127">
        <v>6.11</v>
      </c>
      <c r="BA127">
        <v>6.11</v>
      </c>
      <c r="BB127">
        <v>6.11</v>
      </c>
      <c r="BC127">
        <v>6.11</v>
      </c>
      <c r="BD127" t="s">
        <v>6</v>
      </c>
      <c r="BE127" t="s">
        <v>6</v>
      </c>
      <c r="BF127" t="s">
        <v>6</v>
      </c>
      <c r="BG127" t="s">
        <v>6</v>
      </c>
      <c r="BH127">
        <v>0</v>
      </c>
      <c r="BI127">
        <v>2</v>
      </c>
      <c r="BJ127" t="s">
        <v>270</v>
      </c>
      <c r="BM127">
        <v>108001</v>
      </c>
      <c r="BN127">
        <v>0</v>
      </c>
      <c r="BO127" t="s">
        <v>6</v>
      </c>
      <c r="BP127">
        <v>0</v>
      </c>
      <c r="BQ127">
        <v>3</v>
      </c>
      <c r="BR127">
        <v>0</v>
      </c>
      <c r="BS127">
        <v>6.11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95</v>
      </c>
      <c r="CA127">
        <v>65</v>
      </c>
      <c r="CE127">
        <v>0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68"/>
        <v>977.61</v>
      </c>
      <c r="CQ127">
        <f t="shared" si="169"/>
        <v>6303.7481000000007</v>
      </c>
      <c r="CR127">
        <f t="shared" si="170"/>
        <v>1359.2917</v>
      </c>
      <c r="CS127">
        <f t="shared" si="171"/>
        <v>184.03320000000002</v>
      </c>
      <c r="CT127">
        <f t="shared" si="172"/>
        <v>16777.204600000001</v>
      </c>
      <c r="CU127">
        <f t="shared" si="173"/>
        <v>0</v>
      </c>
      <c r="CV127">
        <f t="shared" si="174"/>
        <v>276.8</v>
      </c>
      <c r="CW127">
        <f t="shared" si="175"/>
        <v>2.4</v>
      </c>
      <c r="CX127">
        <f t="shared" si="176"/>
        <v>0</v>
      </c>
      <c r="CY127">
        <f t="shared" si="177"/>
        <v>644.52750000000003</v>
      </c>
      <c r="CZ127">
        <f t="shared" si="178"/>
        <v>440.99250000000001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1013</v>
      </c>
      <c r="DV127" t="s">
        <v>227</v>
      </c>
      <c r="DW127" t="s">
        <v>227</v>
      </c>
      <c r="DX127">
        <v>1</v>
      </c>
      <c r="EE127">
        <v>16510370</v>
      </c>
      <c r="EF127">
        <v>3</v>
      </c>
      <c r="EG127" t="s">
        <v>271</v>
      </c>
      <c r="EH127">
        <v>0</v>
      </c>
      <c r="EI127" t="s">
        <v>6</v>
      </c>
      <c r="EJ127">
        <v>2</v>
      </c>
      <c r="EK127">
        <v>108001</v>
      </c>
      <c r="EL127" t="s">
        <v>272</v>
      </c>
      <c r="EM127" t="s">
        <v>273</v>
      </c>
      <c r="EO127" t="s">
        <v>6</v>
      </c>
      <c r="EQ127">
        <v>131072</v>
      </c>
      <c r="ER127">
        <v>4000.04</v>
      </c>
      <c r="ES127">
        <v>1031.71</v>
      </c>
      <c r="ET127">
        <v>222.47</v>
      </c>
      <c r="EU127">
        <v>30.12</v>
      </c>
      <c r="EV127">
        <v>2745.86</v>
      </c>
      <c r="EW127">
        <v>276.8</v>
      </c>
      <c r="EX127">
        <v>2.4</v>
      </c>
      <c r="EY127">
        <v>0</v>
      </c>
      <c r="FQ127">
        <v>0</v>
      </c>
      <c r="FR127">
        <f t="shared" si="148"/>
        <v>0</v>
      </c>
      <c r="FS127">
        <v>0</v>
      </c>
      <c r="FX127">
        <v>95</v>
      </c>
      <c r="FY127">
        <v>65</v>
      </c>
      <c r="GA127" t="s">
        <v>6</v>
      </c>
      <c r="GD127">
        <v>0</v>
      </c>
      <c r="GF127">
        <v>-932102563</v>
      </c>
      <c r="GG127">
        <v>1</v>
      </c>
      <c r="GH127">
        <v>1</v>
      </c>
      <c r="GI127">
        <v>4</v>
      </c>
      <c r="GJ127">
        <v>0</v>
      </c>
      <c r="GK127">
        <f>ROUND(R127*(S12)/100,2)</f>
        <v>0</v>
      </c>
      <c r="GL127">
        <f t="shared" si="149"/>
        <v>0</v>
      </c>
      <c r="GM127">
        <f t="shared" si="179"/>
        <v>2063.13</v>
      </c>
      <c r="GN127">
        <f t="shared" si="180"/>
        <v>0</v>
      </c>
      <c r="GO127">
        <f t="shared" si="181"/>
        <v>2063.13</v>
      </c>
      <c r="GP127">
        <f t="shared" si="182"/>
        <v>0</v>
      </c>
      <c r="GR127">
        <v>0</v>
      </c>
      <c r="GS127">
        <v>3</v>
      </c>
      <c r="GT127">
        <v>0</v>
      </c>
      <c r="GU127" t="s">
        <v>6</v>
      </c>
      <c r="GV127">
        <f t="shared" si="183"/>
        <v>0</v>
      </c>
      <c r="GW127">
        <v>1</v>
      </c>
      <c r="GX127">
        <f t="shared" si="184"/>
        <v>0</v>
      </c>
      <c r="HA127">
        <v>0</v>
      </c>
      <c r="HB127">
        <v>0</v>
      </c>
      <c r="HC127">
        <f t="shared" si="185"/>
        <v>0</v>
      </c>
      <c r="IK127">
        <v>0</v>
      </c>
    </row>
    <row r="128" spans="1:255" x14ac:dyDescent="0.2">
      <c r="A128" s="2">
        <v>18</v>
      </c>
      <c r="B128" s="2">
        <v>1</v>
      </c>
      <c r="C128" s="2">
        <v>360</v>
      </c>
      <c r="D128" s="2"/>
      <c r="E128" s="2" t="s">
        <v>274</v>
      </c>
      <c r="F128" s="2" t="s">
        <v>275</v>
      </c>
      <c r="G128" s="2" t="s">
        <v>276</v>
      </c>
      <c r="H128" s="2" t="s">
        <v>277</v>
      </c>
      <c r="I128" s="2">
        <f>I126*J128</f>
        <v>4</v>
      </c>
      <c r="J128" s="2">
        <v>100</v>
      </c>
      <c r="K128" s="2"/>
      <c r="L128" s="2"/>
      <c r="M128" s="2"/>
      <c r="N128" s="2"/>
      <c r="O128" s="2">
        <f t="shared" si="150"/>
        <v>621.76</v>
      </c>
      <c r="P128" s="2">
        <f t="shared" si="151"/>
        <v>621.76</v>
      </c>
      <c r="Q128" s="2">
        <f t="shared" si="152"/>
        <v>0</v>
      </c>
      <c r="R128" s="2">
        <f t="shared" si="153"/>
        <v>0</v>
      </c>
      <c r="S128" s="2">
        <f t="shared" si="154"/>
        <v>0</v>
      </c>
      <c r="T128" s="2">
        <f t="shared" si="155"/>
        <v>0</v>
      </c>
      <c r="U128" s="2">
        <f t="shared" si="156"/>
        <v>0</v>
      </c>
      <c r="V128" s="2">
        <f t="shared" si="157"/>
        <v>0</v>
      </c>
      <c r="W128" s="2">
        <f t="shared" si="158"/>
        <v>0</v>
      </c>
      <c r="X128" s="2">
        <f t="shared" si="159"/>
        <v>0</v>
      </c>
      <c r="Y128" s="2">
        <f t="shared" si="160"/>
        <v>0</v>
      </c>
      <c r="Z128" s="2"/>
      <c r="AA128" s="2">
        <v>16784195</v>
      </c>
      <c r="AB128" s="2">
        <f t="shared" si="161"/>
        <v>155.44</v>
      </c>
      <c r="AC128" s="2">
        <f t="shared" si="162"/>
        <v>155.44</v>
      </c>
      <c r="AD128" s="2">
        <f t="shared" si="163"/>
        <v>0</v>
      </c>
      <c r="AE128" s="2">
        <f t="shared" si="164"/>
        <v>0</v>
      </c>
      <c r="AF128" s="2">
        <f t="shared" si="164"/>
        <v>0</v>
      </c>
      <c r="AG128" s="2">
        <f t="shared" si="165"/>
        <v>0</v>
      </c>
      <c r="AH128" s="2">
        <f t="shared" si="166"/>
        <v>0</v>
      </c>
      <c r="AI128" s="2">
        <f t="shared" si="166"/>
        <v>0</v>
      </c>
      <c r="AJ128" s="2">
        <f t="shared" si="167"/>
        <v>0</v>
      </c>
      <c r="AK128" s="2">
        <v>155.44</v>
      </c>
      <c r="AL128" s="2">
        <v>155.44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95</v>
      </c>
      <c r="AU128" s="2">
        <v>65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6</v>
      </c>
      <c r="BE128" s="2" t="s">
        <v>6</v>
      </c>
      <c r="BF128" s="2" t="s">
        <v>6</v>
      </c>
      <c r="BG128" s="2" t="s">
        <v>6</v>
      </c>
      <c r="BH128" s="2">
        <v>3</v>
      </c>
      <c r="BI128" s="2">
        <v>2</v>
      </c>
      <c r="BJ128" s="2" t="s">
        <v>278</v>
      </c>
      <c r="BK128" s="2"/>
      <c r="BL128" s="2"/>
      <c r="BM128" s="2">
        <v>108001</v>
      </c>
      <c r="BN128" s="2">
        <v>0</v>
      </c>
      <c r="BO128" s="2" t="s">
        <v>6</v>
      </c>
      <c r="BP128" s="2">
        <v>0</v>
      </c>
      <c r="BQ128" s="2">
        <v>3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6</v>
      </c>
      <c r="BZ128" s="2">
        <v>95</v>
      </c>
      <c r="CA128" s="2">
        <v>65</v>
      </c>
      <c r="CB128" s="2"/>
      <c r="CC128" s="2"/>
      <c r="CD128" s="2"/>
      <c r="CE128" s="2">
        <v>0</v>
      </c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6</v>
      </c>
      <c r="CO128" s="2">
        <v>0</v>
      </c>
      <c r="CP128" s="2">
        <f t="shared" si="168"/>
        <v>621.76</v>
      </c>
      <c r="CQ128" s="2">
        <f t="shared" si="169"/>
        <v>155.44</v>
      </c>
      <c r="CR128" s="2">
        <f t="shared" si="170"/>
        <v>0</v>
      </c>
      <c r="CS128" s="2">
        <f t="shared" si="171"/>
        <v>0</v>
      </c>
      <c r="CT128" s="2">
        <f t="shared" si="172"/>
        <v>0</v>
      </c>
      <c r="CU128" s="2">
        <f t="shared" si="173"/>
        <v>0</v>
      </c>
      <c r="CV128" s="2">
        <f t="shared" si="174"/>
        <v>0</v>
      </c>
      <c r="CW128" s="2">
        <f t="shared" si="175"/>
        <v>0</v>
      </c>
      <c r="CX128" s="2">
        <f t="shared" si="176"/>
        <v>0</v>
      </c>
      <c r="CY128" s="2">
        <f t="shared" si="177"/>
        <v>0</v>
      </c>
      <c r="CZ128" s="2">
        <f t="shared" si="178"/>
        <v>0</v>
      </c>
      <c r="DA128" s="2"/>
      <c r="DB128" s="2"/>
      <c r="DC128" s="2" t="s">
        <v>6</v>
      </c>
      <c r="DD128" s="2" t="s">
        <v>6</v>
      </c>
      <c r="DE128" s="2" t="s">
        <v>6</v>
      </c>
      <c r="DF128" s="2" t="s">
        <v>6</v>
      </c>
      <c r="DG128" s="2" t="s">
        <v>6</v>
      </c>
      <c r="DH128" s="2" t="s">
        <v>6</v>
      </c>
      <c r="DI128" s="2" t="s">
        <v>6</v>
      </c>
      <c r="DJ128" s="2" t="s">
        <v>6</v>
      </c>
      <c r="DK128" s="2" t="s">
        <v>6</v>
      </c>
      <c r="DL128" s="2" t="s">
        <v>6</v>
      </c>
      <c r="DM128" s="2" t="s">
        <v>6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1010</v>
      </c>
      <c r="DV128" s="2" t="s">
        <v>277</v>
      </c>
      <c r="DW128" s="2" t="s">
        <v>277</v>
      </c>
      <c r="DX128" s="2">
        <v>1</v>
      </c>
      <c r="DY128" s="2"/>
      <c r="DZ128" s="2"/>
      <c r="EA128" s="2"/>
      <c r="EB128" s="2"/>
      <c r="EC128" s="2"/>
      <c r="ED128" s="2"/>
      <c r="EE128" s="2">
        <v>16510370</v>
      </c>
      <c r="EF128" s="2">
        <v>3</v>
      </c>
      <c r="EG128" s="2" t="s">
        <v>271</v>
      </c>
      <c r="EH128" s="2">
        <v>0</v>
      </c>
      <c r="EI128" s="2" t="s">
        <v>6</v>
      </c>
      <c r="EJ128" s="2">
        <v>2</v>
      </c>
      <c r="EK128" s="2">
        <v>108001</v>
      </c>
      <c r="EL128" s="2" t="s">
        <v>272</v>
      </c>
      <c r="EM128" s="2" t="s">
        <v>273</v>
      </c>
      <c r="EN128" s="2"/>
      <c r="EO128" s="2" t="s">
        <v>6</v>
      </c>
      <c r="EP128" s="2"/>
      <c r="EQ128" s="2">
        <v>0</v>
      </c>
      <c r="ER128" s="2">
        <v>155.44</v>
      </c>
      <c r="ES128" s="2">
        <v>155.44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si="148"/>
        <v>0</v>
      </c>
      <c r="FS128" s="2">
        <v>0</v>
      </c>
      <c r="FT128" s="2"/>
      <c r="FU128" s="2"/>
      <c r="FV128" s="2"/>
      <c r="FW128" s="2"/>
      <c r="FX128" s="2">
        <v>95</v>
      </c>
      <c r="FY128" s="2">
        <v>65</v>
      </c>
      <c r="FZ128" s="2"/>
      <c r="GA128" s="2" t="s">
        <v>6</v>
      </c>
      <c r="GB128" s="2"/>
      <c r="GC128" s="2"/>
      <c r="GD128" s="2">
        <v>0</v>
      </c>
      <c r="GE128" s="2"/>
      <c r="GF128" s="2">
        <v>248767468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si="149"/>
        <v>0</v>
      </c>
      <c r="GM128" s="2">
        <f t="shared" si="179"/>
        <v>621.76</v>
      </c>
      <c r="GN128" s="2">
        <f t="shared" si="180"/>
        <v>0</v>
      </c>
      <c r="GO128" s="2">
        <f t="shared" si="181"/>
        <v>621.76</v>
      </c>
      <c r="GP128" s="2">
        <f t="shared" si="182"/>
        <v>0</v>
      </c>
      <c r="GQ128" s="2"/>
      <c r="GR128" s="2">
        <v>0</v>
      </c>
      <c r="GS128" s="2">
        <v>3</v>
      </c>
      <c r="GT128" s="2">
        <v>0</v>
      </c>
      <c r="GU128" s="2" t="s">
        <v>6</v>
      </c>
      <c r="GV128" s="2">
        <f t="shared" si="183"/>
        <v>0</v>
      </c>
      <c r="GW128" s="2">
        <v>1</v>
      </c>
      <c r="GX128" s="2">
        <f t="shared" si="184"/>
        <v>0</v>
      </c>
      <c r="GY128" s="2"/>
      <c r="GZ128" s="2"/>
      <c r="HA128" s="2">
        <v>0</v>
      </c>
      <c r="HB128" s="2">
        <v>0</v>
      </c>
      <c r="HC128" s="2">
        <f t="shared" si="185"/>
        <v>0</v>
      </c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18</v>
      </c>
      <c r="B129">
        <v>1</v>
      </c>
      <c r="C129">
        <v>373</v>
      </c>
      <c r="E129" t="s">
        <v>274</v>
      </c>
      <c r="F129" t="s">
        <v>275</v>
      </c>
      <c r="G129" t="s">
        <v>276</v>
      </c>
      <c r="H129" t="s">
        <v>277</v>
      </c>
      <c r="I129">
        <f>I127*J129</f>
        <v>4</v>
      </c>
      <c r="J129">
        <v>100</v>
      </c>
      <c r="O129">
        <f t="shared" si="150"/>
        <v>3798.95</v>
      </c>
      <c r="P129">
        <f t="shared" si="151"/>
        <v>3798.95</v>
      </c>
      <c r="Q129">
        <f t="shared" si="152"/>
        <v>0</v>
      </c>
      <c r="R129">
        <f t="shared" si="153"/>
        <v>0</v>
      </c>
      <c r="S129">
        <f t="shared" si="154"/>
        <v>0</v>
      </c>
      <c r="T129">
        <f t="shared" si="155"/>
        <v>0</v>
      </c>
      <c r="U129">
        <f t="shared" si="156"/>
        <v>0</v>
      </c>
      <c r="V129">
        <f t="shared" si="157"/>
        <v>0</v>
      </c>
      <c r="W129">
        <f t="shared" si="158"/>
        <v>0</v>
      </c>
      <c r="X129">
        <f t="shared" si="159"/>
        <v>0</v>
      </c>
      <c r="Y129">
        <f t="shared" si="160"/>
        <v>0</v>
      </c>
      <c r="AA129">
        <v>16784196</v>
      </c>
      <c r="AB129">
        <f t="shared" si="161"/>
        <v>155.44</v>
      </c>
      <c r="AC129">
        <f t="shared" si="162"/>
        <v>155.44</v>
      </c>
      <c r="AD129">
        <f t="shared" si="163"/>
        <v>0</v>
      </c>
      <c r="AE129">
        <f t="shared" si="164"/>
        <v>0</v>
      </c>
      <c r="AF129">
        <f t="shared" si="164"/>
        <v>0</v>
      </c>
      <c r="AG129">
        <f t="shared" si="165"/>
        <v>0</v>
      </c>
      <c r="AH129">
        <f t="shared" si="166"/>
        <v>0</v>
      </c>
      <c r="AI129">
        <f t="shared" si="166"/>
        <v>0</v>
      </c>
      <c r="AJ129">
        <f t="shared" si="167"/>
        <v>0</v>
      </c>
      <c r="AK129">
        <v>155.44</v>
      </c>
      <c r="AL129">
        <v>155.44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95</v>
      </c>
      <c r="AU129">
        <v>65</v>
      </c>
      <c r="AV129">
        <v>1</v>
      </c>
      <c r="AW129">
        <v>1</v>
      </c>
      <c r="AZ129">
        <v>6.11</v>
      </c>
      <c r="BA129">
        <v>1</v>
      </c>
      <c r="BB129">
        <v>1</v>
      </c>
      <c r="BC129">
        <v>6.11</v>
      </c>
      <c r="BD129" t="s">
        <v>6</v>
      </c>
      <c r="BE129" t="s">
        <v>6</v>
      </c>
      <c r="BF129" t="s">
        <v>6</v>
      </c>
      <c r="BG129" t="s">
        <v>6</v>
      </c>
      <c r="BH129">
        <v>3</v>
      </c>
      <c r="BI129">
        <v>2</v>
      </c>
      <c r="BJ129" t="s">
        <v>278</v>
      </c>
      <c r="BM129">
        <v>108001</v>
      </c>
      <c r="BN129">
        <v>0</v>
      </c>
      <c r="BO129" t="s">
        <v>6</v>
      </c>
      <c r="BP129">
        <v>0</v>
      </c>
      <c r="BQ129">
        <v>3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95</v>
      </c>
      <c r="CA129">
        <v>65</v>
      </c>
      <c r="CE129">
        <v>0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68"/>
        <v>3798.95</v>
      </c>
      <c r="CQ129">
        <f t="shared" si="169"/>
        <v>949.73840000000007</v>
      </c>
      <c r="CR129">
        <f t="shared" si="170"/>
        <v>0</v>
      </c>
      <c r="CS129">
        <f t="shared" si="171"/>
        <v>0</v>
      </c>
      <c r="CT129">
        <f t="shared" si="172"/>
        <v>0</v>
      </c>
      <c r="CU129">
        <f t="shared" si="173"/>
        <v>0</v>
      </c>
      <c r="CV129">
        <f t="shared" si="174"/>
        <v>0</v>
      </c>
      <c r="CW129">
        <f t="shared" si="175"/>
        <v>0</v>
      </c>
      <c r="CX129">
        <f t="shared" si="176"/>
        <v>0</v>
      </c>
      <c r="CY129">
        <f t="shared" si="177"/>
        <v>0</v>
      </c>
      <c r="CZ129">
        <f t="shared" si="178"/>
        <v>0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1010</v>
      </c>
      <c r="DV129" t="s">
        <v>277</v>
      </c>
      <c r="DW129" t="s">
        <v>277</v>
      </c>
      <c r="DX129">
        <v>1</v>
      </c>
      <c r="EE129">
        <v>16510370</v>
      </c>
      <c r="EF129">
        <v>3</v>
      </c>
      <c r="EG129" t="s">
        <v>271</v>
      </c>
      <c r="EH129">
        <v>0</v>
      </c>
      <c r="EI129" t="s">
        <v>6</v>
      </c>
      <c r="EJ129">
        <v>2</v>
      </c>
      <c r="EK129">
        <v>108001</v>
      </c>
      <c r="EL129" t="s">
        <v>272</v>
      </c>
      <c r="EM129" t="s">
        <v>273</v>
      </c>
      <c r="EO129" t="s">
        <v>6</v>
      </c>
      <c r="EQ129">
        <v>0</v>
      </c>
      <c r="ER129">
        <v>155.44</v>
      </c>
      <c r="ES129">
        <v>155.44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48"/>
        <v>0</v>
      </c>
      <c r="FS129">
        <v>0</v>
      </c>
      <c r="FX129">
        <v>95</v>
      </c>
      <c r="FY129">
        <v>65</v>
      </c>
      <c r="GA129" t="s">
        <v>6</v>
      </c>
      <c r="GD129">
        <v>0</v>
      </c>
      <c r="GF129">
        <v>248767468</v>
      </c>
      <c r="GG129">
        <v>1</v>
      </c>
      <c r="GH129">
        <v>1</v>
      </c>
      <c r="GI129">
        <v>4</v>
      </c>
      <c r="GJ129">
        <v>0</v>
      </c>
      <c r="GK129">
        <f>ROUND(R129*(S12)/100,2)</f>
        <v>0</v>
      </c>
      <c r="GL129">
        <f t="shared" si="149"/>
        <v>0</v>
      </c>
      <c r="GM129">
        <f t="shared" si="179"/>
        <v>3798.95</v>
      </c>
      <c r="GN129">
        <f t="shared" si="180"/>
        <v>0</v>
      </c>
      <c r="GO129">
        <f t="shared" si="181"/>
        <v>3798.95</v>
      </c>
      <c r="GP129">
        <f t="shared" si="182"/>
        <v>0</v>
      </c>
      <c r="GR129">
        <v>0</v>
      </c>
      <c r="GS129">
        <v>3</v>
      </c>
      <c r="GT129">
        <v>0</v>
      </c>
      <c r="GU129" t="s">
        <v>6</v>
      </c>
      <c r="GV129">
        <f t="shared" si="183"/>
        <v>0</v>
      </c>
      <c r="GW129">
        <v>1</v>
      </c>
      <c r="GX129">
        <f t="shared" si="184"/>
        <v>0</v>
      </c>
      <c r="HA129">
        <v>0</v>
      </c>
      <c r="HB129">
        <v>0</v>
      </c>
      <c r="HC129">
        <f t="shared" si="185"/>
        <v>0</v>
      </c>
      <c r="IK129">
        <v>0</v>
      </c>
    </row>
    <row r="130" spans="1:255" x14ac:dyDescent="0.2">
      <c r="A130" s="2">
        <v>17</v>
      </c>
      <c r="B130" s="2">
        <v>1</v>
      </c>
      <c r="C130" s="2">
        <f>ROW(SmtRes!A377)</f>
        <v>377</v>
      </c>
      <c r="D130" s="2">
        <f>ROW(EtalonRes!A382)</f>
        <v>382</v>
      </c>
      <c r="E130" s="2" t="s">
        <v>279</v>
      </c>
      <c r="F130" s="2" t="s">
        <v>280</v>
      </c>
      <c r="G130" s="2" t="s">
        <v>281</v>
      </c>
      <c r="H130" s="2" t="s">
        <v>40</v>
      </c>
      <c r="I130" s="2">
        <f>ROUND(6/100,9)</f>
        <v>0.06</v>
      </c>
      <c r="J130" s="2">
        <v>0</v>
      </c>
      <c r="K130" s="2"/>
      <c r="L130" s="2"/>
      <c r="M130" s="2"/>
      <c r="N130" s="2"/>
      <c r="O130" s="2">
        <f t="shared" si="150"/>
        <v>43.9</v>
      </c>
      <c r="P130" s="2">
        <f t="shared" si="151"/>
        <v>0</v>
      </c>
      <c r="Q130" s="2">
        <f t="shared" si="152"/>
        <v>0.6</v>
      </c>
      <c r="R130" s="2">
        <f t="shared" si="153"/>
        <v>0.26</v>
      </c>
      <c r="S130" s="2">
        <f t="shared" si="154"/>
        <v>43.3</v>
      </c>
      <c r="T130" s="2">
        <f t="shared" si="155"/>
        <v>0</v>
      </c>
      <c r="U130" s="2">
        <f t="shared" si="156"/>
        <v>5.1179999999999994</v>
      </c>
      <c r="V130" s="2">
        <f t="shared" si="157"/>
        <v>1.9199999999999998E-2</v>
      </c>
      <c r="W130" s="2">
        <f t="shared" si="158"/>
        <v>0</v>
      </c>
      <c r="X130" s="2">
        <f t="shared" si="159"/>
        <v>32.229999999999997</v>
      </c>
      <c r="Y130" s="2">
        <f t="shared" si="160"/>
        <v>21.78</v>
      </c>
      <c r="Z130" s="2"/>
      <c r="AA130" s="2">
        <v>16784195</v>
      </c>
      <c r="AB130" s="2">
        <f t="shared" si="161"/>
        <v>731.64</v>
      </c>
      <c r="AC130" s="2">
        <f t="shared" si="162"/>
        <v>0</v>
      </c>
      <c r="AD130" s="2">
        <f t="shared" si="163"/>
        <v>10</v>
      </c>
      <c r="AE130" s="2">
        <f t="shared" si="164"/>
        <v>4.32</v>
      </c>
      <c r="AF130" s="2">
        <f t="shared" si="164"/>
        <v>721.64</v>
      </c>
      <c r="AG130" s="2">
        <f t="shared" si="165"/>
        <v>0</v>
      </c>
      <c r="AH130" s="2">
        <f t="shared" si="166"/>
        <v>85.3</v>
      </c>
      <c r="AI130" s="2">
        <f t="shared" si="166"/>
        <v>0.32</v>
      </c>
      <c r="AJ130" s="2">
        <f t="shared" si="167"/>
        <v>0</v>
      </c>
      <c r="AK130" s="2">
        <v>731.64</v>
      </c>
      <c r="AL130" s="2">
        <v>0</v>
      </c>
      <c r="AM130" s="2">
        <v>10</v>
      </c>
      <c r="AN130" s="2">
        <v>4.32</v>
      </c>
      <c r="AO130" s="2">
        <v>721.64</v>
      </c>
      <c r="AP130" s="2">
        <v>0</v>
      </c>
      <c r="AQ130" s="2">
        <v>85.3</v>
      </c>
      <c r="AR130" s="2">
        <v>0.32</v>
      </c>
      <c r="AS130" s="2">
        <v>0</v>
      </c>
      <c r="AT130" s="2">
        <v>74</v>
      </c>
      <c r="AU130" s="2">
        <v>50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6</v>
      </c>
      <c r="BE130" s="2" t="s">
        <v>6</v>
      </c>
      <c r="BF130" s="2" t="s">
        <v>6</v>
      </c>
      <c r="BG130" s="2" t="s">
        <v>6</v>
      </c>
      <c r="BH130" s="2">
        <v>0</v>
      </c>
      <c r="BI130" s="2">
        <v>1</v>
      </c>
      <c r="BJ130" s="2" t="s">
        <v>282</v>
      </c>
      <c r="BK130" s="2"/>
      <c r="BL130" s="2"/>
      <c r="BM130" s="2">
        <v>65001</v>
      </c>
      <c r="BN130" s="2">
        <v>0</v>
      </c>
      <c r="BO130" s="2" t="s">
        <v>6</v>
      </c>
      <c r="BP130" s="2">
        <v>0</v>
      </c>
      <c r="BQ130" s="2">
        <v>6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6</v>
      </c>
      <c r="BZ130" s="2">
        <v>74</v>
      </c>
      <c r="CA130" s="2">
        <v>50</v>
      </c>
      <c r="CB130" s="2"/>
      <c r="CC130" s="2"/>
      <c r="CD130" s="2"/>
      <c r="CE130" s="2">
        <v>0</v>
      </c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6</v>
      </c>
      <c r="CO130" s="2">
        <v>0</v>
      </c>
      <c r="CP130" s="2">
        <f t="shared" si="168"/>
        <v>43.9</v>
      </c>
      <c r="CQ130" s="2">
        <f t="shared" si="169"/>
        <v>0</v>
      </c>
      <c r="CR130" s="2">
        <f t="shared" si="170"/>
        <v>10</v>
      </c>
      <c r="CS130" s="2">
        <f t="shared" si="171"/>
        <v>4.32</v>
      </c>
      <c r="CT130" s="2">
        <f t="shared" si="172"/>
        <v>721.64</v>
      </c>
      <c r="CU130" s="2">
        <f t="shared" si="173"/>
        <v>0</v>
      </c>
      <c r="CV130" s="2">
        <f t="shared" si="174"/>
        <v>85.3</v>
      </c>
      <c r="CW130" s="2">
        <f t="shared" si="175"/>
        <v>0.32</v>
      </c>
      <c r="CX130" s="2">
        <f t="shared" si="176"/>
        <v>0</v>
      </c>
      <c r="CY130" s="2">
        <f t="shared" si="177"/>
        <v>32.234399999999994</v>
      </c>
      <c r="CZ130" s="2">
        <f t="shared" si="178"/>
        <v>21.779999999999994</v>
      </c>
      <c r="DA130" s="2"/>
      <c r="DB130" s="2"/>
      <c r="DC130" s="2" t="s">
        <v>6</v>
      </c>
      <c r="DD130" s="2" t="s">
        <v>6</v>
      </c>
      <c r="DE130" s="2" t="s">
        <v>6</v>
      </c>
      <c r="DF130" s="2" t="s">
        <v>6</v>
      </c>
      <c r="DG130" s="2" t="s">
        <v>6</v>
      </c>
      <c r="DH130" s="2" t="s">
        <v>6</v>
      </c>
      <c r="DI130" s="2" t="s">
        <v>6</v>
      </c>
      <c r="DJ130" s="2" t="s">
        <v>6</v>
      </c>
      <c r="DK130" s="2" t="s">
        <v>6</v>
      </c>
      <c r="DL130" s="2" t="s">
        <v>6</v>
      </c>
      <c r="DM130" s="2" t="s">
        <v>6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1003</v>
      </c>
      <c r="DV130" s="2" t="s">
        <v>40</v>
      </c>
      <c r="DW130" s="2" t="s">
        <v>40</v>
      </c>
      <c r="DX130" s="2">
        <v>100</v>
      </c>
      <c r="DY130" s="2"/>
      <c r="DZ130" s="2"/>
      <c r="EA130" s="2"/>
      <c r="EB130" s="2"/>
      <c r="EC130" s="2"/>
      <c r="ED130" s="2"/>
      <c r="EE130" s="2">
        <v>16510574</v>
      </c>
      <c r="EF130" s="2">
        <v>6</v>
      </c>
      <c r="EG130" s="2" t="s">
        <v>90</v>
      </c>
      <c r="EH130" s="2">
        <v>0</v>
      </c>
      <c r="EI130" s="2" t="s">
        <v>6</v>
      </c>
      <c r="EJ130" s="2">
        <v>1</v>
      </c>
      <c r="EK130" s="2">
        <v>65001</v>
      </c>
      <c r="EL130" s="2" t="s">
        <v>283</v>
      </c>
      <c r="EM130" s="2" t="s">
        <v>284</v>
      </c>
      <c r="EN130" s="2"/>
      <c r="EO130" s="2" t="s">
        <v>6</v>
      </c>
      <c r="EP130" s="2"/>
      <c r="EQ130" s="2">
        <v>131072</v>
      </c>
      <c r="ER130" s="2">
        <v>731.64</v>
      </c>
      <c r="ES130" s="2">
        <v>0</v>
      </c>
      <c r="ET130" s="2">
        <v>10</v>
      </c>
      <c r="EU130" s="2">
        <v>4.32</v>
      </c>
      <c r="EV130" s="2">
        <v>721.64</v>
      </c>
      <c r="EW130" s="2">
        <v>85.3</v>
      </c>
      <c r="EX130" s="2">
        <v>0.32</v>
      </c>
      <c r="EY130" s="2">
        <v>0</v>
      </c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48"/>
        <v>0</v>
      </c>
      <c r="FS130" s="2">
        <v>0</v>
      </c>
      <c r="FT130" s="2"/>
      <c r="FU130" s="2"/>
      <c r="FV130" s="2"/>
      <c r="FW130" s="2"/>
      <c r="FX130" s="2">
        <v>74</v>
      </c>
      <c r="FY130" s="2">
        <v>50</v>
      </c>
      <c r="FZ130" s="2"/>
      <c r="GA130" s="2" t="s">
        <v>6</v>
      </c>
      <c r="GB130" s="2"/>
      <c r="GC130" s="2"/>
      <c r="GD130" s="2">
        <v>0</v>
      </c>
      <c r="GE130" s="2"/>
      <c r="GF130" s="2">
        <v>-607669651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49"/>
        <v>0</v>
      </c>
      <c r="GM130" s="2">
        <f t="shared" si="179"/>
        <v>97.91</v>
      </c>
      <c r="GN130" s="2">
        <f t="shared" si="180"/>
        <v>97.91</v>
      </c>
      <c r="GO130" s="2">
        <f t="shared" si="181"/>
        <v>0</v>
      </c>
      <c r="GP130" s="2">
        <f t="shared" si="182"/>
        <v>0</v>
      </c>
      <c r="GQ130" s="2"/>
      <c r="GR130" s="2">
        <v>0</v>
      </c>
      <c r="GS130" s="2">
        <v>3</v>
      </c>
      <c r="GT130" s="2">
        <v>0</v>
      </c>
      <c r="GU130" s="2" t="s">
        <v>6</v>
      </c>
      <c r="GV130" s="2">
        <f t="shared" si="183"/>
        <v>0</v>
      </c>
      <c r="GW130" s="2">
        <v>1</v>
      </c>
      <c r="GX130" s="2">
        <f t="shared" si="184"/>
        <v>0</v>
      </c>
      <c r="GY130" s="2"/>
      <c r="GZ130" s="2"/>
      <c r="HA130" s="2">
        <v>0</v>
      </c>
      <c r="HB130" s="2">
        <v>0</v>
      </c>
      <c r="HC130" s="2">
        <f t="shared" si="185"/>
        <v>0</v>
      </c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17</v>
      </c>
      <c r="B131">
        <v>1</v>
      </c>
      <c r="C131">
        <f>ROW(SmtRes!A380)</f>
        <v>380</v>
      </c>
      <c r="D131">
        <f>ROW(EtalonRes!A386)</f>
        <v>386</v>
      </c>
      <c r="E131" t="s">
        <v>279</v>
      </c>
      <c r="F131" t="s">
        <v>280</v>
      </c>
      <c r="G131" t="s">
        <v>281</v>
      </c>
      <c r="H131" t="s">
        <v>40</v>
      </c>
      <c r="I131">
        <f>ROUND(6/100,9)</f>
        <v>0.06</v>
      </c>
      <c r="J131">
        <v>0</v>
      </c>
      <c r="O131">
        <f t="shared" si="150"/>
        <v>268.22000000000003</v>
      </c>
      <c r="P131">
        <f t="shared" si="151"/>
        <v>0</v>
      </c>
      <c r="Q131">
        <f t="shared" si="152"/>
        <v>3.67</v>
      </c>
      <c r="R131">
        <f t="shared" si="153"/>
        <v>1.58</v>
      </c>
      <c r="S131">
        <f t="shared" si="154"/>
        <v>264.55</v>
      </c>
      <c r="T131">
        <f t="shared" si="155"/>
        <v>0</v>
      </c>
      <c r="U131">
        <f t="shared" si="156"/>
        <v>5.1179999999999994</v>
      </c>
      <c r="V131">
        <f t="shared" si="157"/>
        <v>1.9199999999999998E-2</v>
      </c>
      <c r="W131">
        <f t="shared" si="158"/>
        <v>0</v>
      </c>
      <c r="X131">
        <f t="shared" si="159"/>
        <v>196.94</v>
      </c>
      <c r="Y131">
        <f t="shared" si="160"/>
        <v>133.07</v>
      </c>
      <c r="AA131">
        <v>16784196</v>
      </c>
      <c r="AB131">
        <f t="shared" si="161"/>
        <v>731.64</v>
      </c>
      <c r="AC131">
        <f t="shared" si="162"/>
        <v>0</v>
      </c>
      <c r="AD131">
        <f t="shared" si="163"/>
        <v>10</v>
      </c>
      <c r="AE131">
        <f t="shared" si="164"/>
        <v>4.32</v>
      </c>
      <c r="AF131">
        <f t="shared" si="164"/>
        <v>721.64</v>
      </c>
      <c r="AG131">
        <f t="shared" si="165"/>
        <v>0</v>
      </c>
      <c r="AH131">
        <f t="shared" si="166"/>
        <v>85.3</v>
      </c>
      <c r="AI131">
        <f t="shared" si="166"/>
        <v>0.32</v>
      </c>
      <c r="AJ131">
        <f t="shared" si="167"/>
        <v>0</v>
      </c>
      <c r="AK131">
        <v>731.64</v>
      </c>
      <c r="AL131">
        <v>0</v>
      </c>
      <c r="AM131">
        <v>10</v>
      </c>
      <c r="AN131">
        <v>4.32</v>
      </c>
      <c r="AO131">
        <v>721.64</v>
      </c>
      <c r="AP131">
        <v>0</v>
      </c>
      <c r="AQ131">
        <v>85.3</v>
      </c>
      <c r="AR131">
        <v>0.32</v>
      </c>
      <c r="AS131">
        <v>0</v>
      </c>
      <c r="AT131">
        <v>74</v>
      </c>
      <c r="AU131">
        <v>50</v>
      </c>
      <c r="AV131">
        <v>1</v>
      </c>
      <c r="AW131">
        <v>1</v>
      </c>
      <c r="AZ131">
        <v>6.11</v>
      </c>
      <c r="BA131">
        <v>6.11</v>
      </c>
      <c r="BB131">
        <v>6.11</v>
      </c>
      <c r="BC131">
        <v>6.11</v>
      </c>
      <c r="BD131" t="s">
        <v>6</v>
      </c>
      <c r="BE131" t="s">
        <v>6</v>
      </c>
      <c r="BF131" t="s">
        <v>6</v>
      </c>
      <c r="BG131" t="s">
        <v>6</v>
      </c>
      <c r="BH131">
        <v>0</v>
      </c>
      <c r="BI131">
        <v>1</v>
      </c>
      <c r="BJ131" t="s">
        <v>282</v>
      </c>
      <c r="BM131">
        <v>65001</v>
      </c>
      <c r="BN131">
        <v>0</v>
      </c>
      <c r="BO131" t="s">
        <v>6</v>
      </c>
      <c r="BP131">
        <v>0</v>
      </c>
      <c r="BQ131">
        <v>6</v>
      </c>
      <c r="BR131">
        <v>0</v>
      </c>
      <c r="BS131">
        <v>6.11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74</v>
      </c>
      <c r="CA131">
        <v>50</v>
      </c>
      <c r="CE131">
        <v>0</v>
      </c>
      <c r="CF131">
        <v>0</v>
      </c>
      <c r="CG131">
        <v>0</v>
      </c>
      <c r="CM131">
        <v>0</v>
      </c>
      <c r="CN131" t="s">
        <v>6</v>
      </c>
      <c r="CO131">
        <v>0</v>
      </c>
      <c r="CP131">
        <f t="shared" si="168"/>
        <v>268.22000000000003</v>
      </c>
      <c r="CQ131">
        <f t="shared" si="169"/>
        <v>0</v>
      </c>
      <c r="CR131">
        <f t="shared" si="170"/>
        <v>61.1</v>
      </c>
      <c r="CS131">
        <f t="shared" si="171"/>
        <v>26.395200000000003</v>
      </c>
      <c r="CT131">
        <f t="shared" si="172"/>
        <v>4409.2204000000002</v>
      </c>
      <c r="CU131">
        <f t="shared" si="173"/>
        <v>0</v>
      </c>
      <c r="CV131">
        <f t="shared" si="174"/>
        <v>85.3</v>
      </c>
      <c r="CW131">
        <f t="shared" si="175"/>
        <v>0.32</v>
      </c>
      <c r="CX131">
        <f t="shared" si="176"/>
        <v>0</v>
      </c>
      <c r="CY131">
        <f t="shared" si="177"/>
        <v>196.93619999999999</v>
      </c>
      <c r="CZ131">
        <f t="shared" si="178"/>
        <v>133.065</v>
      </c>
      <c r="DC131" t="s">
        <v>6</v>
      </c>
      <c r="DD131" t="s">
        <v>6</v>
      </c>
      <c r="DE131" t="s">
        <v>6</v>
      </c>
      <c r="DF131" t="s">
        <v>6</v>
      </c>
      <c r="DG131" t="s">
        <v>6</v>
      </c>
      <c r="DH131" t="s">
        <v>6</v>
      </c>
      <c r="DI131" t="s">
        <v>6</v>
      </c>
      <c r="DJ131" t="s">
        <v>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1003</v>
      </c>
      <c r="DV131" t="s">
        <v>40</v>
      </c>
      <c r="DW131" t="s">
        <v>40</v>
      </c>
      <c r="DX131">
        <v>100</v>
      </c>
      <c r="EE131">
        <v>16510574</v>
      </c>
      <c r="EF131">
        <v>6</v>
      </c>
      <c r="EG131" t="s">
        <v>90</v>
      </c>
      <c r="EH131">
        <v>0</v>
      </c>
      <c r="EI131" t="s">
        <v>6</v>
      </c>
      <c r="EJ131">
        <v>1</v>
      </c>
      <c r="EK131">
        <v>65001</v>
      </c>
      <c r="EL131" t="s">
        <v>283</v>
      </c>
      <c r="EM131" t="s">
        <v>284</v>
      </c>
      <c r="EO131" t="s">
        <v>6</v>
      </c>
      <c r="EQ131">
        <v>131072</v>
      </c>
      <c r="ER131">
        <v>731.64</v>
      </c>
      <c r="ES131">
        <v>0</v>
      </c>
      <c r="ET131">
        <v>10</v>
      </c>
      <c r="EU131">
        <v>4.32</v>
      </c>
      <c r="EV131">
        <v>721.64</v>
      </c>
      <c r="EW131">
        <v>85.3</v>
      </c>
      <c r="EX131">
        <v>0.32</v>
      </c>
      <c r="EY131">
        <v>0</v>
      </c>
      <c r="FQ131">
        <v>0</v>
      </c>
      <c r="FR131">
        <f t="shared" si="148"/>
        <v>0</v>
      </c>
      <c r="FS131">
        <v>0</v>
      </c>
      <c r="FX131">
        <v>74</v>
      </c>
      <c r="FY131">
        <v>50</v>
      </c>
      <c r="GA131" t="s">
        <v>6</v>
      </c>
      <c r="GD131">
        <v>0</v>
      </c>
      <c r="GF131">
        <v>-607669651</v>
      </c>
      <c r="GG131">
        <v>1</v>
      </c>
      <c r="GH131">
        <v>1</v>
      </c>
      <c r="GI131">
        <v>4</v>
      </c>
      <c r="GJ131">
        <v>0</v>
      </c>
      <c r="GK131">
        <f>ROUND(R131*(S12)/100,2)</f>
        <v>0</v>
      </c>
      <c r="GL131">
        <f t="shared" si="149"/>
        <v>0</v>
      </c>
      <c r="GM131">
        <f t="shared" si="179"/>
        <v>598.23</v>
      </c>
      <c r="GN131">
        <f t="shared" si="180"/>
        <v>598.23</v>
      </c>
      <c r="GO131">
        <f t="shared" si="181"/>
        <v>0</v>
      </c>
      <c r="GP131">
        <f t="shared" si="182"/>
        <v>0</v>
      </c>
      <c r="GR131">
        <v>0</v>
      </c>
      <c r="GS131">
        <v>3</v>
      </c>
      <c r="GT131">
        <v>0</v>
      </c>
      <c r="GU131" t="s">
        <v>6</v>
      </c>
      <c r="GV131">
        <f t="shared" si="183"/>
        <v>0</v>
      </c>
      <c r="GW131">
        <v>1</v>
      </c>
      <c r="GX131">
        <f t="shared" si="184"/>
        <v>0</v>
      </c>
      <c r="HA131">
        <v>0</v>
      </c>
      <c r="HB131">
        <v>0</v>
      </c>
      <c r="HC131">
        <f t="shared" si="185"/>
        <v>0</v>
      </c>
      <c r="IK131">
        <v>0</v>
      </c>
    </row>
    <row r="132" spans="1:255" x14ac:dyDescent="0.2">
      <c r="A132" s="2">
        <v>17</v>
      </c>
      <c r="B132" s="2">
        <v>1</v>
      </c>
      <c r="C132" s="2">
        <f>ROW(SmtRes!A389)</f>
        <v>389</v>
      </c>
      <c r="D132" s="2">
        <f>ROW(EtalonRes!A397)</f>
        <v>397</v>
      </c>
      <c r="E132" s="2" t="s">
        <v>285</v>
      </c>
      <c r="F132" s="2" t="s">
        <v>286</v>
      </c>
      <c r="G132" s="2" t="s">
        <v>287</v>
      </c>
      <c r="H132" s="2" t="s">
        <v>40</v>
      </c>
      <c r="I132" s="2">
        <f>ROUND(12/100,9)</f>
        <v>0.12</v>
      </c>
      <c r="J132" s="2">
        <v>0</v>
      </c>
      <c r="K132" s="2"/>
      <c r="L132" s="2"/>
      <c r="M132" s="2"/>
      <c r="N132" s="2"/>
      <c r="O132" s="2">
        <f t="shared" si="150"/>
        <v>102.16</v>
      </c>
      <c r="P132" s="2">
        <f t="shared" si="151"/>
        <v>16.91</v>
      </c>
      <c r="Q132" s="2">
        <f t="shared" si="152"/>
        <v>0.92</v>
      </c>
      <c r="R132" s="2">
        <f t="shared" si="153"/>
        <v>0.14000000000000001</v>
      </c>
      <c r="S132" s="2">
        <f t="shared" si="154"/>
        <v>84.33</v>
      </c>
      <c r="T132" s="2">
        <f t="shared" si="155"/>
        <v>0</v>
      </c>
      <c r="U132" s="2">
        <f t="shared" si="156"/>
        <v>8.5007999999999981</v>
      </c>
      <c r="V132" s="2">
        <f t="shared" si="157"/>
        <v>1.0500000000000001E-2</v>
      </c>
      <c r="W132" s="2">
        <f t="shared" si="158"/>
        <v>0</v>
      </c>
      <c r="X132" s="2">
        <f t="shared" si="159"/>
        <v>97.14</v>
      </c>
      <c r="Y132" s="2">
        <f t="shared" si="160"/>
        <v>59.97</v>
      </c>
      <c r="Z132" s="2"/>
      <c r="AA132" s="2">
        <v>16784195</v>
      </c>
      <c r="AB132" s="2">
        <f t="shared" si="161"/>
        <v>851.33</v>
      </c>
      <c r="AC132" s="2">
        <f t="shared" si="162"/>
        <v>140.91999999999999</v>
      </c>
      <c r="AD132" s="2">
        <f>ROUND(((((ET132*1.25))-((EU132*1.25)))+AE132),2)</f>
        <v>7.68</v>
      </c>
      <c r="AE132" s="2">
        <f>ROUND(((EU132*1.25)),2)</f>
        <v>1.1399999999999999</v>
      </c>
      <c r="AF132" s="2">
        <f>ROUND(((EV132*1.15)),2)</f>
        <v>702.73</v>
      </c>
      <c r="AG132" s="2">
        <f t="shared" si="165"/>
        <v>0</v>
      </c>
      <c r="AH132" s="2">
        <f>((EW132*1.15))</f>
        <v>70.839999999999989</v>
      </c>
      <c r="AI132" s="2">
        <f>((EX132*1.25))</f>
        <v>8.7500000000000008E-2</v>
      </c>
      <c r="AJ132" s="2">
        <f t="shared" si="167"/>
        <v>0</v>
      </c>
      <c r="AK132" s="2">
        <v>758.13</v>
      </c>
      <c r="AL132" s="2">
        <v>140.91999999999999</v>
      </c>
      <c r="AM132" s="2">
        <v>6.14</v>
      </c>
      <c r="AN132" s="2">
        <v>0.91</v>
      </c>
      <c r="AO132" s="2">
        <v>611.07000000000005</v>
      </c>
      <c r="AP132" s="2">
        <v>0</v>
      </c>
      <c r="AQ132" s="2">
        <v>61.6</v>
      </c>
      <c r="AR132" s="2">
        <v>7.0000000000000007E-2</v>
      </c>
      <c r="AS132" s="2">
        <v>0</v>
      </c>
      <c r="AT132" s="2">
        <v>115</v>
      </c>
      <c r="AU132" s="2">
        <v>71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6</v>
      </c>
      <c r="BE132" s="2" t="s">
        <v>6</v>
      </c>
      <c r="BF132" s="2" t="s">
        <v>6</v>
      </c>
      <c r="BG132" s="2" t="s">
        <v>6</v>
      </c>
      <c r="BH132" s="2">
        <v>0</v>
      </c>
      <c r="BI132" s="2">
        <v>1</v>
      </c>
      <c r="BJ132" s="2" t="s">
        <v>288</v>
      </c>
      <c r="BK132" s="2"/>
      <c r="BL132" s="2"/>
      <c r="BM132" s="2">
        <v>16001</v>
      </c>
      <c r="BN132" s="2">
        <v>0</v>
      </c>
      <c r="BO132" s="2" t="s">
        <v>6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6</v>
      </c>
      <c r="BZ132" s="2">
        <v>128</v>
      </c>
      <c r="CA132" s="2">
        <v>83</v>
      </c>
      <c r="CB132" s="2"/>
      <c r="CC132" s="2"/>
      <c r="CD132" s="2"/>
      <c r="CE132" s="2">
        <v>0</v>
      </c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824</v>
      </c>
      <c r="CO132" s="2">
        <v>0</v>
      </c>
      <c r="CP132" s="2">
        <f t="shared" si="168"/>
        <v>102.16</v>
      </c>
      <c r="CQ132" s="2">
        <f t="shared" si="169"/>
        <v>140.91999999999999</v>
      </c>
      <c r="CR132" s="2">
        <f t="shared" si="170"/>
        <v>7.68</v>
      </c>
      <c r="CS132" s="2">
        <f t="shared" si="171"/>
        <v>1.1399999999999999</v>
      </c>
      <c r="CT132" s="2">
        <f t="shared" si="172"/>
        <v>702.73</v>
      </c>
      <c r="CU132" s="2">
        <f t="shared" si="173"/>
        <v>0</v>
      </c>
      <c r="CV132" s="2">
        <f t="shared" si="174"/>
        <v>70.839999999999989</v>
      </c>
      <c r="CW132" s="2">
        <f t="shared" si="175"/>
        <v>8.7500000000000008E-2</v>
      </c>
      <c r="CX132" s="2">
        <f t="shared" si="176"/>
        <v>0</v>
      </c>
      <c r="CY132" s="2">
        <f t="shared" si="177"/>
        <v>97.140499999999989</v>
      </c>
      <c r="CZ132" s="2">
        <f t="shared" si="178"/>
        <v>59.973700000000001</v>
      </c>
      <c r="DA132" s="2"/>
      <c r="DB132" s="2"/>
      <c r="DC132" s="2" t="s">
        <v>6</v>
      </c>
      <c r="DD132" s="2" t="s">
        <v>6</v>
      </c>
      <c r="DE132" s="2" t="s">
        <v>27</v>
      </c>
      <c r="DF132" s="2" t="s">
        <v>27</v>
      </c>
      <c r="DG132" s="2" t="s">
        <v>28</v>
      </c>
      <c r="DH132" s="2" t="s">
        <v>6</v>
      </c>
      <c r="DI132" s="2" t="s">
        <v>28</v>
      </c>
      <c r="DJ132" s="2" t="s">
        <v>27</v>
      </c>
      <c r="DK132" s="2" t="s">
        <v>6</v>
      </c>
      <c r="DL132" s="2" t="s">
        <v>6</v>
      </c>
      <c r="DM132" s="2" t="s">
        <v>6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1003</v>
      </c>
      <c r="DV132" s="2" t="s">
        <v>40</v>
      </c>
      <c r="DW132" s="2" t="s">
        <v>40</v>
      </c>
      <c r="DX132" s="2">
        <v>100</v>
      </c>
      <c r="DY132" s="2"/>
      <c r="DZ132" s="2"/>
      <c r="EA132" s="2"/>
      <c r="EB132" s="2"/>
      <c r="EC132" s="2"/>
      <c r="ED132" s="2"/>
      <c r="EE132" s="2">
        <v>16510514</v>
      </c>
      <c r="EF132" s="2">
        <v>2</v>
      </c>
      <c r="EG132" s="2" t="s">
        <v>18</v>
      </c>
      <c r="EH132" s="2">
        <v>0</v>
      </c>
      <c r="EI132" s="2" t="s">
        <v>6</v>
      </c>
      <c r="EJ132" s="2">
        <v>1</v>
      </c>
      <c r="EK132" s="2">
        <v>16001</v>
      </c>
      <c r="EL132" s="2" t="s">
        <v>289</v>
      </c>
      <c r="EM132" s="2" t="s">
        <v>290</v>
      </c>
      <c r="EN132" s="2"/>
      <c r="EO132" s="2" t="s">
        <v>31</v>
      </c>
      <c r="EP132" s="2"/>
      <c r="EQ132" s="2">
        <v>131072</v>
      </c>
      <c r="ER132" s="2">
        <v>758.13</v>
      </c>
      <c r="ES132" s="2">
        <v>140.91999999999999</v>
      </c>
      <c r="ET132" s="2">
        <v>6.14</v>
      </c>
      <c r="EU132" s="2">
        <v>0.91</v>
      </c>
      <c r="EV132" s="2">
        <v>611.07000000000005</v>
      </c>
      <c r="EW132" s="2">
        <v>61.6</v>
      </c>
      <c r="EX132" s="2">
        <v>7.0000000000000007E-2</v>
      </c>
      <c r="EY132" s="2">
        <v>0</v>
      </c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48"/>
        <v>0</v>
      </c>
      <c r="FS132" s="2">
        <v>0</v>
      </c>
      <c r="FT132" s="2" t="s">
        <v>21</v>
      </c>
      <c r="FU132" s="2" t="s">
        <v>22</v>
      </c>
      <c r="FV132" s="2"/>
      <c r="FW132" s="2"/>
      <c r="FX132" s="2">
        <v>115.2</v>
      </c>
      <c r="FY132" s="2">
        <v>70.55</v>
      </c>
      <c r="FZ132" s="2"/>
      <c r="GA132" s="2" t="s">
        <v>6</v>
      </c>
      <c r="GB132" s="2"/>
      <c r="GC132" s="2"/>
      <c r="GD132" s="2">
        <v>0</v>
      </c>
      <c r="GE132" s="2"/>
      <c r="GF132" s="2">
        <v>1989847972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49"/>
        <v>0</v>
      </c>
      <c r="GM132" s="2">
        <f t="shared" si="179"/>
        <v>259.27</v>
      </c>
      <c r="GN132" s="2">
        <f t="shared" si="180"/>
        <v>259.27</v>
      </c>
      <c r="GO132" s="2">
        <f t="shared" si="181"/>
        <v>0</v>
      </c>
      <c r="GP132" s="2">
        <f t="shared" si="182"/>
        <v>0</v>
      </c>
      <c r="GQ132" s="2"/>
      <c r="GR132" s="2">
        <v>0</v>
      </c>
      <c r="GS132" s="2">
        <v>3</v>
      </c>
      <c r="GT132" s="2">
        <v>0</v>
      </c>
      <c r="GU132" s="2" t="s">
        <v>6</v>
      </c>
      <c r="GV132" s="2">
        <f t="shared" si="183"/>
        <v>0</v>
      </c>
      <c r="GW132" s="2">
        <v>1</v>
      </c>
      <c r="GX132" s="2">
        <f t="shared" si="184"/>
        <v>0</v>
      </c>
      <c r="GY132" s="2"/>
      <c r="GZ132" s="2"/>
      <c r="HA132" s="2">
        <v>0</v>
      </c>
      <c r="HB132" s="2">
        <v>0</v>
      </c>
      <c r="HC132" s="2">
        <f t="shared" si="185"/>
        <v>0</v>
      </c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17</v>
      </c>
      <c r="B133">
        <v>1</v>
      </c>
      <c r="C133">
        <f>ROW(SmtRes!A398)</f>
        <v>398</v>
      </c>
      <c r="D133">
        <f>ROW(EtalonRes!A408)</f>
        <v>408</v>
      </c>
      <c r="E133" t="s">
        <v>285</v>
      </c>
      <c r="F133" t="s">
        <v>286</v>
      </c>
      <c r="G133" t="s">
        <v>287</v>
      </c>
      <c r="H133" t="s">
        <v>40</v>
      </c>
      <c r="I133">
        <f>ROUND(12/100,9)</f>
        <v>0.12</v>
      </c>
      <c r="J133">
        <v>0</v>
      </c>
      <c r="O133">
        <f t="shared" si="150"/>
        <v>624.19000000000005</v>
      </c>
      <c r="P133">
        <f t="shared" si="151"/>
        <v>103.32</v>
      </c>
      <c r="Q133">
        <f t="shared" si="152"/>
        <v>5.63</v>
      </c>
      <c r="R133">
        <f t="shared" si="153"/>
        <v>0.84</v>
      </c>
      <c r="S133">
        <f t="shared" si="154"/>
        <v>515.24</v>
      </c>
      <c r="T133">
        <f t="shared" si="155"/>
        <v>0</v>
      </c>
      <c r="U133">
        <f t="shared" si="156"/>
        <v>8.5007999999999981</v>
      </c>
      <c r="V133">
        <f t="shared" si="157"/>
        <v>1.0500000000000001E-2</v>
      </c>
      <c r="W133">
        <f t="shared" si="158"/>
        <v>0</v>
      </c>
      <c r="X133">
        <f t="shared" si="159"/>
        <v>593.49</v>
      </c>
      <c r="Y133">
        <f t="shared" si="160"/>
        <v>366.42</v>
      </c>
      <c r="AA133">
        <v>16784196</v>
      </c>
      <c r="AB133">
        <f t="shared" si="161"/>
        <v>851.33</v>
      </c>
      <c r="AC133">
        <f t="shared" si="162"/>
        <v>140.91999999999999</v>
      </c>
      <c r="AD133">
        <f>ROUND(((((ET133*1.25))-((EU133*1.25)))+AE133),2)</f>
        <v>7.68</v>
      </c>
      <c r="AE133">
        <f>ROUND(((EU133*1.25)),2)</f>
        <v>1.1399999999999999</v>
      </c>
      <c r="AF133">
        <f>ROUND(((EV133*1.15)),2)</f>
        <v>702.73</v>
      </c>
      <c r="AG133">
        <f t="shared" si="165"/>
        <v>0</v>
      </c>
      <c r="AH133">
        <f>((EW133*1.15))</f>
        <v>70.839999999999989</v>
      </c>
      <c r="AI133">
        <f>((EX133*1.25))</f>
        <v>8.7500000000000008E-2</v>
      </c>
      <c r="AJ133">
        <f t="shared" si="167"/>
        <v>0</v>
      </c>
      <c r="AK133">
        <v>758.13</v>
      </c>
      <c r="AL133">
        <v>140.91999999999999</v>
      </c>
      <c r="AM133">
        <v>6.14</v>
      </c>
      <c r="AN133">
        <v>0.91</v>
      </c>
      <c r="AO133">
        <v>611.07000000000005</v>
      </c>
      <c r="AP133">
        <v>0</v>
      </c>
      <c r="AQ133">
        <v>61.6</v>
      </c>
      <c r="AR133">
        <v>7.0000000000000007E-2</v>
      </c>
      <c r="AS133">
        <v>0</v>
      </c>
      <c r="AT133">
        <v>115</v>
      </c>
      <c r="AU133">
        <v>71</v>
      </c>
      <c r="AV133">
        <v>1</v>
      </c>
      <c r="AW133">
        <v>1</v>
      </c>
      <c r="AZ133">
        <v>6.11</v>
      </c>
      <c r="BA133">
        <v>6.11</v>
      </c>
      <c r="BB133">
        <v>6.11</v>
      </c>
      <c r="BC133">
        <v>6.11</v>
      </c>
      <c r="BD133" t="s">
        <v>6</v>
      </c>
      <c r="BE133" t="s">
        <v>6</v>
      </c>
      <c r="BF133" t="s">
        <v>6</v>
      </c>
      <c r="BG133" t="s">
        <v>6</v>
      </c>
      <c r="BH133">
        <v>0</v>
      </c>
      <c r="BI133">
        <v>1</v>
      </c>
      <c r="BJ133" t="s">
        <v>288</v>
      </c>
      <c r="BM133">
        <v>16001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6.11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128</v>
      </c>
      <c r="CA133">
        <v>83</v>
      </c>
      <c r="CE133">
        <v>0</v>
      </c>
      <c r="CF133">
        <v>0</v>
      </c>
      <c r="CG133">
        <v>0</v>
      </c>
      <c r="CM133">
        <v>0</v>
      </c>
      <c r="CN133" t="s">
        <v>824</v>
      </c>
      <c r="CO133">
        <v>0</v>
      </c>
      <c r="CP133">
        <f t="shared" si="168"/>
        <v>624.19000000000005</v>
      </c>
      <c r="CQ133">
        <f t="shared" si="169"/>
        <v>861.02120000000002</v>
      </c>
      <c r="CR133">
        <f t="shared" si="170"/>
        <v>46.924799999999998</v>
      </c>
      <c r="CS133">
        <f t="shared" si="171"/>
        <v>6.9653999999999998</v>
      </c>
      <c r="CT133">
        <f t="shared" si="172"/>
        <v>4293.6803</v>
      </c>
      <c r="CU133">
        <f t="shared" si="173"/>
        <v>0</v>
      </c>
      <c r="CV133">
        <f t="shared" si="174"/>
        <v>70.839999999999989</v>
      </c>
      <c r="CW133">
        <f t="shared" si="175"/>
        <v>8.7500000000000008E-2</v>
      </c>
      <c r="CX133">
        <f t="shared" si="176"/>
        <v>0</v>
      </c>
      <c r="CY133">
        <f t="shared" si="177"/>
        <v>593.49200000000008</v>
      </c>
      <c r="CZ133">
        <f t="shared" si="178"/>
        <v>366.41680000000002</v>
      </c>
      <c r="DC133" t="s">
        <v>6</v>
      </c>
      <c r="DD133" t="s">
        <v>6</v>
      </c>
      <c r="DE133" t="s">
        <v>27</v>
      </c>
      <c r="DF133" t="s">
        <v>27</v>
      </c>
      <c r="DG133" t="s">
        <v>28</v>
      </c>
      <c r="DH133" t="s">
        <v>6</v>
      </c>
      <c r="DI133" t="s">
        <v>28</v>
      </c>
      <c r="DJ133" t="s">
        <v>27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1003</v>
      </c>
      <c r="DV133" t="s">
        <v>40</v>
      </c>
      <c r="DW133" t="s">
        <v>40</v>
      </c>
      <c r="DX133">
        <v>100</v>
      </c>
      <c r="EE133">
        <v>16510514</v>
      </c>
      <c r="EF133">
        <v>2</v>
      </c>
      <c r="EG133" t="s">
        <v>18</v>
      </c>
      <c r="EH133">
        <v>0</v>
      </c>
      <c r="EI133" t="s">
        <v>6</v>
      </c>
      <c r="EJ133">
        <v>1</v>
      </c>
      <c r="EK133">
        <v>16001</v>
      </c>
      <c r="EL133" t="s">
        <v>289</v>
      </c>
      <c r="EM133" t="s">
        <v>290</v>
      </c>
      <c r="EO133" t="s">
        <v>31</v>
      </c>
      <c r="EQ133">
        <v>131072</v>
      </c>
      <c r="ER133">
        <v>758.13</v>
      </c>
      <c r="ES133">
        <v>140.91999999999999</v>
      </c>
      <c r="ET133">
        <v>6.14</v>
      </c>
      <c r="EU133">
        <v>0.91</v>
      </c>
      <c r="EV133">
        <v>611.07000000000005</v>
      </c>
      <c r="EW133">
        <v>61.6</v>
      </c>
      <c r="EX133">
        <v>7.0000000000000007E-2</v>
      </c>
      <c r="EY133">
        <v>0</v>
      </c>
      <c r="FQ133">
        <v>0</v>
      </c>
      <c r="FR133">
        <f t="shared" si="148"/>
        <v>0</v>
      </c>
      <c r="FS133">
        <v>0</v>
      </c>
      <c r="FT133" t="s">
        <v>21</v>
      </c>
      <c r="FU133" t="s">
        <v>22</v>
      </c>
      <c r="FX133">
        <v>115.2</v>
      </c>
      <c r="FY133">
        <v>70.55</v>
      </c>
      <c r="GA133" t="s">
        <v>6</v>
      </c>
      <c r="GD133">
        <v>0</v>
      </c>
      <c r="GF133">
        <v>1989847972</v>
      </c>
      <c r="GG133">
        <v>1</v>
      </c>
      <c r="GH133">
        <v>1</v>
      </c>
      <c r="GI133">
        <v>4</v>
      </c>
      <c r="GJ133">
        <v>0</v>
      </c>
      <c r="GK133">
        <f>ROUND(R133*(S12)/100,2)</f>
        <v>0</v>
      </c>
      <c r="GL133">
        <f t="shared" si="149"/>
        <v>0</v>
      </c>
      <c r="GM133">
        <f t="shared" si="179"/>
        <v>1584.1</v>
      </c>
      <c r="GN133">
        <f t="shared" si="180"/>
        <v>1584.1</v>
      </c>
      <c r="GO133">
        <f t="shared" si="181"/>
        <v>0</v>
      </c>
      <c r="GP133">
        <f t="shared" si="182"/>
        <v>0</v>
      </c>
      <c r="GR133">
        <v>0</v>
      </c>
      <c r="GS133">
        <v>3</v>
      </c>
      <c r="GT133">
        <v>0</v>
      </c>
      <c r="GU133" t="s">
        <v>6</v>
      </c>
      <c r="GV133">
        <f t="shared" si="183"/>
        <v>0</v>
      </c>
      <c r="GW133">
        <v>1</v>
      </c>
      <c r="GX133">
        <f t="shared" si="184"/>
        <v>0</v>
      </c>
      <c r="HA133">
        <v>0</v>
      </c>
      <c r="HB133">
        <v>0</v>
      </c>
      <c r="HC133">
        <f t="shared" si="185"/>
        <v>0</v>
      </c>
      <c r="IK133">
        <v>0</v>
      </c>
    </row>
    <row r="134" spans="1:255" x14ac:dyDescent="0.2">
      <c r="A134" s="2">
        <v>18</v>
      </c>
      <c r="B134" s="2">
        <v>1</v>
      </c>
      <c r="C134" s="2">
        <v>389</v>
      </c>
      <c r="D134" s="2"/>
      <c r="E134" s="2" t="s">
        <v>291</v>
      </c>
      <c r="F134" s="2" t="s">
        <v>292</v>
      </c>
      <c r="G134" s="2" t="s">
        <v>293</v>
      </c>
      <c r="H134" s="2" t="s">
        <v>45</v>
      </c>
      <c r="I134" s="2">
        <f>I132*J134</f>
        <v>11.976000000000001</v>
      </c>
      <c r="J134" s="2">
        <v>99.800000000000011</v>
      </c>
      <c r="K134" s="2"/>
      <c r="L134" s="2"/>
      <c r="M134" s="2"/>
      <c r="N134" s="2"/>
      <c r="O134" s="2">
        <f t="shared" si="150"/>
        <v>843.11</v>
      </c>
      <c r="P134" s="2">
        <f t="shared" si="151"/>
        <v>843.11</v>
      </c>
      <c r="Q134" s="2">
        <f t="shared" si="152"/>
        <v>0</v>
      </c>
      <c r="R134" s="2">
        <f t="shared" si="153"/>
        <v>0</v>
      </c>
      <c r="S134" s="2">
        <f t="shared" si="154"/>
        <v>0</v>
      </c>
      <c r="T134" s="2">
        <f t="shared" si="155"/>
        <v>0</v>
      </c>
      <c r="U134" s="2">
        <f t="shared" si="156"/>
        <v>0</v>
      </c>
      <c r="V134" s="2">
        <f t="shared" si="157"/>
        <v>0</v>
      </c>
      <c r="W134" s="2">
        <f t="shared" si="158"/>
        <v>0</v>
      </c>
      <c r="X134" s="2">
        <f t="shared" si="159"/>
        <v>0</v>
      </c>
      <c r="Y134" s="2">
        <f t="shared" si="160"/>
        <v>0</v>
      </c>
      <c r="Z134" s="2"/>
      <c r="AA134" s="2">
        <v>16784195</v>
      </c>
      <c r="AB134" s="2">
        <f t="shared" si="161"/>
        <v>70.400000000000006</v>
      </c>
      <c r="AC134" s="2">
        <f t="shared" si="162"/>
        <v>70.400000000000006</v>
      </c>
      <c r="AD134" s="2">
        <f t="shared" ref="AD134:AD139" si="186">ROUND((((ET134)-(EU134))+AE134),2)</f>
        <v>0</v>
      </c>
      <c r="AE134" s="2">
        <f t="shared" ref="AE134:AF139" si="187">ROUND((EU134),2)</f>
        <v>0</v>
      </c>
      <c r="AF134" s="2">
        <f t="shared" si="187"/>
        <v>0</v>
      </c>
      <c r="AG134" s="2">
        <f t="shared" si="165"/>
        <v>0</v>
      </c>
      <c r="AH134" s="2">
        <f t="shared" ref="AH134:AI139" si="188">(EW134)</f>
        <v>0</v>
      </c>
      <c r="AI134" s="2">
        <f t="shared" si="188"/>
        <v>0</v>
      </c>
      <c r="AJ134" s="2">
        <f t="shared" si="167"/>
        <v>0</v>
      </c>
      <c r="AK134" s="2">
        <v>70.400000000000006</v>
      </c>
      <c r="AL134" s="2">
        <v>70.400000000000006</v>
      </c>
      <c r="AM134" s="2">
        <v>0</v>
      </c>
      <c r="AN134" s="2">
        <v>0</v>
      </c>
      <c r="AO134" s="2">
        <v>0</v>
      </c>
      <c r="AP134" s="2">
        <v>0</v>
      </c>
      <c r="AQ134" s="2">
        <v>0</v>
      </c>
      <c r="AR134" s="2">
        <v>0</v>
      </c>
      <c r="AS134" s="2">
        <v>0</v>
      </c>
      <c r="AT134" s="2">
        <v>115</v>
      </c>
      <c r="AU134" s="2">
        <v>71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6</v>
      </c>
      <c r="BE134" s="2" t="s">
        <v>6</v>
      </c>
      <c r="BF134" s="2" t="s">
        <v>6</v>
      </c>
      <c r="BG134" s="2" t="s">
        <v>6</v>
      </c>
      <c r="BH134" s="2">
        <v>3</v>
      </c>
      <c r="BI134" s="2">
        <v>1</v>
      </c>
      <c r="BJ134" s="2" t="s">
        <v>294</v>
      </c>
      <c r="BK134" s="2"/>
      <c r="BL134" s="2"/>
      <c r="BM134" s="2">
        <v>16001</v>
      </c>
      <c r="BN134" s="2">
        <v>0</v>
      </c>
      <c r="BO134" s="2" t="s">
        <v>6</v>
      </c>
      <c r="BP134" s="2">
        <v>0</v>
      </c>
      <c r="BQ134" s="2">
        <v>2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6</v>
      </c>
      <c r="BZ134" s="2">
        <v>128</v>
      </c>
      <c r="CA134" s="2">
        <v>83</v>
      </c>
      <c r="CB134" s="2"/>
      <c r="CC134" s="2"/>
      <c r="CD134" s="2"/>
      <c r="CE134" s="2">
        <v>0</v>
      </c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6</v>
      </c>
      <c r="CO134" s="2">
        <v>0</v>
      </c>
      <c r="CP134" s="2">
        <f t="shared" si="168"/>
        <v>843.11</v>
      </c>
      <c r="CQ134" s="2">
        <f t="shared" si="169"/>
        <v>70.400000000000006</v>
      </c>
      <c r="CR134" s="2">
        <f t="shared" si="170"/>
        <v>0</v>
      </c>
      <c r="CS134" s="2">
        <f t="shared" si="171"/>
        <v>0</v>
      </c>
      <c r="CT134" s="2">
        <f t="shared" si="172"/>
        <v>0</v>
      </c>
      <c r="CU134" s="2">
        <f t="shared" si="173"/>
        <v>0</v>
      </c>
      <c r="CV134" s="2">
        <f t="shared" si="174"/>
        <v>0</v>
      </c>
      <c r="CW134" s="2">
        <f t="shared" si="175"/>
        <v>0</v>
      </c>
      <c r="CX134" s="2">
        <f t="shared" si="176"/>
        <v>0</v>
      </c>
      <c r="CY134" s="2">
        <f t="shared" si="177"/>
        <v>0</v>
      </c>
      <c r="CZ134" s="2">
        <f t="shared" si="178"/>
        <v>0</v>
      </c>
      <c r="DA134" s="2"/>
      <c r="DB134" s="2"/>
      <c r="DC134" s="2" t="s">
        <v>6</v>
      </c>
      <c r="DD134" s="2" t="s">
        <v>6</v>
      </c>
      <c r="DE134" s="2" t="s">
        <v>6</v>
      </c>
      <c r="DF134" s="2" t="s">
        <v>6</v>
      </c>
      <c r="DG134" s="2" t="s">
        <v>6</v>
      </c>
      <c r="DH134" s="2" t="s">
        <v>6</v>
      </c>
      <c r="DI134" s="2" t="s">
        <v>6</v>
      </c>
      <c r="DJ134" s="2" t="s">
        <v>6</v>
      </c>
      <c r="DK134" s="2" t="s">
        <v>6</v>
      </c>
      <c r="DL134" s="2" t="s">
        <v>6</v>
      </c>
      <c r="DM134" s="2" t="s">
        <v>6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1003</v>
      </c>
      <c r="DV134" s="2" t="s">
        <v>45</v>
      </c>
      <c r="DW134" s="2" t="s">
        <v>45</v>
      </c>
      <c r="DX134" s="2">
        <v>1</v>
      </c>
      <c r="DY134" s="2"/>
      <c r="DZ134" s="2"/>
      <c r="EA134" s="2"/>
      <c r="EB134" s="2"/>
      <c r="EC134" s="2"/>
      <c r="ED134" s="2"/>
      <c r="EE134" s="2">
        <v>16510514</v>
      </c>
      <c r="EF134" s="2">
        <v>2</v>
      </c>
      <c r="EG134" s="2" t="s">
        <v>18</v>
      </c>
      <c r="EH134" s="2">
        <v>0</v>
      </c>
      <c r="EI134" s="2" t="s">
        <v>6</v>
      </c>
      <c r="EJ134" s="2">
        <v>1</v>
      </c>
      <c r="EK134" s="2">
        <v>16001</v>
      </c>
      <c r="EL134" s="2" t="s">
        <v>289</v>
      </c>
      <c r="EM134" s="2" t="s">
        <v>290</v>
      </c>
      <c r="EN134" s="2"/>
      <c r="EO134" s="2" t="s">
        <v>6</v>
      </c>
      <c r="EP134" s="2"/>
      <c r="EQ134" s="2">
        <v>0</v>
      </c>
      <c r="ER134" s="2">
        <v>70.400000000000006</v>
      </c>
      <c r="ES134" s="2">
        <v>70.400000000000006</v>
      </c>
      <c r="ET134" s="2">
        <v>0</v>
      </c>
      <c r="EU134" s="2">
        <v>0</v>
      </c>
      <c r="EV134" s="2">
        <v>0</v>
      </c>
      <c r="EW134" s="2">
        <v>0</v>
      </c>
      <c r="EX134" s="2">
        <v>0</v>
      </c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48"/>
        <v>0</v>
      </c>
      <c r="FS134" s="2">
        <v>0</v>
      </c>
      <c r="FT134" s="2" t="s">
        <v>21</v>
      </c>
      <c r="FU134" s="2" t="s">
        <v>22</v>
      </c>
      <c r="FV134" s="2"/>
      <c r="FW134" s="2"/>
      <c r="FX134" s="2">
        <v>115.2</v>
      </c>
      <c r="FY134" s="2">
        <v>70.55</v>
      </c>
      <c r="FZ134" s="2"/>
      <c r="GA134" s="2" t="s">
        <v>6</v>
      </c>
      <c r="GB134" s="2"/>
      <c r="GC134" s="2"/>
      <c r="GD134" s="2">
        <v>0</v>
      </c>
      <c r="GE134" s="2"/>
      <c r="GF134" s="2">
        <v>2126135618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49"/>
        <v>0</v>
      </c>
      <c r="GM134" s="2">
        <f t="shared" si="179"/>
        <v>843.11</v>
      </c>
      <c r="GN134" s="2">
        <f t="shared" si="180"/>
        <v>843.11</v>
      </c>
      <c r="GO134" s="2">
        <f t="shared" si="181"/>
        <v>0</v>
      </c>
      <c r="GP134" s="2">
        <f t="shared" si="182"/>
        <v>0</v>
      </c>
      <c r="GQ134" s="2"/>
      <c r="GR134" s="2">
        <v>0</v>
      </c>
      <c r="GS134" s="2">
        <v>3</v>
      </c>
      <c r="GT134" s="2">
        <v>0</v>
      </c>
      <c r="GU134" s="2" t="s">
        <v>6</v>
      </c>
      <c r="GV134" s="2">
        <f t="shared" si="183"/>
        <v>0</v>
      </c>
      <c r="GW134" s="2">
        <v>1</v>
      </c>
      <c r="GX134" s="2">
        <f t="shared" si="184"/>
        <v>0</v>
      </c>
      <c r="GY134" s="2"/>
      <c r="GZ134" s="2"/>
      <c r="HA134" s="2">
        <v>0</v>
      </c>
      <c r="HB134" s="2">
        <v>0</v>
      </c>
      <c r="HC134" s="2">
        <f t="shared" si="185"/>
        <v>0</v>
      </c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18</v>
      </c>
      <c r="B135">
        <v>1</v>
      </c>
      <c r="C135">
        <v>398</v>
      </c>
      <c r="E135" t="s">
        <v>291</v>
      </c>
      <c r="F135" t="s">
        <v>292</v>
      </c>
      <c r="G135" t="s">
        <v>293</v>
      </c>
      <c r="H135" t="s">
        <v>45</v>
      </c>
      <c r="I135">
        <f>I133*J135</f>
        <v>11.976000000000001</v>
      </c>
      <c r="J135">
        <v>99.800000000000011</v>
      </c>
      <c r="O135">
        <f t="shared" si="150"/>
        <v>5151.3999999999996</v>
      </c>
      <c r="P135">
        <f t="shared" si="151"/>
        <v>5151.3999999999996</v>
      </c>
      <c r="Q135">
        <f t="shared" si="152"/>
        <v>0</v>
      </c>
      <c r="R135">
        <f t="shared" si="153"/>
        <v>0</v>
      </c>
      <c r="S135">
        <f t="shared" si="154"/>
        <v>0</v>
      </c>
      <c r="T135">
        <f t="shared" si="155"/>
        <v>0</v>
      </c>
      <c r="U135">
        <f t="shared" si="156"/>
        <v>0</v>
      </c>
      <c r="V135">
        <f t="shared" si="157"/>
        <v>0</v>
      </c>
      <c r="W135">
        <f t="shared" si="158"/>
        <v>0</v>
      </c>
      <c r="X135">
        <f t="shared" si="159"/>
        <v>0</v>
      </c>
      <c r="Y135">
        <f t="shared" si="160"/>
        <v>0</v>
      </c>
      <c r="AA135">
        <v>16784196</v>
      </c>
      <c r="AB135">
        <f t="shared" si="161"/>
        <v>70.400000000000006</v>
      </c>
      <c r="AC135">
        <f t="shared" si="162"/>
        <v>70.400000000000006</v>
      </c>
      <c r="AD135">
        <f t="shared" si="186"/>
        <v>0</v>
      </c>
      <c r="AE135">
        <f t="shared" si="187"/>
        <v>0</v>
      </c>
      <c r="AF135">
        <f t="shared" si="187"/>
        <v>0</v>
      </c>
      <c r="AG135">
        <f t="shared" si="165"/>
        <v>0</v>
      </c>
      <c r="AH135">
        <f t="shared" si="188"/>
        <v>0</v>
      </c>
      <c r="AI135">
        <f t="shared" si="188"/>
        <v>0</v>
      </c>
      <c r="AJ135">
        <f t="shared" si="167"/>
        <v>0</v>
      </c>
      <c r="AK135">
        <v>70.400000000000006</v>
      </c>
      <c r="AL135">
        <v>70.400000000000006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115</v>
      </c>
      <c r="AU135">
        <v>71</v>
      </c>
      <c r="AV135">
        <v>1</v>
      </c>
      <c r="AW135">
        <v>1</v>
      </c>
      <c r="AZ135">
        <v>6.11</v>
      </c>
      <c r="BA135">
        <v>1</v>
      </c>
      <c r="BB135">
        <v>1</v>
      </c>
      <c r="BC135">
        <v>6.11</v>
      </c>
      <c r="BD135" t="s">
        <v>6</v>
      </c>
      <c r="BE135" t="s">
        <v>6</v>
      </c>
      <c r="BF135" t="s">
        <v>6</v>
      </c>
      <c r="BG135" t="s">
        <v>6</v>
      </c>
      <c r="BH135">
        <v>3</v>
      </c>
      <c r="BI135">
        <v>1</v>
      </c>
      <c r="BJ135" t="s">
        <v>294</v>
      </c>
      <c r="BM135">
        <v>16001</v>
      </c>
      <c r="BN135">
        <v>0</v>
      </c>
      <c r="BO135" t="s">
        <v>6</v>
      </c>
      <c r="BP135">
        <v>0</v>
      </c>
      <c r="BQ135">
        <v>2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128</v>
      </c>
      <c r="CA135">
        <v>83</v>
      </c>
      <c r="CE135">
        <v>0</v>
      </c>
      <c r="CF135">
        <v>0</v>
      </c>
      <c r="CG135">
        <v>0</v>
      </c>
      <c r="CM135">
        <v>0</v>
      </c>
      <c r="CN135" t="s">
        <v>6</v>
      </c>
      <c r="CO135">
        <v>0</v>
      </c>
      <c r="CP135">
        <f t="shared" si="168"/>
        <v>5151.3999999999996</v>
      </c>
      <c r="CQ135">
        <f t="shared" si="169"/>
        <v>430.14400000000006</v>
      </c>
      <c r="CR135">
        <f t="shared" si="170"/>
        <v>0</v>
      </c>
      <c r="CS135">
        <f t="shared" si="171"/>
        <v>0</v>
      </c>
      <c r="CT135">
        <f t="shared" si="172"/>
        <v>0</v>
      </c>
      <c r="CU135">
        <f t="shared" si="173"/>
        <v>0</v>
      </c>
      <c r="CV135">
        <f t="shared" si="174"/>
        <v>0</v>
      </c>
      <c r="CW135">
        <f t="shared" si="175"/>
        <v>0</v>
      </c>
      <c r="CX135">
        <f t="shared" si="176"/>
        <v>0</v>
      </c>
      <c r="CY135">
        <f t="shared" si="177"/>
        <v>0</v>
      </c>
      <c r="CZ135">
        <f t="shared" si="178"/>
        <v>0</v>
      </c>
      <c r="DC135" t="s">
        <v>6</v>
      </c>
      <c r="DD135" t="s">
        <v>6</v>
      </c>
      <c r="DE135" t="s">
        <v>6</v>
      </c>
      <c r="DF135" t="s">
        <v>6</v>
      </c>
      <c r="DG135" t="s">
        <v>6</v>
      </c>
      <c r="DH135" t="s">
        <v>6</v>
      </c>
      <c r="DI135" t="s">
        <v>6</v>
      </c>
      <c r="DJ135" t="s">
        <v>6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1003</v>
      </c>
      <c r="DV135" t="s">
        <v>45</v>
      </c>
      <c r="DW135" t="s">
        <v>45</v>
      </c>
      <c r="DX135">
        <v>1</v>
      </c>
      <c r="EE135">
        <v>16510514</v>
      </c>
      <c r="EF135">
        <v>2</v>
      </c>
      <c r="EG135" t="s">
        <v>18</v>
      </c>
      <c r="EH135">
        <v>0</v>
      </c>
      <c r="EI135" t="s">
        <v>6</v>
      </c>
      <c r="EJ135">
        <v>1</v>
      </c>
      <c r="EK135">
        <v>16001</v>
      </c>
      <c r="EL135" t="s">
        <v>289</v>
      </c>
      <c r="EM135" t="s">
        <v>290</v>
      </c>
      <c r="EO135" t="s">
        <v>6</v>
      </c>
      <c r="EQ135">
        <v>0</v>
      </c>
      <c r="ER135">
        <v>70.400000000000006</v>
      </c>
      <c r="ES135">
        <v>70.400000000000006</v>
      </c>
      <c r="ET135">
        <v>0</v>
      </c>
      <c r="EU135">
        <v>0</v>
      </c>
      <c r="EV135">
        <v>0</v>
      </c>
      <c r="EW135">
        <v>0</v>
      </c>
      <c r="EX135">
        <v>0</v>
      </c>
      <c r="FQ135">
        <v>0</v>
      </c>
      <c r="FR135">
        <f t="shared" si="148"/>
        <v>0</v>
      </c>
      <c r="FS135">
        <v>0</v>
      </c>
      <c r="FT135" t="s">
        <v>21</v>
      </c>
      <c r="FU135" t="s">
        <v>22</v>
      </c>
      <c r="FX135">
        <v>115.2</v>
      </c>
      <c r="FY135">
        <v>70.55</v>
      </c>
      <c r="GA135" t="s">
        <v>6</v>
      </c>
      <c r="GD135">
        <v>0</v>
      </c>
      <c r="GF135">
        <v>2126135618</v>
      </c>
      <c r="GG135">
        <v>1</v>
      </c>
      <c r="GH135">
        <v>1</v>
      </c>
      <c r="GI135">
        <v>4</v>
      </c>
      <c r="GJ135">
        <v>0</v>
      </c>
      <c r="GK135">
        <f>ROUND(R135*(S12)/100,2)</f>
        <v>0</v>
      </c>
      <c r="GL135">
        <f t="shared" si="149"/>
        <v>0</v>
      </c>
      <c r="GM135">
        <f t="shared" si="179"/>
        <v>5151.3999999999996</v>
      </c>
      <c r="GN135">
        <f t="shared" si="180"/>
        <v>5151.3999999999996</v>
      </c>
      <c r="GO135">
        <f t="shared" si="181"/>
        <v>0</v>
      </c>
      <c r="GP135">
        <f t="shared" si="182"/>
        <v>0</v>
      </c>
      <c r="GR135">
        <v>0</v>
      </c>
      <c r="GS135">
        <v>3</v>
      </c>
      <c r="GT135">
        <v>0</v>
      </c>
      <c r="GU135" t="s">
        <v>6</v>
      </c>
      <c r="GV135">
        <f t="shared" si="183"/>
        <v>0</v>
      </c>
      <c r="GW135">
        <v>1</v>
      </c>
      <c r="GX135">
        <f t="shared" si="184"/>
        <v>0</v>
      </c>
      <c r="HA135">
        <v>0</v>
      </c>
      <c r="HB135">
        <v>0</v>
      </c>
      <c r="HC135">
        <f t="shared" si="185"/>
        <v>0</v>
      </c>
      <c r="IK135">
        <v>0</v>
      </c>
    </row>
    <row r="136" spans="1:255" x14ac:dyDescent="0.2">
      <c r="A136" s="2">
        <v>17</v>
      </c>
      <c r="B136" s="2">
        <v>1</v>
      </c>
      <c r="C136" s="2">
        <f>ROW(SmtRes!A401)</f>
        <v>401</v>
      </c>
      <c r="D136" s="2">
        <f>ROW(EtalonRes!A412)</f>
        <v>412</v>
      </c>
      <c r="E136" s="2" t="s">
        <v>295</v>
      </c>
      <c r="F136" s="2" t="s">
        <v>296</v>
      </c>
      <c r="G136" s="2" t="s">
        <v>297</v>
      </c>
      <c r="H136" s="2" t="s">
        <v>227</v>
      </c>
      <c r="I136" s="2">
        <f>ROUND(2/100,9)</f>
        <v>0.02</v>
      </c>
      <c r="J136" s="2">
        <v>0</v>
      </c>
      <c r="K136" s="2"/>
      <c r="L136" s="2"/>
      <c r="M136" s="2"/>
      <c r="N136" s="2"/>
      <c r="O136" s="2">
        <f t="shared" si="150"/>
        <v>11.07</v>
      </c>
      <c r="P136" s="2">
        <f t="shared" si="151"/>
        <v>0</v>
      </c>
      <c r="Q136" s="2">
        <f t="shared" si="152"/>
        <v>0.18</v>
      </c>
      <c r="R136" s="2">
        <f t="shared" si="153"/>
        <v>0.08</v>
      </c>
      <c r="S136" s="2">
        <f t="shared" si="154"/>
        <v>10.89</v>
      </c>
      <c r="T136" s="2">
        <f t="shared" si="155"/>
        <v>0</v>
      </c>
      <c r="U136" s="2">
        <f t="shared" si="156"/>
        <v>1.2768000000000002</v>
      </c>
      <c r="V136" s="2">
        <f t="shared" si="157"/>
        <v>5.7999999999999996E-3</v>
      </c>
      <c r="W136" s="2">
        <f t="shared" si="158"/>
        <v>0</v>
      </c>
      <c r="X136" s="2">
        <f t="shared" si="159"/>
        <v>8.1199999999999992</v>
      </c>
      <c r="Y136" s="2">
        <f t="shared" si="160"/>
        <v>5.49</v>
      </c>
      <c r="Z136" s="2"/>
      <c r="AA136" s="2">
        <v>16784195</v>
      </c>
      <c r="AB136" s="2">
        <f t="shared" si="161"/>
        <v>553.63</v>
      </c>
      <c r="AC136" s="2">
        <f t="shared" si="162"/>
        <v>0</v>
      </c>
      <c r="AD136" s="2">
        <f t="shared" si="186"/>
        <v>9.07</v>
      </c>
      <c r="AE136" s="2">
        <f t="shared" si="187"/>
        <v>3.92</v>
      </c>
      <c r="AF136" s="2">
        <f t="shared" si="187"/>
        <v>544.55999999999995</v>
      </c>
      <c r="AG136" s="2">
        <f t="shared" si="165"/>
        <v>0</v>
      </c>
      <c r="AH136" s="2">
        <f t="shared" si="188"/>
        <v>63.84</v>
      </c>
      <c r="AI136" s="2">
        <f t="shared" si="188"/>
        <v>0.28999999999999998</v>
      </c>
      <c r="AJ136" s="2">
        <f t="shared" si="167"/>
        <v>0</v>
      </c>
      <c r="AK136" s="2">
        <v>553.63</v>
      </c>
      <c r="AL136" s="2">
        <v>0</v>
      </c>
      <c r="AM136" s="2">
        <v>9.07</v>
      </c>
      <c r="AN136" s="2">
        <v>3.92</v>
      </c>
      <c r="AO136" s="2">
        <v>544.55999999999995</v>
      </c>
      <c r="AP136" s="2">
        <v>0</v>
      </c>
      <c r="AQ136" s="2">
        <v>63.84</v>
      </c>
      <c r="AR136" s="2">
        <v>0.28999999999999998</v>
      </c>
      <c r="AS136" s="2">
        <v>0</v>
      </c>
      <c r="AT136" s="2">
        <v>74</v>
      </c>
      <c r="AU136" s="2">
        <v>50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0</v>
      </c>
      <c r="BI136" s="2">
        <v>1</v>
      </c>
      <c r="BJ136" s="2" t="s">
        <v>298</v>
      </c>
      <c r="BK136" s="2"/>
      <c r="BL136" s="2"/>
      <c r="BM136" s="2">
        <v>65001</v>
      </c>
      <c r="BN136" s="2">
        <v>0</v>
      </c>
      <c r="BO136" s="2" t="s">
        <v>6</v>
      </c>
      <c r="BP136" s="2">
        <v>0</v>
      </c>
      <c r="BQ136" s="2">
        <v>6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74</v>
      </c>
      <c r="CA136" s="2">
        <v>50</v>
      </c>
      <c r="CB136" s="2"/>
      <c r="CC136" s="2"/>
      <c r="CD136" s="2"/>
      <c r="CE136" s="2">
        <v>0</v>
      </c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6</v>
      </c>
      <c r="CO136" s="2">
        <v>0</v>
      </c>
      <c r="CP136" s="2">
        <f t="shared" si="168"/>
        <v>11.07</v>
      </c>
      <c r="CQ136" s="2">
        <f t="shared" si="169"/>
        <v>0</v>
      </c>
      <c r="CR136" s="2">
        <f t="shared" si="170"/>
        <v>9.07</v>
      </c>
      <c r="CS136" s="2">
        <f t="shared" si="171"/>
        <v>3.92</v>
      </c>
      <c r="CT136" s="2">
        <f t="shared" si="172"/>
        <v>544.55999999999995</v>
      </c>
      <c r="CU136" s="2">
        <f t="shared" si="173"/>
        <v>0</v>
      </c>
      <c r="CV136" s="2">
        <f t="shared" si="174"/>
        <v>63.84</v>
      </c>
      <c r="CW136" s="2">
        <f t="shared" si="175"/>
        <v>0.28999999999999998</v>
      </c>
      <c r="CX136" s="2">
        <f t="shared" si="176"/>
        <v>0</v>
      </c>
      <c r="CY136" s="2">
        <f t="shared" si="177"/>
        <v>8.1178000000000008</v>
      </c>
      <c r="CZ136" s="2">
        <f t="shared" si="178"/>
        <v>5.4850000000000003</v>
      </c>
      <c r="DA136" s="2"/>
      <c r="DB136" s="2"/>
      <c r="DC136" s="2" t="s">
        <v>6</v>
      </c>
      <c r="DD136" s="2" t="s">
        <v>6</v>
      </c>
      <c r="DE136" s="2" t="s">
        <v>6</v>
      </c>
      <c r="DF136" s="2" t="s">
        <v>6</v>
      </c>
      <c r="DG136" s="2" t="s">
        <v>6</v>
      </c>
      <c r="DH136" s="2" t="s">
        <v>6</v>
      </c>
      <c r="DI136" s="2" t="s">
        <v>6</v>
      </c>
      <c r="DJ136" s="2" t="s">
        <v>6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1013</v>
      </c>
      <c r="DV136" s="2" t="s">
        <v>227</v>
      </c>
      <c r="DW136" s="2" t="s">
        <v>227</v>
      </c>
      <c r="DX136" s="2">
        <v>1</v>
      </c>
      <c r="DY136" s="2"/>
      <c r="DZ136" s="2"/>
      <c r="EA136" s="2"/>
      <c r="EB136" s="2"/>
      <c r="EC136" s="2"/>
      <c r="ED136" s="2"/>
      <c r="EE136" s="2">
        <v>16510574</v>
      </c>
      <c r="EF136" s="2">
        <v>6</v>
      </c>
      <c r="EG136" s="2" t="s">
        <v>90</v>
      </c>
      <c r="EH136" s="2">
        <v>0</v>
      </c>
      <c r="EI136" s="2" t="s">
        <v>6</v>
      </c>
      <c r="EJ136" s="2">
        <v>1</v>
      </c>
      <c r="EK136" s="2">
        <v>65001</v>
      </c>
      <c r="EL136" s="2" t="s">
        <v>283</v>
      </c>
      <c r="EM136" s="2" t="s">
        <v>284</v>
      </c>
      <c r="EN136" s="2"/>
      <c r="EO136" s="2" t="s">
        <v>6</v>
      </c>
      <c r="EP136" s="2"/>
      <c r="EQ136" s="2">
        <v>0</v>
      </c>
      <c r="ER136" s="2">
        <v>553.63</v>
      </c>
      <c r="ES136" s="2">
        <v>0</v>
      </c>
      <c r="ET136" s="2">
        <v>9.07</v>
      </c>
      <c r="EU136" s="2">
        <v>3.92</v>
      </c>
      <c r="EV136" s="2">
        <v>544.55999999999995</v>
      </c>
      <c r="EW136" s="2">
        <v>63.84</v>
      </c>
      <c r="EX136" s="2">
        <v>0.28999999999999998</v>
      </c>
      <c r="EY136" s="2">
        <v>0</v>
      </c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48"/>
        <v>0</v>
      </c>
      <c r="FS136" s="2">
        <v>0</v>
      </c>
      <c r="FT136" s="2"/>
      <c r="FU136" s="2"/>
      <c r="FV136" s="2"/>
      <c r="FW136" s="2"/>
      <c r="FX136" s="2">
        <v>74</v>
      </c>
      <c r="FY136" s="2">
        <v>50</v>
      </c>
      <c r="FZ136" s="2"/>
      <c r="GA136" s="2" t="s">
        <v>6</v>
      </c>
      <c r="GB136" s="2"/>
      <c r="GC136" s="2"/>
      <c r="GD136" s="2">
        <v>0</v>
      </c>
      <c r="GE136" s="2"/>
      <c r="GF136" s="2">
        <v>-1925511614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49"/>
        <v>0</v>
      </c>
      <c r="GM136" s="2">
        <f t="shared" si="179"/>
        <v>24.68</v>
      </c>
      <c r="GN136" s="2">
        <f t="shared" si="180"/>
        <v>24.68</v>
      </c>
      <c r="GO136" s="2">
        <f t="shared" si="181"/>
        <v>0</v>
      </c>
      <c r="GP136" s="2">
        <f t="shared" si="182"/>
        <v>0</v>
      </c>
      <c r="GQ136" s="2"/>
      <c r="GR136" s="2">
        <v>0</v>
      </c>
      <c r="GS136" s="2">
        <v>3</v>
      </c>
      <c r="GT136" s="2">
        <v>0</v>
      </c>
      <c r="GU136" s="2" t="s">
        <v>6</v>
      </c>
      <c r="GV136" s="2">
        <f t="shared" si="183"/>
        <v>0</v>
      </c>
      <c r="GW136" s="2">
        <v>1</v>
      </c>
      <c r="GX136" s="2">
        <f t="shared" si="184"/>
        <v>0</v>
      </c>
      <c r="GY136" s="2"/>
      <c r="GZ136" s="2"/>
      <c r="HA136" s="2">
        <v>0</v>
      </c>
      <c r="HB136" s="2">
        <v>0</v>
      </c>
      <c r="HC136" s="2">
        <f t="shared" si="185"/>
        <v>0</v>
      </c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17</v>
      </c>
      <c r="B137">
        <v>1</v>
      </c>
      <c r="C137">
        <f>ROW(SmtRes!A404)</f>
        <v>404</v>
      </c>
      <c r="D137">
        <f>ROW(EtalonRes!A416)</f>
        <v>416</v>
      </c>
      <c r="E137" t="s">
        <v>295</v>
      </c>
      <c r="F137" t="s">
        <v>296</v>
      </c>
      <c r="G137" t="s">
        <v>297</v>
      </c>
      <c r="H137" t="s">
        <v>227</v>
      </c>
      <c r="I137">
        <f>ROUND(2/100,9)</f>
        <v>0.02</v>
      </c>
      <c r="J137">
        <v>0</v>
      </c>
      <c r="O137">
        <f t="shared" si="150"/>
        <v>67.66</v>
      </c>
      <c r="P137">
        <f t="shared" si="151"/>
        <v>0</v>
      </c>
      <c r="Q137">
        <f t="shared" si="152"/>
        <v>1.1100000000000001</v>
      </c>
      <c r="R137">
        <f t="shared" si="153"/>
        <v>0.48</v>
      </c>
      <c r="S137">
        <f t="shared" si="154"/>
        <v>66.55</v>
      </c>
      <c r="T137">
        <f t="shared" si="155"/>
        <v>0</v>
      </c>
      <c r="U137">
        <f t="shared" si="156"/>
        <v>1.2768000000000002</v>
      </c>
      <c r="V137">
        <f t="shared" si="157"/>
        <v>5.7999999999999996E-3</v>
      </c>
      <c r="W137">
        <f t="shared" si="158"/>
        <v>0</v>
      </c>
      <c r="X137">
        <f t="shared" si="159"/>
        <v>49.6</v>
      </c>
      <c r="Y137">
        <f t="shared" si="160"/>
        <v>33.520000000000003</v>
      </c>
      <c r="AA137">
        <v>16784196</v>
      </c>
      <c r="AB137">
        <f t="shared" si="161"/>
        <v>553.63</v>
      </c>
      <c r="AC137">
        <f t="shared" si="162"/>
        <v>0</v>
      </c>
      <c r="AD137">
        <f t="shared" si="186"/>
        <v>9.07</v>
      </c>
      <c r="AE137">
        <f t="shared" si="187"/>
        <v>3.92</v>
      </c>
      <c r="AF137">
        <f t="shared" si="187"/>
        <v>544.55999999999995</v>
      </c>
      <c r="AG137">
        <f t="shared" si="165"/>
        <v>0</v>
      </c>
      <c r="AH137">
        <f t="shared" si="188"/>
        <v>63.84</v>
      </c>
      <c r="AI137">
        <f t="shared" si="188"/>
        <v>0.28999999999999998</v>
      </c>
      <c r="AJ137">
        <f t="shared" si="167"/>
        <v>0</v>
      </c>
      <c r="AK137">
        <v>553.63</v>
      </c>
      <c r="AL137">
        <v>0</v>
      </c>
      <c r="AM137">
        <v>9.07</v>
      </c>
      <c r="AN137">
        <v>3.92</v>
      </c>
      <c r="AO137">
        <v>544.55999999999995</v>
      </c>
      <c r="AP137">
        <v>0</v>
      </c>
      <c r="AQ137">
        <v>63.84</v>
      </c>
      <c r="AR137">
        <v>0.28999999999999998</v>
      </c>
      <c r="AS137">
        <v>0</v>
      </c>
      <c r="AT137">
        <v>74</v>
      </c>
      <c r="AU137">
        <v>50</v>
      </c>
      <c r="AV137">
        <v>1</v>
      </c>
      <c r="AW137">
        <v>1</v>
      </c>
      <c r="AZ137">
        <v>6.11</v>
      </c>
      <c r="BA137">
        <v>6.11</v>
      </c>
      <c r="BB137">
        <v>6.11</v>
      </c>
      <c r="BC137">
        <v>6.11</v>
      </c>
      <c r="BD137" t="s">
        <v>6</v>
      </c>
      <c r="BE137" t="s">
        <v>6</v>
      </c>
      <c r="BF137" t="s">
        <v>6</v>
      </c>
      <c r="BG137" t="s">
        <v>6</v>
      </c>
      <c r="BH137">
        <v>0</v>
      </c>
      <c r="BI137">
        <v>1</v>
      </c>
      <c r="BJ137" t="s">
        <v>298</v>
      </c>
      <c r="BM137">
        <v>65001</v>
      </c>
      <c r="BN137">
        <v>0</v>
      </c>
      <c r="BO137" t="s">
        <v>6</v>
      </c>
      <c r="BP137">
        <v>0</v>
      </c>
      <c r="BQ137">
        <v>6</v>
      </c>
      <c r="BR137">
        <v>0</v>
      </c>
      <c r="BS137">
        <v>6.11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74</v>
      </c>
      <c r="CA137">
        <v>50</v>
      </c>
      <c r="CE137">
        <v>0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68"/>
        <v>67.66</v>
      </c>
      <c r="CQ137">
        <f t="shared" si="169"/>
        <v>0</v>
      </c>
      <c r="CR137">
        <f t="shared" si="170"/>
        <v>55.417700000000004</v>
      </c>
      <c r="CS137">
        <f t="shared" si="171"/>
        <v>23.9512</v>
      </c>
      <c r="CT137">
        <f t="shared" si="172"/>
        <v>3327.2615999999998</v>
      </c>
      <c r="CU137">
        <f t="shared" si="173"/>
        <v>0</v>
      </c>
      <c r="CV137">
        <f t="shared" si="174"/>
        <v>63.84</v>
      </c>
      <c r="CW137">
        <f t="shared" si="175"/>
        <v>0.28999999999999998</v>
      </c>
      <c r="CX137">
        <f t="shared" si="176"/>
        <v>0</v>
      </c>
      <c r="CY137">
        <f t="shared" si="177"/>
        <v>49.602200000000003</v>
      </c>
      <c r="CZ137">
        <f t="shared" si="178"/>
        <v>33.515000000000001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1013</v>
      </c>
      <c r="DV137" t="s">
        <v>227</v>
      </c>
      <c r="DW137" t="s">
        <v>227</v>
      </c>
      <c r="DX137">
        <v>1</v>
      </c>
      <c r="EE137">
        <v>16510574</v>
      </c>
      <c r="EF137">
        <v>6</v>
      </c>
      <c r="EG137" t="s">
        <v>90</v>
      </c>
      <c r="EH137">
        <v>0</v>
      </c>
      <c r="EI137" t="s">
        <v>6</v>
      </c>
      <c r="EJ137">
        <v>1</v>
      </c>
      <c r="EK137">
        <v>65001</v>
      </c>
      <c r="EL137" t="s">
        <v>283</v>
      </c>
      <c r="EM137" t="s">
        <v>284</v>
      </c>
      <c r="EO137" t="s">
        <v>6</v>
      </c>
      <c r="EQ137">
        <v>0</v>
      </c>
      <c r="ER137">
        <v>553.63</v>
      </c>
      <c r="ES137">
        <v>0</v>
      </c>
      <c r="ET137">
        <v>9.07</v>
      </c>
      <c r="EU137">
        <v>3.92</v>
      </c>
      <c r="EV137">
        <v>544.55999999999995</v>
      </c>
      <c r="EW137">
        <v>63.84</v>
      </c>
      <c r="EX137">
        <v>0.28999999999999998</v>
      </c>
      <c r="EY137">
        <v>0</v>
      </c>
      <c r="FQ137">
        <v>0</v>
      </c>
      <c r="FR137">
        <f t="shared" si="148"/>
        <v>0</v>
      </c>
      <c r="FS137">
        <v>0</v>
      </c>
      <c r="FX137">
        <v>74</v>
      </c>
      <c r="FY137">
        <v>50</v>
      </c>
      <c r="GA137" t="s">
        <v>6</v>
      </c>
      <c r="GD137">
        <v>0</v>
      </c>
      <c r="GF137">
        <v>-1925511614</v>
      </c>
      <c r="GG137">
        <v>1</v>
      </c>
      <c r="GH137">
        <v>1</v>
      </c>
      <c r="GI137">
        <v>4</v>
      </c>
      <c r="GJ137">
        <v>0</v>
      </c>
      <c r="GK137">
        <f>ROUND(R137*(S12)/100,2)</f>
        <v>0</v>
      </c>
      <c r="GL137">
        <f t="shared" si="149"/>
        <v>0</v>
      </c>
      <c r="GM137">
        <f t="shared" si="179"/>
        <v>150.78</v>
      </c>
      <c r="GN137">
        <f t="shared" si="180"/>
        <v>150.78</v>
      </c>
      <c r="GO137">
        <f t="shared" si="181"/>
        <v>0</v>
      </c>
      <c r="GP137">
        <f t="shared" si="182"/>
        <v>0</v>
      </c>
      <c r="GR137">
        <v>0</v>
      </c>
      <c r="GS137">
        <v>3</v>
      </c>
      <c r="GT137">
        <v>0</v>
      </c>
      <c r="GU137" t="s">
        <v>6</v>
      </c>
      <c r="GV137">
        <f t="shared" si="183"/>
        <v>0</v>
      </c>
      <c r="GW137">
        <v>1</v>
      </c>
      <c r="GX137">
        <f t="shared" si="184"/>
        <v>0</v>
      </c>
      <c r="HA137">
        <v>0</v>
      </c>
      <c r="HB137">
        <v>0</v>
      </c>
      <c r="HC137">
        <f t="shared" si="185"/>
        <v>0</v>
      </c>
      <c r="IK137">
        <v>0</v>
      </c>
    </row>
    <row r="138" spans="1:255" x14ac:dyDescent="0.2">
      <c r="A138" s="2">
        <v>17</v>
      </c>
      <c r="B138" s="2">
        <v>1</v>
      </c>
      <c r="C138" s="2">
        <f>ROW(SmtRes!A407)</f>
        <v>407</v>
      </c>
      <c r="D138" s="2">
        <f>ROW(EtalonRes!A420)</f>
        <v>420</v>
      </c>
      <c r="E138" s="2" t="s">
        <v>299</v>
      </c>
      <c r="F138" s="2" t="s">
        <v>300</v>
      </c>
      <c r="G138" s="2" t="s">
        <v>301</v>
      </c>
      <c r="H138" s="2" t="s">
        <v>227</v>
      </c>
      <c r="I138" s="2">
        <f>ROUND(1/100,9)</f>
        <v>0.01</v>
      </c>
      <c r="J138" s="2">
        <v>0</v>
      </c>
      <c r="K138" s="2"/>
      <c r="L138" s="2"/>
      <c r="M138" s="2"/>
      <c r="N138" s="2"/>
      <c r="O138" s="2">
        <f t="shared" si="150"/>
        <v>4.46</v>
      </c>
      <c r="P138" s="2">
        <f t="shared" si="151"/>
        <v>0</v>
      </c>
      <c r="Q138" s="2">
        <f t="shared" si="152"/>
        <v>0.08</v>
      </c>
      <c r="R138" s="2">
        <f t="shared" si="153"/>
        <v>0.04</v>
      </c>
      <c r="S138" s="2">
        <f t="shared" si="154"/>
        <v>4.38</v>
      </c>
      <c r="T138" s="2">
        <f t="shared" si="155"/>
        <v>0</v>
      </c>
      <c r="U138" s="2">
        <f t="shared" si="156"/>
        <v>0.51300000000000001</v>
      </c>
      <c r="V138" s="2">
        <f t="shared" si="157"/>
        <v>2.6000000000000003E-3</v>
      </c>
      <c r="W138" s="2">
        <f t="shared" si="158"/>
        <v>0</v>
      </c>
      <c r="X138" s="2">
        <f t="shared" si="159"/>
        <v>3.27</v>
      </c>
      <c r="Y138" s="2">
        <f t="shared" si="160"/>
        <v>2.21</v>
      </c>
      <c r="Z138" s="2"/>
      <c r="AA138" s="2">
        <v>16784195</v>
      </c>
      <c r="AB138" s="2">
        <f t="shared" si="161"/>
        <v>445.72</v>
      </c>
      <c r="AC138" s="2">
        <f t="shared" si="162"/>
        <v>0</v>
      </c>
      <c r="AD138" s="2">
        <f t="shared" si="186"/>
        <v>8.1300000000000008</v>
      </c>
      <c r="AE138" s="2">
        <f t="shared" si="187"/>
        <v>3.51</v>
      </c>
      <c r="AF138" s="2">
        <f t="shared" si="187"/>
        <v>437.59</v>
      </c>
      <c r="AG138" s="2">
        <f t="shared" si="165"/>
        <v>0</v>
      </c>
      <c r="AH138" s="2">
        <f t="shared" si="188"/>
        <v>51.3</v>
      </c>
      <c r="AI138" s="2">
        <f t="shared" si="188"/>
        <v>0.26</v>
      </c>
      <c r="AJ138" s="2">
        <f t="shared" si="167"/>
        <v>0</v>
      </c>
      <c r="AK138" s="2">
        <v>445.72</v>
      </c>
      <c r="AL138" s="2">
        <v>0</v>
      </c>
      <c r="AM138" s="2">
        <v>8.1300000000000008</v>
      </c>
      <c r="AN138" s="2">
        <v>3.51</v>
      </c>
      <c r="AO138" s="2">
        <v>437.59</v>
      </c>
      <c r="AP138" s="2">
        <v>0</v>
      </c>
      <c r="AQ138" s="2">
        <v>51.3</v>
      </c>
      <c r="AR138" s="2">
        <v>0.26</v>
      </c>
      <c r="AS138" s="2">
        <v>0</v>
      </c>
      <c r="AT138" s="2">
        <v>74</v>
      </c>
      <c r="AU138" s="2">
        <v>50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0</v>
      </c>
      <c r="BI138" s="2">
        <v>1</v>
      </c>
      <c r="BJ138" s="2" t="s">
        <v>302</v>
      </c>
      <c r="BK138" s="2"/>
      <c r="BL138" s="2"/>
      <c r="BM138" s="2">
        <v>65001</v>
      </c>
      <c r="BN138" s="2">
        <v>0</v>
      </c>
      <c r="BO138" s="2" t="s">
        <v>6</v>
      </c>
      <c r="BP138" s="2">
        <v>0</v>
      </c>
      <c r="BQ138" s="2">
        <v>6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74</v>
      </c>
      <c r="CA138" s="2">
        <v>50</v>
      </c>
      <c r="CB138" s="2"/>
      <c r="CC138" s="2"/>
      <c r="CD138" s="2"/>
      <c r="CE138" s="2">
        <v>0</v>
      </c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6</v>
      </c>
      <c r="CO138" s="2">
        <v>0</v>
      </c>
      <c r="CP138" s="2">
        <f t="shared" si="168"/>
        <v>4.46</v>
      </c>
      <c r="CQ138" s="2">
        <f t="shared" si="169"/>
        <v>0</v>
      </c>
      <c r="CR138" s="2">
        <f t="shared" si="170"/>
        <v>8.1300000000000008</v>
      </c>
      <c r="CS138" s="2">
        <f t="shared" si="171"/>
        <v>3.51</v>
      </c>
      <c r="CT138" s="2">
        <f t="shared" si="172"/>
        <v>437.59</v>
      </c>
      <c r="CU138" s="2">
        <f t="shared" si="173"/>
        <v>0</v>
      </c>
      <c r="CV138" s="2">
        <f t="shared" si="174"/>
        <v>51.3</v>
      </c>
      <c r="CW138" s="2">
        <f t="shared" si="175"/>
        <v>0.26</v>
      </c>
      <c r="CX138" s="2">
        <f t="shared" si="176"/>
        <v>0</v>
      </c>
      <c r="CY138" s="2">
        <f t="shared" si="177"/>
        <v>3.2707999999999999</v>
      </c>
      <c r="CZ138" s="2">
        <f t="shared" si="178"/>
        <v>2.21</v>
      </c>
      <c r="DA138" s="2"/>
      <c r="DB138" s="2"/>
      <c r="DC138" s="2" t="s">
        <v>6</v>
      </c>
      <c r="DD138" s="2" t="s">
        <v>6</v>
      </c>
      <c r="DE138" s="2" t="s">
        <v>6</v>
      </c>
      <c r="DF138" s="2" t="s">
        <v>6</v>
      </c>
      <c r="DG138" s="2" t="s">
        <v>6</v>
      </c>
      <c r="DH138" s="2" t="s">
        <v>6</v>
      </c>
      <c r="DI138" s="2" t="s">
        <v>6</v>
      </c>
      <c r="DJ138" s="2" t="s">
        <v>6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1013</v>
      </c>
      <c r="DV138" s="2" t="s">
        <v>227</v>
      </c>
      <c r="DW138" s="2" t="s">
        <v>227</v>
      </c>
      <c r="DX138" s="2">
        <v>1</v>
      </c>
      <c r="DY138" s="2"/>
      <c r="DZ138" s="2"/>
      <c r="EA138" s="2"/>
      <c r="EB138" s="2"/>
      <c r="EC138" s="2"/>
      <c r="ED138" s="2"/>
      <c r="EE138" s="2">
        <v>16510574</v>
      </c>
      <c r="EF138" s="2">
        <v>6</v>
      </c>
      <c r="EG138" s="2" t="s">
        <v>90</v>
      </c>
      <c r="EH138" s="2">
        <v>0</v>
      </c>
      <c r="EI138" s="2" t="s">
        <v>6</v>
      </c>
      <c r="EJ138" s="2">
        <v>1</v>
      </c>
      <c r="EK138" s="2">
        <v>65001</v>
      </c>
      <c r="EL138" s="2" t="s">
        <v>283</v>
      </c>
      <c r="EM138" s="2" t="s">
        <v>284</v>
      </c>
      <c r="EN138" s="2"/>
      <c r="EO138" s="2" t="s">
        <v>6</v>
      </c>
      <c r="EP138" s="2"/>
      <c r="EQ138" s="2">
        <v>0</v>
      </c>
      <c r="ER138" s="2">
        <v>445.72</v>
      </c>
      <c r="ES138" s="2">
        <v>0</v>
      </c>
      <c r="ET138" s="2">
        <v>8.1300000000000008</v>
      </c>
      <c r="EU138" s="2">
        <v>3.51</v>
      </c>
      <c r="EV138" s="2">
        <v>437.59</v>
      </c>
      <c r="EW138" s="2">
        <v>51.3</v>
      </c>
      <c r="EX138" s="2">
        <v>0.26</v>
      </c>
      <c r="EY138" s="2">
        <v>0</v>
      </c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48"/>
        <v>0</v>
      </c>
      <c r="FS138" s="2">
        <v>0</v>
      </c>
      <c r="FT138" s="2"/>
      <c r="FU138" s="2"/>
      <c r="FV138" s="2"/>
      <c r="FW138" s="2"/>
      <c r="FX138" s="2">
        <v>74</v>
      </c>
      <c r="FY138" s="2">
        <v>50</v>
      </c>
      <c r="FZ138" s="2"/>
      <c r="GA138" s="2" t="s">
        <v>6</v>
      </c>
      <c r="GB138" s="2"/>
      <c r="GC138" s="2"/>
      <c r="GD138" s="2">
        <v>0</v>
      </c>
      <c r="GE138" s="2"/>
      <c r="GF138" s="2">
        <v>-869396583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49"/>
        <v>0</v>
      </c>
      <c r="GM138" s="2">
        <f t="shared" si="179"/>
        <v>9.94</v>
      </c>
      <c r="GN138" s="2">
        <f t="shared" si="180"/>
        <v>9.94</v>
      </c>
      <c r="GO138" s="2">
        <f t="shared" si="181"/>
        <v>0</v>
      </c>
      <c r="GP138" s="2">
        <f t="shared" si="182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183"/>
        <v>0</v>
      </c>
      <c r="GW138" s="2">
        <v>1</v>
      </c>
      <c r="GX138" s="2">
        <f t="shared" si="184"/>
        <v>0</v>
      </c>
      <c r="GY138" s="2"/>
      <c r="GZ138" s="2"/>
      <c r="HA138" s="2">
        <v>0</v>
      </c>
      <c r="HB138" s="2">
        <v>0</v>
      </c>
      <c r="HC138" s="2">
        <f t="shared" si="185"/>
        <v>0</v>
      </c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17</v>
      </c>
      <c r="B139">
        <v>1</v>
      </c>
      <c r="C139">
        <f>ROW(SmtRes!A410)</f>
        <v>410</v>
      </c>
      <c r="D139">
        <f>ROW(EtalonRes!A424)</f>
        <v>424</v>
      </c>
      <c r="E139" t="s">
        <v>299</v>
      </c>
      <c r="F139" t="s">
        <v>300</v>
      </c>
      <c r="G139" t="s">
        <v>301</v>
      </c>
      <c r="H139" t="s">
        <v>227</v>
      </c>
      <c r="I139">
        <f>ROUND(1/100,9)</f>
        <v>0.01</v>
      </c>
      <c r="J139">
        <v>0</v>
      </c>
      <c r="O139">
        <f t="shared" si="150"/>
        <v>27.24</v>
      </c>
      <c r="P139">
        <f t="shared" si="151"/>
        <v>0</v>
      </c>
      <c r="Q139">
        <f t="shared" si="152"/>
        <v>0.5</v>
      </c>
      <c r="R139">
        <f t="shared" si="153"/>
        <v>0.21</v>
      </c>
      <c r="S139">
        <f t="shared" si="154"/>
        <v>26.74</v>
      </c>
      <c r="T139">
        <f t="shared" si="155"/>
        <v>0</v>
      </c>
      <c r="U139">
        <f t="shared" si="156"/>
        <v>0.51300000000000001</v>
      </c>
      <c r="V139">
        <f t="shared" si="157"/>
        <v>2.6000000000000003E-3</v>
      </c>
      <c r="W139">
        <f t="shared" si="158"/>
        <v>0</v>
      </c>
      <c r="X139">
        <f t="shared" si="159"/>
        <v>19.940000000000001</v>
      </c>
      <c r="Y139">
        <f t="shared" si="160"/>
        <v>13.48</v>
      </c>
      <c r="AA139">
        <v>16784196</v>
      </c>
      <c r="AB139">
        <f t="shared" si="161"/>
        <v>445.72</v>
      </c>
      <c r="AC139">
        <f t="shared" si="162"/>
        <v>0</v>
      </c>
      <c r="AD139">
        <f t="shared" si="186"/>
        <v>8.1300000000000008</v>
      </c>
      <c r="AE139">
        <f t="shared" si="187"/>
        <v>3.51</v>
      </c>
      <c r="AF139">
        <f t="shared" si="187"/>
        <v>437.59</v>
      </c>
      <c r="AG139">
        <f t="shared" si="165"/>
        <v>0</v>
      </c>
      <c r="AH139">
        <f t="shared" si="188"/>
        <v>51.3</v>
      </c>
      <c r="AI139">
        <f t="shared" si="188"/>
        <v>0.26</v>
      </c>
      <c r="AJ139">
        <f t="shared" si="167"/>
        <v>0</v>
      </c>
      <c r="AK139">
        <v>445.72</v>
      </c>
      <c r="AL139">
        <v>0</v>
      </c>
      <c r="AM139">
        <v>8.1300000000000008</v>
      </c>
      <c r="AN139">
        <v>3.51</v>
      </c>
      <c r="AO139">
        <v>437.59</v>
      </c>
      <c r="AP139">
        <v>0</v>
      </c>
      <c r="AQ139">
        <v>51.3</v>
      </c>
      <c r="AR139">
        <v>0.26</v>
      </c>
      <c r="AS139">
        <v>0</v>
      </c>
      <c r="AT139">
        <v>74</v>
      </c>
      <c r="AU139">
        <v>50</v>
      </c>
      <c r="AV139">
        <v>1</v>
      </c>
      <c r="AW139">
        <v>1</v>
      </c>
      <c r="AZ139">
        <v>6.11</v>
      </c>
      <c r="BA139">
        <v>6.11</v>
      </c>
      <c r="BB139">
        <v>6.11</v>
      </c>
      <c r="BC139">
        <v>6.11</v>
      </c>
      <c r="BD139" t="s">
        <v>6</v>
      </c>
      <c r="BE139" t="s">
        <v>6</v>
      </c>
      <c r="BF139" t="s">
        <v>6</v>
      </c>
      <c r="BG139" t="s">
        <v>6</v>
      </c>
      <c r="BH139">
        <v>0</v>
      </c>
      <c r="BI139">
        <v>1</v>
      </c>
      <c r="BJ139" t="s">
        <v>302</v>
      </c>
      <c r="BM139">
        <v>65001</v>
      </c>
      <c r="BN139">
        <v>0</v>
      </c>
      <c r="BO139" t="s">
        <v>6</v>
      </c>
      <c r="BP139">
        <v>0</v>
      </c>
      <c r="BQ139">
        <v>6</v>
      </c>
      <c r="BR139">
        <v>0</v>
      </c>
      <c r="BS139">
        <v>6.11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74</v>
      </c>
      <c r="CA139">
        <v>50</v>
      </c>
      <c r="CE139">
        <v>0</v>
      </c>
      <c r="CF139">
        <v>0</v>
      </c>
      <c r="CG139">
        <v>0</v>
      </c>
      <c r="CM139">
        <v>0</v>
      </c>
      <c r="CN139" t="s">
        <v>6</v>
      </c>
      <c r="CO139">
        <v>0</v>
      </c>
      <c r="CP139">
        <f t="shared" si="168"/>
        <v>27.24</v>
      </c>
      <c r="CQ139">
        <f t="shared" si="169"/>
        <v>0</v>
      </c>
      <c r="CR139">
        <f t="shared" si="170"/>
        <v>49.674300000000009</v>
      </c>
      <c r="CS139">
        <f t="shared" si="171"/>
        <v>21.446100000000001</v>
      </c>
      <c r="CT139">
        <f t="shared" si="172"/>
        <v>2673.6749</v>
      </c>
      <c r="CU139">
        <f t="shared" si="173"/>
        <v>0</v>
      </c>
      <c r="CV139">
        <f t="shared" si="174"/>
        <v>51.3</v>
      </c>
      <c r="CW139">
        <f t="shared" si="175"/>
        <v>0.26</v>
      </c>
      <c r="CX139">
        <f t="shared" si="176"/>
        <v>0</v>
      </c>
      <c r="CY139">
        <f t="shared" si="177"/>
        <v>19.942999999999998</v>
      </c>
      <c r="CZ139">
        <f t="shared" si="178"/>
        <v>13.475</v>
      </c>
      <c r="DC139" t="s">
        <v>6</v>
      </c>
      <c r="DD139" t="s">
        <v>6</v>
      </c>
      <c r="DE139" t="s">
        <v>6</v>
      </c>
      <c r="DF139" t="s">
        <v>6</v>
      </c>
      <c r="DG139" t="s">
        <v>6</v>
      </c>
      <c r="DH139" t="s">
        <v>6</v>
      </c>
      <c r="DI139" t="s">
        <v>6</v>
      </c>
      <c r="DJ139" t="s">
        <v>6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1013</v>
      </c>
      <c r="DV139" t="s">
        <v>227</v>
      </c>
      <c r="DW139" t="s">
        <v>227</v>
      </c>
      <c r="DX139">
        <v>1</v>
      </c>
      <c r="EE139">
        <v>16510574</v>
      </c>
      <c r="EF139">
        <v>6</v>
      </c>
      <c r="EG139" t="s">
        <v>90</v>
      </c>
      <c r="EH139">
        <v>0</v>
      </c>
      <c r="EI139" t="s">
        <v>6</v>
      </c>
      <c r="EJ139">
        <v>1</v>
      </c>
      <c r="EK139">
        <v>65001</v>
      </c>
      <c r="EL139" t="s">
        <v>283</v>
      </c>
      <c r="EM139" t="s">
        <v>284</v>
      </c>
      <c r="EO139" t="s">
        <v>6</v>
      </c>
      <c r="EQ139">
        <v>0</v>
      </c>
      <c r="ER139">
        <v>445.72</v>
      </c>
      <c r="ES139">
        <v>0</v>
      </c>
      <c r="ET139">
        <v>8.1300000000000008</v>
      </c>
      <c r="EU139">
        <v>3.51</v>
      </c>
      <c r="EV139">
        <v>437.59</v>
      </c>
      <c r="EW139">
        <v>51.3</v>
      </c>
      <c r="EX139">
        <v>0.26</v>
      </c>
      <c r="EY139">
        <v>0</v>
      </c>
      <c r="FQ139">
        <v>0</v>
      </c>
      <c r="FR139">
        <f t="shared" si="148"/>
        <v>0</v>
      </c>
      <c r="FS139">
        <v>0</v>
      </c>
      <c r="FX139">
        <v>74</v>
      </c>
      <c r="FY139">
        <v>50</v>
      </c>
      <c r="GA139" t="s">
        <v>6</v>
      </c>
      <c r="GD139">
        <v>0</v>
      </c>
      <c r="GF139">
        <v>-869396583</v>
      </c>
      <c r="GG139">
        <v>1</v>
      </c>
      <c r="GH139">
        <v>1</v>
      </c>
      <c r="GI139">
        <v>4</v>
      </c>
      <c r="GJ139">
        <v>0</v>
      </c>
      <c r="GK139">
        <f>ROUND(R139*(S12)/100,2)</f>
        <v>0</v>
      </c>
      <c r="GL139">
        <f t="shared" si="149"/>
        <v>0</v>
      </c>
      <c r="GM139">
        <f t="shared" si="179"/>
        <v>60.66</v>
      </c>
      <c r="GN139">
        <f t="shared" si="180"/>
        <v>60.66</v>
      </c>
      <c r="GO139">
        <f t="shared" si="181"/>
        <v>0</v>
      </c>
      <c r="GP139">
        <f t="shared" si="182"/>
        <v>0</v>
      </c>
      <c r="GR139">
        <v>0</v>
      </c>
      <c r="GS139">
        <v>3</v>
      </c>
      <c r="GT139">
        <v>0</v>
      </c>
      <c r="GU139" t="s">
        <v>6</v>
      </c>
      <c r="GV139">
        <f t="shared" si="183"/>
        <v>0</v>
      </c>
      <c r="GW139">
        <v>1</v>
      </c>
      <c r="GX139">
        <f t="shared" si="184"/>
        <v>0</v>
      </c>
      <c r="HA139">
        <v>0</v>
      </c>
      <c r="HB139">
        <v>0</v>
      </c>
      <c r="HC139">
        <f t="shared" si="185"/>
        <v>0</v>
      </c>
      <c r="IK139">
        <v>0</v>
      </c>
    </row>
    <row r="140" spans="1:255" x14ac:dyDescent="0.2">
      <c r="A140" s="2">
        <v>17</v>
      </c>
      <c r="B140" s="2">
        <v>1</v>
      </c>
      <c r="C140" s="2">
        <f>ROW(SmtRes!A424)</f>
        <v>424</v>
      </c>
      <c r="D140" s="2">
        <f>ROW(EtalonRes!A439)</f>
        <v>439</v>
      </c>
      <c r="E140" s="2" t="s">
        <v>303</v>
      </c>
      <c r="F140" s="2" t="s">
        <v>304</v>
      </c>
      <c r="G140" s="2" t="s">
        <v>305</v>
      </c>
      <c r="H140" s="2" t="s">
        <v>306</v>
      </c>
      <c r="I140" s="2">
        <f>ROUND(4/10,9)</f>
        <v>0.4</v>
      </c>
      <c r="J140" s="2">
        <v>0</v>
      </c>
      <c r="K140" s="2"/>
      <c r="L140" s="2"/>
      <c r="M140" s="2"/>
      <c r="N140" s="2"/>
      <c r="O140" s="2">
        <f t="shared" si="150"/>
        <v>202.28</v>
      </c>
      <c r="P140" s="2">
        <f t="shared" si="151"/>
        <v>76.67</v>
      </c>
      <c r="Q140" s="2">
        <f t="shared" si="152"/>
        <v>17.82</v>
      </c>
      <c r="R140" s="2">
        <f t="shared" si="153"/>
        <v>4.42</v>
      </c>
      <c r="S140" s="2">
        <f t="shared" si="154"/>
        <v>107.79</v>
      </c>
      <c r="T140" s="2">
        <f t="shared" si="155"/>
        <v>0</v>
      </c>
      <c r="U140" s="2">
        <f t="shared" si="156"/>
        <v>11.3344</v>
      </c>
      <c r="V140" s="2">
        <f t="shared" si="157"/>
        <v>0.35499999999999998</v>
      </c>
      <c r="W140" s="2">
        <f t="shared" si="158"/>
        <v>0</v>
      </c>
      <c r="X140" s="2">
        <f t="shared" si="159"/>
        <v>129.04</v>
      </c>
      <c r="Y140" s="2">
        <f t="shared" si="160"/>
        <v>79.67</v>
      </c>
      <c r="Z140" s="2"/>
      <c r="AA140" s="2">
        <v>16784195</v>
      </c>
      <c r="AB140" s="2">
        <f t="shared" si="161"/>
        <v>505.69</v>
      </c>
      <c r="AC140" s="2">
        <f t="shared" si="162"/>
        <v>191.67</v>
      </c>
      <c r="AD140" s="2">
        <f>ROUND(((((ET140*1.25))-((EU140*1.25)))+AE140),2)</f>
        <v>44.54</v>
      </c>
      <c r="AE140" s="2">
        <f>ROUND(((EU140*1.25)),2)</f>
        <v>11.05</v>
      </c>
      <c r="AF140" s="2">
        <f>ROUND(((EV140*1.15)),2)</f>
        <v>269.48</v>
      </c>
      <c r="AG140" s="2">
        <f t="shared" si="165"/>
        <v>0</v>
      </c>
      <c r="AH140" s="2">
        <f>((EW140*1.15))</f>
        <v>28.335999999999999</v>
      </c>
      <c r="AI140" s="2">
        <f>((EX140*1.25))</f>
        <v>0.88749999999999996</v>
      </c>
      <c r="AJ140" s="2">
        <f t="shared" si="167"/>
        <v>0</v>
      </c>
      <c r="AK140" s="2">
        <v>461.63</v>
      </c>
      <c r="AL140" s="2">
        <v>191.67</v>
      </c>
      <c r="AM140" s="2">
        <v>35.630000000000003</v>
      </c>
      <c r="AN140" s="2">
        <v>8.84</v>
      </c>
      <c r="AO140" s="2">
        <v>234.33</v>
      </c>
      <c r="AP140" s="2">
        <v>0</v>
      </c>
      <c r="AQ140" s="2">
        <v>24.64</v>
      </c>
      <c r="AR140" s="2">
        <v>0.71</v>
      </c>
      <c r="AS140" s="2">
        <v>0</v>
      </c>
      <c r="AT140" s="2">
        <v>115</v>
      </c>
      <c r="AU140" s="2">
        <v>71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0</v>
      </c>
      <c r="BI140" s="2">
        <v>1</v>
      </c>
      <c r="BJ140" s="2" t="s">
        <v>307</v>
      </c>
      <c r="BK140" s="2"/>
      <c r="BL140" s="2"/>
      <c r="BM140" s="2">
        <v>17001</v>
      </c>
      <c r="BN140" s="2">
        <v>0</v>
      </c>
      <c r="BO140" s="2" t="s">
        <v>6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128</v>
      </c>
      <c r="CA140" s="2">
        <v>83</v>
      </c>
      <c r="CB140" s="2"/>
      <c r="CC140" s="2"/>
      <c r="CD140" s="2"/>
      <c r="CE140" s="2">
        <v>0</v>
      </c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824</v>
      </c>
      <c r="CO140" s="2">
        <v>0</v>
      </c>
      <c r="CP140" s="2">
        <f t="shared" si="168"/>
        <v>202.28000000000003</v>
      </c>
      <c r="CQ140" s="2">
        <f t="shared" si="169"/>
        <v>191.67</v>
      </c>
      <c r="CR140" s="2">
        <f t="shared" si="170"/>
        <v>44.54</v>
      </c>
      <c r="CS140" s="2">
        <f t="shared" si="171"/>
        <v>11.05</v>
      </c>
      <c r="CT140" s="2">
        <f t="shared" si="172"/>
        <v>269.48</v>
      </c>
      <c r="CU140" s="2">
        <f t="shared" si="173"/>
        <v>0</v>
      </c>
      <c r="CV140" s="2">
        <f t="shared" si="174"/>
        <v>28.335999999999999</v>
      </c>
      <c r="CW140" s="2">
        <f t="shared" si="175"/>
        <v>0.88749999999999996</v>
      </c>
      <c r="CX140" s="2">
        <f t="shared" si="176"/>
        <v>0</v>
      </c>
      <c r="CY140" s="2">
        <f t="shared" si="177"/>
        <v>129.04150000000001</v>
      </c>
      <c r="CZ140" s="2">
        <f t="shared" si="178"/>
        <v>79.669100000000014</v>
      </c>
      <c r="DA140" s="2"/>
      <c r="DB140" s="2"/>
      <c r="DC140" s="2" t="s">
        <v>6</v>
      </c>
      <c r="DD140" s="2" t="s">
        <v>6</v>
      </c>
      <c r="DE140" s="2" t="s">
        <v>27</v>
      </c>
      <c r="DF140" s="2" t="s">
        <v>27</v>
      </c>
      <c r="DG140" s="2" t="s">
        <v>28</v>
      </c>
      <c r="DH140" s="2" t="s">
        <v>6</v>
      </c>
      <c r="DI140" s="2" t="s">
        <v>28</v>
      </c>
      <c r="DJ140" s="2" t="s">
        <v>27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1013</v>
      </c>
      <c r="DV140" s="2" t="s">
        <v>306</v>
      </c>
      <c r="DW140" s="2" t="s">
        <v>306</v>
      </c>
      <c r="DX140" s="2">
        <v>1</v>
      </c>
      <c r="DY140" s="2"/>
      <c r="DZ140" s="2"/>
      <c r="EA140" s="2"/>
      <c r="EB140" s="2"/>
      <c r="EC140" s="2"/>
      <c r="ED140" s="2"/>
      <c r="EE140" s="2">
        <v>16510515</v>
      </c>
      <c r="EF140" s="2">
        <v>2</v>
      </c>
      <c r="EG140" s="2" t="s">
        <v>18</v>
      </c>
      <c r="EH140" s="2">
        <v>0</v>
      </c>
      <c r="EI140" s="2" t="s">
        <v>6</v>
      </c>
      <c r="EJ140" s="2">
        <v>1</v>
      </c>
      <c r="EK140" s="2">
        <v>17001</v>
      </c>
      <c r="EL140" s="2" t="s">
        <v>308</v>
      </c>
      <c r="EM140" s="2" t="s">
        <v>309</v>
      </c>
      <c r="EN140" s="2"/>
      <c r="EO140" s="2" t="s">
        <v>31</v>
      </c>
      <c r="EP140" s="2"/>
      <c r="EQ140" s="2">
        <v>0</v>
      </c>
      <c r="ER140" s="2">
        <v>461.63</v>
      </c>
      <c r="ES140" s="2">
        <v>191.67</v>
      </c>
      <c r="ET140" s="2">
        <v>35.630000000000003</v>
      </c>
      <c r="EU140" s="2">
        <v>8.84</v>
      </c>
      <c r="EV140" s="2">
        <v>234.33</v>
      </c>
      <c r="EW140" s="2">
        <v>24.64</v>
      </c>
      <c r="EX140" s="2">
        <v>0.71</v>
      </c>
      <c r="EY140" s="2">
        <v>0</v>
      </c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48"/>
        <v>0</v>
      </c>
      <c r="FS140" s="2">
        <v>0</v>
      </c>
      <c r="FT140" s="2" t="s">
        <v>21</v>
      </c>
      <c r="FU140" s="2" t="s">
        <v>22</v>
      </c>
      <c r="FV140" s="2"/>
      <c r="FW140" s="2"/>
      <c r="FX140" s="2">
        <v>115.2</v>
      </c>
      <c r="FY140" s="2">
        <v>70.55</v>
      </c>
      <c r="FZ140" s="2"/>
      <c r="GA140" s="2" t="s">
        <v>6</v>
      </c>
      <c r="GB140" s="2"/>
      <c r="GC140" s="2"/>
      <c r="GD140" s="2">
        <v>0</v>
      </c>
      <c r="GE140" s="2"/>
      <c r="GF140" s="2">
        <v>316104546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49"/>
        <v>0</v>
      </c>
      <c r="GM140" s="2">
        <f t="shared" si="179"/>
        <v>410.99</v>
      </c>
      <c r="GN140" s="2">
        <f t="shared" si="180"/>
        <v>410.99</v>
      </c>
      <c r="GO140" s="2">
        <f t="shared" si="181"/>
        <v>0</v>
      </c>
      <c r="GP140" s="2">
        <f t="shared" si="182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183"/>
        <v>0</v>
      </c>
      <c r="GW140" s="2">
        <v>1</v>
      </c>
      <c r="GX140" s="2">
        <f t="shared" si="184"/>
        <v>0</v>
      </c>
      <c r="GY140" s="2"/>
      <c r="GZ140" s="2"/>
      <c r="HA140" s="2">
        <v>0</v>
      </c>
      <c r="HB140" s="2">
        <v>0</v>
      </c>
      <c r="HC140" s="2">
        <f t="shared" si="185"/>
        <v>0</v>
      </c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17</v>
      </c>
      <c r="B141">
        <v>1</v>
      </c>
      <c r="C141">
        <f>ROW(SmtRes!A438)</f>
        <v>438</v>
      </c>
      <c r="D141">
        <f>ROW(EtalonRes!A454)</f>
        <v>454</v>
      </c>
      <c r="E141" t="s">
        <v>303</v>
      </c>
      <c r="F141" t="s">
        <v>304</v>
      </c>
      <c r="G141" t="s">
        <v>305</v>
      </c>
      <c r="H141" t="s">
        <v>306</v>
      </c>
      <c r="I141">
        <f>ROUND(4/10,9)</f>
        <v>0.4</v>
      </c>
      <c r="J141">
        <v>0</v>
      </c>
      <c r="O141">
        <f t="shared" si="150"/>
        <v>1235.9100000000001</v>
      </c>
      <c r="P141">
        <f t="shared" si="151"/>
        <v>468.44</v>
      </c>
      <c r="Q141">
        <f t="shared" si="152"/>
        <v>108.86</v>
      </c>
      <c r="R141">
        <f t="shared" si="153"/>
        <v>27.01</v>
      </c>
      <c r="S141">
        <f t="shared" si="154"/>
        <v>658.61</v>
      </c>
      <c r="T141">
        <f t="shared" si="155"/>
        <v>0</v>
      </c>
      <c r="U141">
        <f t="shared" si="156"/>
        <v>11.3344</v>
      </c>
      <c r="V141">
        <f t="shared" si="157"/>
        <v>0.35499999999999998</v>
      </c>
      <c r="W141">
        <f t="shared" si="158"/>
        <v>0</v>
      </c>
      <c r="X141">
        <f t="shared" si="159"/>
        <v>788.46</v>
      </c>
      <c r="Y141">
        <f t="shared" si="160"/>
        <v>486.79</v>
      </c>
      <c r="AA141">
        <v>16784196</v>
      </c>
      <c r="AB141">
        <f t="shared" si="161"/>
        <v>505.69</v>
      </c>
      <c r="AC141">
        <f t="shared" si="162"/>
        <v>191.67</v>
      </c>
      <c r="AD141">
        <f>ROUND(((((ET141*1.25))-((EU141*1.25)))+AE141),2)</f>
        <v>44.54</v>
      </c>
      <c r="AE141">
        <f>ROUND(((EU141*1.25)),2)</f>
        <v>11.05</v>
      </c>
      <c r="AF141">
        <f>ROUND(((EV141*1.15)),2)</f>
        <v>269.48</v>
      </c>
      <c r="AG141">
        <f t="shared" si="165"/>
        <v>0</v>
      </c>
      <c r="AH141">
        <f>((EW141*1.15))</f>
        <v>28.335999999999999</v>
      </c>
      <c r="AI141">
        <f>((EX141*1.25))</f>
        <v>0.88749999999999996</v>
      </c>
      <c r="AJ141">
        <f t="shared" si="167"/>
        <v>0</v>
      </c>
      <c r="AK141">
        <v>461.63</v>
      </c>
      <c r="AL141">
        <v>191.67</v>
      </c>
      <c r="AM141">
        <v>35.630000000000003</v>
      </c>
      <c r="AN141">
        <v>8.84</v>
      </c>
      <c r="AO141">
        <v>234.33</v>
      </c>
      <c r="AP141">
        <v>0</v>
      </c>
      <c r="AQ141">
        <v>24.64</v>
      </c>
      <c r="AR141">
        <v>0.71</v>
      </c>
      <c r="AS141">
        <v>0</v>
      </c>
      <c r="AT141">
        <v>115</v>
      </c>
      <c r="AU141">
        <v>71</v>
      </c>
      <c r="AV141">
        <v>1</v>
      </c>
      <c r="AW141">
        <v>1</v>
      </c>
      <c r="AZ141">
        <v>6.11</v>
      </c>
      <c r="BA141">
        <v>6.11</v>
      </c>
      <c r="BB141">
        <v>6.11</v>
      </c>
      <c r="BC141">
        <v>6.11</v>
      </c>
      <c r="BD141" t="s">
        <v>6</v>
      </c>
      <c r="BE141" t="s">
        <v>6</v>
      </c>
      <c r="BF141" t="s">
        <v>6</v>
      </c>
      <c r="BG141" t="s">
        <v>6</v>
      </c>
      <c r="BH141">
        <v>0</v>
      </c>
      <c r="BI141">
        <v>1</v>
      </c>
      <c r="BJ141" t="s">
        <v>307</v>
      </c>
      <c r="BM141">
        <v>17001</v>
      </c>
      <c r="BN141">
        <v>0</v>
      </c>
      <c r="BO141" t="s">
        <v>6</v>
      </c>
      <c r="BP141">
        <v>0</v>
      </c>
      <c r="BQ141">
        <v>2</v>
      </c>
      <c r="BR141">
        <v>0</v>
      </c>
      <c r="BS141">
        <v>6.11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128</v>
      </c>
      <c r="CA141">
        <v>83</v>
      </c>
      <c r="CE141">
        <v>0</v>
      </c>
      <c r="CF141">
        <v>0</v>
      </c>
      <c r="CG141">
        <v>0</v>
      </c>
      <c r="CM141">
        <v>0</v>
      </c>
      <c r="CN141" t="s">
        <v>824</v>
      </c>
      <c r="CO141">
        <v>0</v>
      </c>
      <c r="CP141">
        <f t="shared" si="168"/>
        <v>1235.9099999999999</v>
      </c>
      <c r="CQ141">
        <f t="shared" si="169"/>
        <v>1171.1036999999999</v>
      </c>
      <c r="CR141">
        <f t="shared" si="170"/>
        <v>272.13940000000002</v>
      </c>
      <c r="CS141">
        <f t="shared" si="171"/>
        <v>67.515500000000003</v>
      </c>
      <c r="CT141">
        <f t="shared" si="172"/>
        <v>1646.5228000000002</v>
      </c>
      <c r="CU141">
        <f t="shared" si="173"/>
        <v>0</v>
      </c>
      <c r="CV141">
        <f t="shared" si="174"/>
        <v>28.335999999999999</v>
      </c>
      <c r="CW141">
        <f t="shared" si="175"/>
        <v>0.88749999999999996</v>
      </c>
      <c r="CX141">
        <f t="shared" si="176"/>
        <v>0</v>
      </c>
      <c r="CY141">
        <f t="shared" si="177"/>
        <v>788.46300000000008</v>
      </c>
      <c r="CZ141">
        <f t="shared" si="178"/>
        <v>486.79019999999997</v>
      </c>
      <c r="DC141" t="s">
        <v>6</v>
      </c>
      <c r="DD141" t="s">
        <v>6</v>
      </c>
      <c r="DE141" t="s">
        <v>27</v>
      </c>
      <c r="DF141" t="s">
        <v>27</v>
      </c>
      <c r="DG141" t="s">
        <v>28</v>
      </c>
      <c r="DH141" t="s">
        <v>6</v>
      </c>
      <c r="DI141" t="s">
        <v>28</v>
      </c>
      <c r="DJ141" t="s">
        <v>27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1013</v>
      </c>
      <c r="DV141" t="s">
        <v>306</v>
      </c>
      <c r="DW141" t="s">
        <v>306</v>
      </c>
      <c r="DX141">
        <v>1</v>
      </c>
      <c r="EE141">
        <v>16510515</v>
      </c>
      <c r="EF141">
        <v>2</v>
      </c>
      <c r="EG141" t="s">
        <v>18</v>
      </c>
      <c r="EH141">
        <v>0</v>
      </c>
      <c r="EI141" t="s">
        <v>6</v>
      </c>
      <c r="EJ141">
        <v>1</v>
      </c>
      <c r="EK141">
        <v>17001</v>
      </c>
      <c r="EL141" t="s">
        <v>308</v>
      </c>
      <c r="EM141" t="s">
        <v>309</v>
      </c>
      <c r="EO141" t="s">
        <v>31</v>
      </c>
      <c r="EQ141">
        <v>0</v>
      </c>
      <c r="ER141">
        <v>461.63</v>
      </c>
      <c r="ES141">
        <v>191.67</v>
      </c>
      <c r="ET141">
        <v>35.630000000000003</v>
      </c>
      <c r="EU141">
        <v>8.84</v>
      </c>
      <c r="EV141">
        <v>234.33</v>
      </c>
      <c r="EW141">
        <v>24.64</v>
      </c>
      <c r="EX141">
        <v>0.71</v>
      </c>
      <c r="EY141">
        <v>0</v>
      </c>
      <c r="FQ141">
        <v>0</v>
      </c>
      <c r="FR141">
        <f t="shared" si="148"/>
        <v>0</v>
      </c>
      <c r="FS141">
        <v>0</v>
      </c>
      <c r="FT141" t="s">
        <v>21</v>
      </c>
      <c r="FU141" t="s">
        <v>22</v>
      </c>
      <c r="FX141">
        <v>115.2</v>
      </c>
      <c r="FY141">
        <v>70.55</v>
      </c>
      <c r="GA141" t="s">
        <v>6</v>
      </c>
      <c r="GD141">
        <v>0</v>
      </c>
      <c r="GF141">
        <v>316104546</v>
      </c>
      <c r="GG141">
        <v>1</v>
      </c>
      <c r="GH141">
        <v>1</v>
      </c>
      <c r="GI141">
        <v>4</v>
      </c>
      <c r="GJ141">
        <v>0</v>
      </c>
      <c r="GK141">
        <f>ROUND(R141*(S12)/100,2)</f>
        <v>0</v>
      </c>
      <c r="GL141">
        <f t="shared" si="149"/>
        <v>0</v>
      </c>
      <c r="GM141">
        <f t="shared" si="179"/>
        <v>2511.16</v>
      </c>
      <c r="GN141">
        <f t="shared" si="180"/>
        <v>2511.16</v>
      </c>
      <c r="GO141">
        <f t="shared" si="181"/>
        <v>0</v>
      </c>
      <c r="GP141">
        <f t="shared" si="182"/>
        <v>0</v>
      </c>
      <c r="GR141">
        <v>0</v>
      </c>
      <c r="GS141">
        <v>3</v>
      </c>
      <c r="GT141">
        <v>0</v>
      </c>
      <c r="GU141" t="s">
        <v>6</v>
      </c>
      <c r="GV141">
        <f t="shared" si="183"/>
        <v>0</v>
      </c>
      <c r="GW141">
        <v>1</v>
      </c>
      <c r="GX141">
        <f t="shared" si="184"/>
        <v>0</v>
      </c>
      <c r="HA141">
        <v>0</v>
      </c>
      <c r="HB141">
        <v>0</v>
      </c>
      <c r="HC141">
        <f t="shared" si="185"/>
        <v>0</v>
      </c>
      <c r="IK141">
        <v>0</v>
      </c>
    </row>
    <row r="142" spans="1:255" x14ac:dyDescent="0.2">
      <c r="A142" s="2">
        <v>18</v>
      </c>
      <c r="B142" s="2">
        <v>1</v>
      </c>
      <c r="C142" s="2">
        <v>423</v>
      </c>
      <c r="D142" s="2"/>
      <c r="E142" s="2" t="s">
        <v>310</v>
      </c>
      <c r="F142" s="2" t="s">
        <v>311</v>
      </c>
      <c r="G142" s="2" t="s">
        <v>312</v>
      </c>
      <c r="H142" s="2" t="s">
        <v>222</v>
      </c>
      <c r="I142" s="2">
        <f>I140*J142</f>
        <v>4</v>
      </c>
      <c r="J142" s="2">
        <v>10</v>
      </c>
      <c r="K142" s="2"/>
      <c r="L142" s="2"/>
      <c r="M142" s="2"/>
      <c r="N142" s="2"/>
      <c r="O142" s="2">
        <f t="shared" si="150"/>
        <v>1621.96</v>
      </c>
      <c r="P142" s="2">
        <f t="shared" si="151"/>
        <v>1621.96</v>
      </c>
      <c r="Q142" s="2">
        <f t="shared" si="152"/>
        <v>0</v>
      </c>
      <c r="R142" s="2">
        <f t="shared" si="153"/>
        <v>0</v>
      </c>
      <c r="S142" s="2">
        <f t="shared" si="154"/>
        <v>0</v>
      </c>
      <c r="T142" s="2">
        <f t="shared" si="155"/>
        <v>0</v>
      </c>
      <c r="U142" s="2">
        <f t="shared" si="156"/>
        <v>0</v>
      </c>
      <c r="V142" s="2">
        <f t="shared" si="157"/>
        <v>0</v>
      </c>
      <c r="W142" s="2">
        <f t="shared" si="158"/>
        <v>0</v>
      </c>
      <c r="X142" s="2">
        <f t="shared" si="159"/>
        <v>0</v>
      </c>
      <c r="Y142" s="2">
        <f t="shared" si="160"/>
        <v>0</v>
      </c>
      <c r="Z142" s="2"/>
      <c r="AA142" s="2">
        <v>16784195</v>
      </c>
      <c r="AB142" s="2">
        <f t="shared" si="161"/>
        <v>405.49</v>
      </c>
      <c r="AC142" s="2">
        <f t="shared" si="162"/>
        <v>405.49</v>
      </c>
      <c r="AD142" s="2">
        <f t="shared" ref="AD142:AD147" si="189">ROUND((((ET142)-(EU142))+AE142),2)</f>
        <v>0</v>
      </c>
      <c r="AE142" s="2">
        <f t="shared" ref="AE142:AF147" si="190">ROUND((EU142),2)</f>
        <v>0</v>
      </c>
      <c r="AF142" s="2">
        <f t="shared" si="190"/>
        <v>0</v>
      </c>
      <c r="AG142" s="2">
        <f t="shared" si="165"/>
        <v>0</v>
      </c>
      <c r="AH142" s="2">
        <f t="shared" ref="AH142:AI147" si="191">(EW142)</f>
        <v>0</v>
      </c>
      <c r="AI142" s="2">
        <f t="shared" si="191"/>
        <v>0</v>
      </c>
      <c r="AJ142" s="2">
        <f t="shared" si="167"/>
        <v>0</v>
      </c>
      <c r="AK142" s="2">
        <v>405.49</v>
      </c>
      <c r="AL142" s="2">
        <v>405.49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103</v>
      </c>
      <c r="AU142" s="2">
        <v>60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3</v>
      </c>
      <c r="BI142" s="2">
        <v>1</v>
      </c>
      <c r="BJ142" s="2" t="s">
        <v>313</v>
      </c>
      <c r="BK142" s="2"/>
      <c r="BL142" s="2"/>
      <c r="BM142" s="2">
        <v>65007</v>
      </c>
      <c r="BN142" s="2">
        <v>0</v>
      </c>
      <c r="BO142" s="2" t="s">
        <v>6</v>
      </c>
      <c r="BP142" s="2">
        <v>0</v>
      </c>
      <c r="BQ142" s="2">
        <v>6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103</v>
      </c>
      <c r="CA142" s="2">
        <v>60</v>
      </c>
      <c r="CB142" s="2"/>
      <c r="CC142" s="2"/>
      <c r="CD142" s="2"/>
      <c r="CE142" s="2">
        <v>0</v>
      </c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6</v>
      </c>
      <c r="CO142" s="2">
        <v>0</v>
      </c>
      <c r="CP142" s="2">
        <f t="shared" si="168"/>
        <v>1621.96</v>
      </c>
      <c r="CQ142" s="2">
        <f t="shared" si="169"/>
        <v>405.49</v>
      </c>
      <c r="CR142" s="2">
        <f t="shared" si="170"/>
        <v>0</v>
      </c>
      <c r="CS142" s="2">
        <f t="shared" si="171"/>
        <v>0</v>
      </c>
      <c r="CT142" s="2">
        <f t="shared" si="172"/>
        <v>0</v>
      </c>
      <c r="CU142" s="2">
        <f t="shared" si="173"/>
        <v>0</v>
      </c>
      <c r="CV142" s="2">
        <f t="shared" si="174"/>
        <v>0</v>
      </c>
      <c r="CW142" s="2">
        <f t="shared" si="175"/>
        <v>0</v>
      </c>
      <c r="CX142" s="2">
        <f t="shared" si="176"/>
        <v>0</v>
      </c>
      <c r="CY142" s="2">
        <f t="shared" si="177"/>
        <v>0</v>
      </c>
      <c r="CZ142" s="2">
        <f t="shared" si="178"/>
        <v>0</v>
      </c>
      <c r="DA142" s="2"/>
      <c r="DB142" s="2"/>
      <c r="DC142" s="2" t="s">
        <v>6</v>
      </c>
      <c r="DD142" s="2" t="s">
        <v>6</v>
      </c>
      <c r="DE142" s="2" t="s">
        <v>6</v>
      </c>
      <c r="DF142" s="2" t="s">
        <v>6</v>
      </c>
      <c r="DG142" s="2" t="s">
        <v>6</v>
      </c>
      <c r="DH142" s="2" t="s">
        <v>6</v>
      </c>
      <c r="DI142" s="2" t="s">
        <v>6</v>
      </c>
      <c r="DJ142" s="2" t="s">
        <v>6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1013</v>
      </c>
      <c r="DV142" s="2" t="s">
        <v>222</v>
      </c>
      <c r="DW142" s="2" t="s">
        <v>222</v>
      </c>
      <c r="DX142" s="2">
        <v>1</v>
      </c>
      <c r="DY142" s="2"/>
      <c r="DZ142" s="2"/>
      <c r="EA142" s="2"/>
      <c r="EB142" s="2"/>
      <c r="EC142" s="2"/>
      <c r="ED142" s="2"/>
      <c r="EE142" s="2">
        <v>16510586</v>
      </c>
      <c r="EF142" s="2">
        <v>6</v>
      </c>
      <c r="EG142" s="2" t="s">
        <v>90</v>
      </c>
      <c r="EH142" s="2">
        <v>0</v>
      </c>
      <c r="EI142" s="2" t="s">
        <v>6</v>
      </c>
      <c r="EJ142" s="2">
        <v>1</v>
      </c>
      <c r="EK142" s="2">
        <v>65007</v>
      </c>
      <c r="EL142" s="2" t="s">
        <v>314</v>
      </c>
      <c r="EM142" s="2" t="s">
        <v>284</v>
      </c>
      <c r="EN142" s="2"/>
      <c r="EO142" s="2" t="s">
        <v>6</v>
      </c>
      <c r="EP142" s="2"/>
      <c r="EQ142" s="2">
        <v>0</v>
      </c>
      <c r="ER142" s="2">
        <v>405.49</v>
      </c>
      <c r="ES142" s="2">
        <v>405.49</v>
      </c>
      <c r="ET142" s="2">
        <v>0</v>
      </c>
      <c r="EU142" s="2">
        <v>0</v>
      </c>
      <c r="EV142" s="2">
        <v>0</v>
      </c>
      <c r="EW142" s="2">
        <v>0</v>
      </c>
      <c r="EX142" s="2">
        <v>0</v>
      </c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48"/>
        <v>0</v>
      </c>
      <c r="FS142" s="2">
        <v>0</v>
      </c>
      <c r="FT142" s="2"/>
      <c r="FU142" s="2"/>
      <c r="FV142" s="2"/>
      <c r="FW142" s="2"/>
      <c r="FX142" s="2">
        <v>103</v>
      </c>
      <c r="FY142" s="2">
        <v>60</v>
      </c>
      <c r="FZ142" s="2"/>
      <c r="GA142" s="2" t="s">
        <v>6</v>
      </c>
      <c r="GB142" s="2"/>
      <c r="GC142" s="2"/>
      <c r="GD142" s="2">
        <v>0</v>
      </c>
      <c r="GE142" s="2"/>
      <c r="GF142" s="2">
        <v>-1177463349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49"/>
        <v>0</v>
      </c>
      <c r="GM142" s="2">
        <f t="shared" si="179"/>
        <v>1621.96</v>
      </c>
      <c r="GN142" s="2">
        <f t="shared" si="180"/>
        <v>1621.96</v>
      </c>
      <c r="GO142" s="2">
        <f t="shared" si="181"/>
        <v>0</v>
      </c>
      <c r="GP142" s="2">
        <f t="shared" si="182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183"/>
        <v>0</v>
      </c>
      <c r="GW142" s="2">
        <v>1</v>
      </c>
      <c r="GX142" s="2">
        <f t="shared" si="184"/>
        <v>0</v>
      </c>
      <c r="GY142" s="2"/>
      <c r="GZ142" s="2"/>
      <c r="HA142" s="2">
        <v>0</v>
      </c>
      <c r="HB142" s="2">
        <v>0</v>
      </c>
      <c r="HC142" s="2">
        <f t="shared" si="185"/>
        <v>0</v>
      </c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18</v>
      </c>
      <c r="B143">
        <v>1</v>
      </c>
      <c r="C143">
        <v>437</v>
      </c>
      <c r="E143" t="s">
        <v>310</v>
      </c>
      <c r="F143" t="s">
        <v>311</v>
      </c>
      <c r="G143" t="s">
        <v>312</v>
      </c>
      <c r="H143" t="s">
        <v>222</v>
      </c>
      <c r="I143">
        <f>I141*J143</f>
        <v>4</v>
      </c>
      <c r="J143">
        <v>10</v>
      </c>
      <c r="O143">
        <f t="shared" si="150"/>
        <v>9910.18</v>
      </c>
      <c r="P143">
        <f t="shared" si="151"/>
        <v>9910.18</v>
      </c>
      <c r="Q143">
        <f t="shared" si="152"/>
        <v>0</v>
      </c>
      <c r="R143">
        <f t="shared" si="153"/>
        <v>0</v>
      </c>
      <c r="S143">
        <f t="shared" si="154"/>
        <v>0</v>
      </c>
      <c r="T143">
        <f t="shared" si="155"/>
        <v>0</v>
      </c>
      <c r="U143">
        <f t="shared" si="156"/>
        <v>0</v>
      </c>
      <c r="V143">
        <f t="shared" si="157"/>
        <v>0</v>
      </c>
      <c r="W143">
        <f t="shared" si="158"/>
        <v>0</v>
      </c>
      <c r="X143">
        <f t="shared" si="159"/>
        <v>0</v>
      </c>
      <c r="Y143">
        <f t="shared" si="160"/>
        <v>0</v>
      </c>
      <c r="AA143">
        <v>16784196</v>
      </c>
      <c r="AB143">
        <f t="shared" si="161"/>
        <v>405.49</v>
      </c>
      <c r="AC143">
        <f t="shared" si="162"/>
        <v>405.49</v>
      </c>
      <c r="AD143">
        <f t="shared" si="189"/>
        <v>0</v>
      </c>
      <c r="AE143">
        <f t="shared" si="190"/>
        <v>0</v>
      </c>
      <c r="AF143">
        <f t="shared" si="190"/>
        <v>0</v>
      </c>
      <c r="AG143">
        <f t="shared" si="165"/>
        <v>0</v>
      </c>
      <c r="AH143">
        <f t="shared" si="191"/>
        <v>0</v>
      </c>
      <c r="AI143">
        <f t="shared" si="191"/>
        <v>0</v>
      </c>
      <c r="AJ143">
        <f t="shared" si="167"/>
        <v>0</v>
      </c>
      <c r="AK143">
        <v>405.49</v>
      </c>
      <c r="AL143">
        <v>405.49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103</v>
      </c>
      <c r="AU143">
        <v>60</v>
      </c>
      <c r="AV143">
        <v>1</v>
      </c>
      <c r="AW143">
        <v>1</v>
      </c>
      <c r="AZ143">
        <v>6.11</v>
      </c>
      <c r="BA143">
        <v>1</v>
      </c>
      <c r="BB143">
        <v>1</v>
      </c>
      <c r="BC143">
        <v>6.11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313</v>
      </c>
      <c r="BM143">
        <v>65007</v>
      </c>
      <c r="BN143">
        <v>0</v>
      </c>
      <c r="BO143" t="s">
        <v>6</v>
      </c>
      <c r="BP143">
        <v>0</v>
      </c>
      <c r="BQ143">
        <v>6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103</v>
      </c>
      <c r="CA143">
        <v>60</v>
      </c>
      <c r="CE143">
        <v>0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168"/>
        <v>9910.18</v>
      </c>
      <c r="CQ143">
        <f t="shared" si="169"/>
        <v>2477.5439000000001</v>
      </c>
      <c r="CR143">
        <f t="shared" si="170"/>
        <v>0</v>
      </c>
      <c r="CS143">
        <f t="shared" si="171"/>
        <v>0</v>
      </c>
      <c r="CT143">
        <f t="shared" si="172"/>
        <v>0</v>
      </c>
      <c r="CU143">
        <f t="shared" si="173"/>
        <v>0</v>
      </c>
      <c r="CV143">
        <f t="shared" si="174"/>
        <v>0</v>
      </c>
      <c r="CW143">
        <f t="shared" si="175"/>
        <v>0</v>
      </c>
      <c r="CX143">
        <f t="shared" si="176"/>
        <v>0</v>
      </c>
      <c r="CY143">
        <f t="shared" si="177"/>
        <v>0</v>
      </c>
      <c r="CZ143">
        <f t="shared" si="178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1013</v>
      </c>
      <c r="DV143" t="s">
        <v>222</v>
      </c>
      <c r="DW143" t="s">
        <v>222</v>
      </c>
      <c r="DX143">
        <v>1</v>
      </c>
      <c r="EE143">
        <v>16510586</v>
      </c>
      <c r="EF143">
        <v>6</v>
      </c>
      <c r="EG143" t="s">
        <v>90</v>
      </c>
      <c r="EH143">
        <v>0</v>
      </c>
      <c r="EI143" t="s">
        <v>6</v>
      </c>
      <c r="EJ143">
        <v>1</v>
      </c>
      <c r="EK143">
        <v>65007</v>
      </c>
      <c r="EL143" t="s">
        <v>314</v>
      </c>
      <c r="EM143" t="s">
        <v>284</v>
      </c>
      <c r="EO143" t="s">
        <v>6</v>
      </c>
      <c r="EQ143">
        <v>0</v>
      </c>
      <c r="ER143">
        <v>405.49</v>
      </c>
      <c r="ES143">
        <v>405.49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48"/>
        <v>0</v>
      </c>
      <c r="FS143">
        <v>0</v>
      </c>
      <c r="FX143">
        <v>103</v>
      </c>
      <c r="FY143">
        <v>60</v>
      </c>
      <c r="GA143" t="s">
        <v>6</v>
      </c>
      <c r="GD143">
        <v>0</v>
      </c>
      <c r="GF143">
        <v>-1177463349</v>
      </c>
      <c r="GG143">
        <v>1</v>
      </c>
      <c r="GH143">
        <v>1</v>
      </c>
      <c r="GI143">
        <v>4</v>
      </c>
      <c r="GJ143">
        <v>0</v>
      </c>
      <c r="GK143">
        <f>ROUND(R143*(S12)/100,2)</f>
        <v>0</v>
      </c>
      <c r="GL143">
        <f t="shared" si="149"/>
        <v>0</v>
      </c>
      <c r="GM143">
        <f t="shared" si="179"/>
        <v>9910.18</v>
      </c>
      <c r="GN143">
        <f t="shared" si="180"/>
        <v>9910.18</v>
      </c>
      <c r="GO143">
        <f t="shared" si="181"/>
        <v>0</v>
      </c>
      <c r="GP143">
        <f t="shared" si="182"/>
        <v>0</v>
      </c>
      <c r="GR143">
        <v>0</v>
      </c>
      <c r="GS143">
        <v>3</v>
      </c>
      <c r="GT143">
        <v>0</v>
      </c>
      <c r="GU143" t="s">
        <v>6</v>
      </c>
      <c r="GV143">
        <f t="shared" si="183"/>
        <v>0</v>
      </c>
      <c r="GW143">
        <v>1</v>
      </c>
      <c r="GX143">
        <f t="shared" si="184"/>
        <v>0</v>
      </c>
      <c r="HA143">
        <v>0</v>
      </c>
      <c r="HB143">
        <v>0</v>
      </c>
      <c r="HC143">
        <f t="shared" si="185"/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424</v>
      </c>
      <c r="D144" s="2"/>
      <c r="E144" s="2" t="s">
        <v>315</v>
      </c>
      <c r="F144" s="2" t="s">
        <v>316</v>
      </c>
      <c r="G144" s="2" t="s">
        <v>317</v>
      </c>
      <c r="H144" s="2" t="s">
        <v>222</v>
      </c>
      <c r="I144" s="2">
        <f>I140*J144</f>
        <v>4</v>
      </c>
      <c r="J144" s="2">
        <v>10</v>
      </c>
      <c r="K144" s="2"/>
      <c r="L144" s="2"/>
      <c r="M144" s="2"/>
      <c r="N144" s="2"/>
      <c r="O144" s="2">
        <f t="shared" si="150"/>
        <v>793.2</v>
      </c>
      <c r="P144" s="2">
        <f t="shared" si="151"/>
        <v>793.2</v>
      </c>
      <c r="Q144" s="2">
        <f t="shared" si="152"/>
        <v>0</v>
      </c>
      <c r="R144" s="2">
        <f t="shared" si="153"/>
        <v>0</v>
      </c>
      <c r="S144" s="2">
        <f t="shared" si="154"/>
        <v>0</v>
      </c>
      <c r="T144" s="2">
        <f t="shared" si="155"/>
        <v>0</v>
      </c>
      <c r="U144" s="2">
        <f t="shared" si="156"/>
        <v>0</v>
      </c>
      <c r="V144" s="2">
        <f t="shared" si="157"/>
        <v>0</v>
      </c>
      <c r="W144" s="2">
        <f t="shared" si="158"/>
        <v>0</v>
      </c>
      <c r="X144" s="2">
        <f t="shared" si="159"/>
        <v>0</v>
      </c>
      <c r="Y144" s="2">
        <f t="shared" si="160"/>
        <v>0</v>
      </c>
      <c r="Z144" s="2"/>
      <c r="AA144" s="2">
        <v>16784195</v>
      </c>
      <c r="AB144" s="2">
        <f t="shared" si="161"/>
        <v>198.3</v>
      </c>
      <c r="AC144" s="2">
        <f t="shared" si="162"/>
        <v>198.3</v>
      </c>
      <c r="AD144" s="2">
        <f t="shared" si="189"/>
        <v>0</v>
      </c>
      <c r="AE144" s="2">
        <f t="shared" si="190"/>
        <v>0</v>
      </c>
      <c r="AF144" s="2">
        <f t="shared" si="190"/>
        <v>0</v>
      </c>
      <c r="AG144" s="2">
        <f t="shared" si="165"/>
        <v>0</v>
      </c>
      <c r="AH144" s="2">
        <f t="shared" si="191"/>
        <v>0</v>
      </c>
      <c r="AI144" s="2">
        <f t="shared" si="191"/>
        <v>0</v>
      </c>
      <c r="AJ144" s="2">
        <f t="shared" si="167"/>
        <v>0</v>
      </c>
      <c r="AK144" s="2">
        <v>198.3</v>
      </c>
      <c r="AL144" s="2">
        <v>198.3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103</v>
      </c>
      <c r="AU144" s="2">
        <v>60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3</v>
      </c>
      <c r="BI144" s="2">
        <v>1</v>
      </c>
      <c r="BJ144" s="2" t="s">
        <v>318</v>
      </c>
      <c r="BK144" s="2"/>
      <c r="BL144" s="2"/>
      <c r="BM144" s="2">
        <v>65007</v>
      </c>
      <c r="BN144" s="2">
        <v>0</v>
      </c>
      <c r="BO144" s="2" t="s">
        <v>6</v>
      </c>
      <c r="BP144" s="2">
        <v>0</v>
      </c>
      <c r="BQ144" s="2">
        <v>6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103</v>
      </c>
      <c r="CA144" s="2">
        <v>60</v>
      </c>
      <c r="CB144" s="2"/>
      <c r="CC144" s="2"/>
      <c r="CD144" s="2"/>
      <c r="CE144" s="2">
        <v>0</v>
      </c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6</v>
      </c>
      <c r="CO144" s="2">
        <v>0</v>
      </c>
      <c r="CP144" s="2">
        <f t="shared" si="168"/>
        <v>793.2</v>
      </c>
      <c r="CQ144" s="2">
        <f t="shared" si="169"/>
        <v>198.3</v>
      </c>
      <c r="CR144" s="2">
        <f t="shared" si="170"/>
        <v>0</v>
      </c>
      <c r="CS144" s="2">
        <f t="shared" si="171"/>
        <v>0</v>
      </c>
      <c r="CT144" s="2">
        <f t="shared" si="172"/>
        <v>0</v>
      </c>
      <c r="CU144" s="2">
        <f t="shared" si="173"/>
        <v>0</v>
      </c>
      <c r="CV144" s="2">
        <f t="shared" si="174"/>
        <v>0</v>
      </c>
      <c r="CW144" s="2">
        <f t="shared" si="175"/>
        <v>0</v>
      </c>
      <c r="CX144" s="2">
        <f t="shared" si="176"/>
        <v>0</v>
      </c>
      <c r="CY144" s="2">
        <f t="shared" si="177"/>
        <v>0</v>
      </c>
      <c r="CZ144" s="2">
        <f t="shared" si="178"/>
        <v>0</v>
      </c>
      <c r="DA144" s="2"/>
      <c r="DB144" s="2"/>
      <c r="DC144" s="2" t="s">
        <v>6</v>
      </c>
      <c r="DD144" s="2" t="s">
        <v>6</v>
      </c>
      <c r="DE144" s="2" t="s">
        <v>6</v>
      </c>
      <c r="DF144" s="2" t="s">
        <v>6</v>
      </c>
      <c r="DG144" s="2" t="s">
        <v>6</v>
      </c>
      <c r="DH144" s="2" t="s">
        <v>6</v>
      </c>
      <c r="DI144" s="2" t="s">
        <v>6</v>
      </c>
      <c r="DJ144" s="2" t="s">
        <v>6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1013</v>
      </c>
      <c r="DV144" s="2" t="s">
        <v>222</v>
      </c>
      <c r="DW144" s="2" t="s">
        <v>222</v>
      </c>
      <c r="DX144" s="2">
        <v>1</v>
      </c>
      <c r="DY144" s="2"/>
      <c r="DZ144" s="2"/>
      <c r="EA144" s="2"/>
      <c r="EB144" s="2"/>
      <c r="EC144" s="2"/>
      <c r="ED144" s="2"/>
      <c r="EE144" s="2">
        <v>16510586</v>
      </c>
      <c r="EF144" s="2">
        <v>6</v>
      </c>
      <c r="EG144" s="2" t="s">
        <v>90</v>
      </c>
      <c r="EH144" s="2">
        <v>0</v>
      </c>
      <c r="EI144" s="2" t="s">
        <v>6</v>
      </c>
      <c r="EJ144" s="2">
        <v>1</v>
      </c>
      <c r="EK144" s="2">
        <v>65007</v>
      </c>
      <c r="EL144" s="2" t="s">
        <v>314</v>
      </c>
      <c r="EM144" s="2" t="s">
        <v>284</v>
      </c>
      <c r="EN144" s="2"/>
      <c r="EO144" s="2" t="s">
        <v>6</v>
      </c>
      <c r="EP144" s="2"/>
      <c r="EQ144" s="2">
        <v>0</v>
      </c>
      <c r="ER144" s="2">
        <v>198.3</v>
      </c>
      <c r="ES144" s="2">
        <v>198.3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48"/>
        <v>0</v>
      </c>
      <c r="FS144" s="2">
        <v>0</v>
      </c>
      <c r="FT144" s="2"/>
      <c r="FU144" s="2"/>
      <c r="FV144" s="2"/>
      <c r="FW144" s="2"/>
      <c r="FX144" s="2">
        <v>103</v>
      </c>
      <c r="FY144" s="2">
        <v>60</v>
      </c>
      <c r="FZ144" s="2"/>
      <c r="GA144" s="2" t="s">
        <v>6</v>
      </c>
      <c r="GB144" s="2"/>
      <c r="GC144" s="2"/>
      <c r="GD144" s="2">
        <v>0</v>
      </c>
      <c r="GE144" s="2"/>
      <c r="GF144" s="2">
        <v>995820444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49"/>
        <v>0</v>
      </c>
      <c r="GM144" s="2">
        <f t="shared" si="179"/>
        <v>793.2</v>
      </c>
      <c r="GN144" s="2">
        <f t="shared" si="180"/>
        <v>793.2</v>
      </c>
      <c r="GO144" s="2">
        <f t="shared" si="181"/>
        <v>0</v>
      </c>
      <c r="GP144" s="2">
        <f t="shared" si="182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183"/>
        <v>0</v>
      </c>
      <c r="GW144" s="2">
        <v>1</v>
      </c>
      <c r="GX144" s="2">
        <f t="shared" si="184"/>
        <v>0</v>
      </c>
      <c r="GY144" s="2"/>
      <c r="GZ144" s="2"/>
      <c r="HA144" s="2">
        <v>0</v>
      </c>
      <c r="HB144" s="2">
        <v>0</v>
      </c>
      <c r="HC144" s="2">
        <f t="shared" si="185"/>
        <v>0</v>
      </c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18</v>
      </c>
      <c r="B145">
        <v>1</v>
      </c>
      <c r="C145">
        <v>438</v>
      </c>
      <c r="E145" t="s">
        <v>315</v>
      </c>
      <c r="F145" t="s">
        <v>316</v>
      </c>
      <c r="G145" t="s">
        <v>317</v>
      </c>
      <c r="H145" t="s">
        <v>222</v>
      </c>
      <c r="I145">
        <f>I141*J145</f>
        <v>4</v>
      </c>
      <c r="J145">
        <v>10</v>
      </c>
      <c r="O145">
        <f t="shared" si="150"/>
        <v>4846.45</v>
      </c>
      <c r="P145">
        <f t="shared" si="151"/>
        <v>4846.45</v>
      </c>
      <c r="Q145">
        <f t="shared" si="152"/>
        <v>0</v>
      </c>
      <c r="R145">
        <f t="shared" si="153"/>
        <v>0</v>
      </c>
      <c r="S145">
        <f t="shared" si="154"/>
        <v>0</v>
      </c>
      <c r="T145">
        <f t="shared" si="155"/>
        <v>0</v>
      </c>
      <c r="U145">
        <f t="shared" si="156"/>
        <v>0</v>
      </c>
      <c r="V145">
        <f t="shared" si="157"/>
        <v>0</v>
      </c>
      <c r="W145">
        <f t="shared" si="158"/>
        <v>0</v>
      </c>
      <c r="X145">
        <f t="shared" si="159"/>
        <v>0</v>
      </c>
      <c r="Y145">
        <f t="shared" si="160"/>
        <v>0</v>
      </c>
      <c r="AA145">
        <v>16784196</v>
      </c>
      <c r="AB145">
        <f t="shared" si="161"/>
        <v>198.3</v>
      </c>
      <c r="AC145">
        <f t="shared" si="162"/>
        <v>198.3</v>
      </c>
      <c r="AD145">
        <f t="shared" si="189"/>
        <v>0</v>
      </c>
      <c r="AE145">
        <f t="shared" si="190"/>
        <v>0</v>
      </c>
      <c r="AF145">
        <f t="shared" si="190"/>
        <v>0</v>
      </c>
      <c r="AG145">
        <f t="shared" si="165"/>
        <v>0</v>
      </c>
      <c r="AH145">
        <f t="shared" si="191"/>
        <v>0</v>
      </c>
      <c r="AI145">
        <f t="shared" si="191"/>
        <v>0</v>
      </c>
      <c r="AJ145">
        <f t="shared" si="167"/>
        <v>0</v>
      </c>
      <c r="AK145">
        <v>198.3</v>
      </c>
      <c r="AL145">
        <v>198.3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103</v>
      </c>
      <c r="AU145">
        <v>60</v>
      </c>
      <c r="AV145">
        <v>1</v>
      </c>
      <c r="AW145">
        <v>1</v>
      </c>
      <c r="AZ145">
        <v>6.11</v>
      </c>
      <c r="BA145">
        <v>1</v>
      </c>
      <c r="BB145">
        <v>1</v>
      </c>
      <c r="BC145">
        <v>6.11</v>
      </c>
      <c r="BD145" t="s">
        <v>6</v>
      </c>
      <c r="BE145" t="s">
        <v>6</v>
      </c>
      <c r="BF145" t="s">
        <v>6</v>
      </c>
      <c r="BG145" t="s">
        <v>6</v>
      </c>
      <c r="BH145">
        <v>3</v>
      </c>
      <c r="BI145">
        <v>1</v>
      </c>
      <c r="BJ145" t="s">
        <v>318</v>
      </c>
      <c r="BM145">
        <v>65007</v>
      </c>
      <c r="BN145">
        <v>0</v>
      </c>
      <c r="BO145" t="s">
        <v>6</v>
      </c>
      <c r="BP145">
        <v>0</v>
      </c>
      <c r="BQ145">
        <v>6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103</v>
      </c>
      <c r="CA145">
        <v>60</v>
      </c>
      <c r="CE145">
        <v>0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168"/>
        <v>4846.45</v>
      </c>
      <c r="CQ145">
        <f t="shared" si="169"/>
        <v>1211.6130000000001</v>
      </c>
      <c r="CR145">
        <f t="shared" si="170"/>
        <v>0</v>
      </c>
      <c r="CS145">
        <f t="shared" si="171"/>
        <v>0</v>
      </c>
      <c r="CT145">
        <f t="shared" si="172"/>
        <v>0</v>
      </c>
      <c r="CU145">
        <f t="shared" si="173"/>
        <v>0</v>
      </c>
      <c r="CV145">
        <f t="shared" si="174"/>
        <v>0</v>
      </c>
      <c r="CW145">
        <f t="shared" si="175"/>
        <v>0</v>
      </c>
      <c r="CX145">
        <f t="shared" si="176"/>
        <v>0</v>
      </c>
      <c r="CY145">
        <f t="shared" si="177"/>
        <v>0</v>
      </c>
      <c r="CZ145">
        <f t="shared" si="178"/>
        <v>0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1013</v>
      </c>
      <c r="DV145" t="s">
        <v>222</v>
      </c>
      <c r="DW145" t="s">
        <v>222</v>
      </c>
      <c r="DX145">
        <v>1</v>
      </c>
      <c r="EE145">
        <v>16510586</v>
      </c>
      <c r="EF145">
        <v>6</v>
      </c>
      <c r="EG145" t="s">
        <v>90</v>
      </c>
      <c r="EH145">
        <v>0</v>
      </c>
      <c r="EI145" t="s">
        <v>6</v>
      </c>
      <c r="EJ145">
        <v>1</v>
      </c>
      <c r="EK145">
        <v>65007</v>
      </c>
      <c r="EL145" t="s">
        <v>314</v>
      </c>
      <c r="EM145" t="s">
        <v>284</v>
      </c>
      <c r="EO145" t="s">
        <v>6</v>
      </c>
      <c r="EQ145">
        <v>0</v>
      </c>
      <c r="ER145">
        <v>198.3</v>
      </c>
      <c r="ES145">
        <v>198.3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48"/>
        <v>0</v>
      </c>
      <c r="FS145">
        <v>0</v>
      </c>
      <c r="FX145">
        <v>103</v>
      </c>
      <c r="FY145">
        <v>60</v>
      </c>
      <c r="GA145" t="s">
        <v>6</v>
      </c>
      <c r="GD145">
        <v>0</v>
      </c>
      <c r="GF145">
        <v>995820444</v>
      </c>
      <c r="GG145">
        <v>1</v>
      </c>
      <c r="GH145">
        <v>1</v>
      </c>
      <c r="GI145">
        <v>4</v>
      </c>
      <c r="GJ145">
        <v>0</v>
      </c>
      <c r="GK145">
        <f>ROUND(R145*(S12)/100,2)</f>
        <v>0</v>
      </c>
      <c r="GL145">
        <f t="shared" si="149"/>
        <v>0</v>
      </c>
      <c r="GM145">
        <f t="shared" si="179"/>
        <v>4846.45</v>
      </c>
      <c r="GN145">
        <f t="shared" si="180"/>
        <v>4846.45</v>
      </c>
      <c r="GO145">
        <f t="shared" si="181"/>
        <v>0</v>
      </c>
      <c r="GP145">
        <f t="shared" si="182"/>
        <v>0</v>
      </c>
      <c r="GR145">
        <v>0</v>
      </c>
      <c r="GS145">
        <v>3</v>
      </c>
      <c r="GT145">
        <v>0</v>
      </c>
      <c r="GU145" t="s">
        <v>6</v>
      </c>
      <c r="GV145">
        <f t="shared" si="183"/>
        <v>0</v>
      </c>
      <c r="GW145">
        <v>1</v>
      </c>
      <c r="GX145">
        <f t="shared" si="184"/>
        <v>0</v>
      </c>
      <c r="HA145">
        <v>0</v>
      </c>
      <c r="HB145">
        <v>0</v>
      </c>
      <c r="HC145">
        <f t="shared" si="185"/>
        <v>0</v>
      </c>
      <c r="IK145">
        <v>0</v>
      </c>
    </row>
    <row r="146" spans="1:255" x14ac:dyDescent="0.2">
      <c r="A146" s="2">
        <v>18</v>
      </c>
      <c r="B146" s="2">
        <v>1</v>
      </c>
      <c r="C146" s="2">
        <v>418</v>
      </c>
      <c r="D146" s="2"/>
      <c r="E146" s="2" t="s">
        <v>319</v>
      </c>
      <c r="F146" s="2" t="s">
        <v>320</v>
      </c>
      <c r="G146" s="2" t="s">
        <v>321</v>
      </c>
      <c r="H146" s="2" t="s">
        <v>277</v>
      </c>
      <c r="I146" s="2">
        <f>I140*J146</f>
        <v>4</v>
      </c>
      <c r="J146" s="2">
        <v>10</v>
      </c>
      <c r="K146" s="2"/>
      <c r="L146" s="2"/>
      <c r="M146" s="2"/>
      <c r="N146" s="2"/>
      <c r="O146" s="2">
        <f t="shared" si="150"/>
        <v>27.24</v>
      </c>
      <c r="P146" s="2">
        <f t="shared" si="151"/>
        <v>27.24</v>
      </c>
      <c r="Q146" s="2">
        <f t="shared" si="152"/>
        <v>0</v>
      </c>
      <c r="R146" s="2">
        <f t="shared" si="153"/>
        <v>0</v>
      </c>
      <c r="S146" s="2">
        <f t="shared" si="154"/>
        <v>0</v>
      </c>
      <c r="T146" s="2">
        <f t="shared" si="155"/>
        <v>0</v>
      </c>
      <c r="U146" s="2">
        <f t="shared" si="156"/>
        <v>0</v>
      </c>
      <c r="V146" s="2">
        <f t="shared" si="157"/>
        <v>0</v>
      </c>
      <c r="W146" s="2">
        <f t="shared" si="158"/>
        <v>0</v>
      </c>
      <c r="X146" s="2">
        <f t="shared" si="159"/>
        <v>0</v>
      </c>
      <c r="Y146" s="2">
        <f t="shared" si="160"/>
        <v>0</v>
      </c>
      <c r="Z146" s="2"/>
      <c r="AA146" s="2">
        <v>16784195</v>
      </c>
      <c r="AB146" s="2">
        <f t="shared" si="161"/>
        <v>6.81</v>
      </c>
      <c r="AC146" s="2">
        <f t="shared" si="162"/>
        <v>6.81</v>
      </c>
      <c r="AD146" s="2">
        <f t="shared" si="189"/>
        <v>0</v>
      </c>
      <c r="AE146" s="2">
        <f t="shared" si="190"/>
        <v>0</v>
      </c>
      <c r="AF146" s="2">
        <f t="shared" si="190"/>
        <v>0</v>
      </c>
      <c r="AG146" s="2">
        <f t="shared" si="165"/>
        <v>0</v>
      </c>
      <c r="AH146" s="2">
        <f t="shared" si="191"/>
        <v>0</v>
      </c>
      <c r="AI146" s="2">
        <f t="shared" si="191"/>
        <v>0</v>
      </c>
      <c r="AJ146" s="2">
        <f t="shared" si="167"/>
        <v>0</v>
      </c>
      <c r="AK146" s="2">
        <v>6.81</v>
      </c>
      <c r="AL146" s="2">
        <v>6.81</v>
      </c>
      <c r="AM146" s="2">
        <v>0</v>
      </c>
      <c r="AN146" s="2">
        <v>0</v>
      </c>
      <c r="AO146" s="2">
        <v>0</v>
      </c>
      <c r="AP146" s="2">
        <v>0</v>
      </c>
      <c r="AQ146" s="2">
        <v>0</v>
      </c>
      <c r="AR146" s="2">
        <v>0</v>
      </c>
      <c r="AS146" s="2">
        <v>0</v>
      </c>
      <c r="AT146" s="2">
        <v>103</v>
      </c>
      <c r="AU146" s="2">
        <v>60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6</v>
      </c>
      <c r="BE146" s="2" t="s">
        <v>6</v>
      </c>
      <c r="BF146" s="2" t="s">
        <v>6</v>
      </c>
      <c r="BG146" s="2" t="s">
        <v>6</v>
      </c>
      <c r="BH146" s="2">
        <v>3</v>
      </c>
      <c r="BI146" s="2">
        <v>1</v>
      </c>
      <c r="BJ146" s="2" t="s">
        <v>322</v>
      </c>
      <c r="BK146" s="2"/>
      <c r="BL146" s="2"/>
      <c r="BM146" s="2">
        <v>65007</v>
      </c>
      <c r="BN146" s="2">
        <v>0</v>
      </c>
      <c r="BO146" s="2" t="s">
        <v>6</v>
      </c>
      <c r="BP146" s="2">
        <v>0</v>
      </c>
      <c r="BQ146" s="2">
        <v>6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6</v>
      </c>
      <c r="BZ146" s="2">
        <v>103</v>
      </c>
      <c r="CA146" s="2">
        <v>60</v>
      </c>
      <c r="CB146" s="2"/>
      <c r="CC146" s="2"/>
      <c r="CD146" s="2"/>
      <c r="CE146" s="2">
        <v>0</v>
      </c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6</v>
      </c>
      <c r="CO146" s="2">
        <v>0</v>
      </c>
      <c r="CP146" s="2">
        <f t="shared" si="168"/>
        <v>27.24</v>
      </c>
      <c r="CQ146" s="2">
        <f t="shared" si="169"/>
        <v>6.81</v>
      </c>
      <c r="CR146" s="2">
        <f t="shared" si="170"/>
        <v>0</v>
      </c>
      <c r="CS146" s="2">
        <f t="shared" si="171"/>
        <v>0</v>
      </c>
      <c r="CT146" s="2">
        <f t="shared" si="172"/>
        <v>0</v>
      </c>
      <c r="CU146" s="2">
        <f t="shared" si="173"/>
        <v>0</v>
      </c>
      <c r="CV146" s="2">
        <f t="shared" si="174"/>
        <v>0</v>
      </c>
      <c r="CW146" s="2">
        <f t="shared" si="175"/>
        <v>0</v>
      </c>
      <c r="CX146" s="2">
        <f t="shared" si="176"/>
        <v>0</v>
      </c>
      <c r="CY146" s="2">
        <f t="shared" si="177"/>
        <v>0</v>
      </c>
      <c r="CZ146" s="2">
        <f t="shared" si="178"/>
        <v>0</v>
      </c>
      <c r="DA146" s="2"/>
      <c r="DB146" s="2"/>
      <c r="DC146" s="2" t="s">
        <v>6</v>
      </c>
      <c r="DD146" s="2" t="s">
        <v>6</v>
      </c>
      <c r="DE146" s="2" t="s">
        <v>6</v>
      </c>
      <c r="DF146" s="2" t="s">
        <v>6</v>
      </c>
      <c r="DG146" s="2" t="s">
        <v>6</v>
      </c>
      <c r="DH146" s="2" t="s">
        <v>6</v>
      </c>
      <c r="DI146" s="2" t="s">
        <v>6</v>
      </c>
      <c r="DJ146" s="2" t="s">
        <v>6</v>
      </c>
      <c r="DK146" s="2" t="s">
        <v>6</v>
      </c>
      <c r="DL146" s="2" t="s">
        <v>6</v>
      </c>
      <c r="DM146" s="2" t="s">
        <v>6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1010</v>
      </c>
      <c r="DV146" s="2" t="s">
        <v>277</v>
      </c>
      <c r="DW146" s="2" t="s">
        <v>277</v>
      </c>
      <c r="DX146" s="2">
        <v>1</v>
      </c>
      <c r="DY146" s="2"/>
      <c r="DZ146" s="2"/>
      <c r="EA146" s="2"/>
      <c r="EB146" s="2"/>
      <c r="EC146" s="2"/>
      <c r="ED146" s="2"/>
      <c r="EE146" s="2">
        <v>16510586</v>
      </c>
      <c r="EF146" s="2">
        <v>6</v>
      </c>
      <c r="EG146" s="2" t="s">
        <v>90</v>
      </c>
      <c r="EH146" s="2">
        <v>0</v>
      </c>
      <c r="EI146" s="2" t="s">
        <v>6</v>
      </c>
      <c r="EJ146" s="2">
        <v>1</v>
      </c>
      <c r="EK146" s="2">
        <v>65007</v>
      </c>
      <c r="EL146" s="2" t="s">
        <v>314</v>
      </c>
      <c r="EM146" s="2" t="s">
        <v>284</v>
      </c>
      <c r="EN146" s="2"/>
      <c r="EO146" s="2" t="s">
        <v>6</v>
      </c>
      <c r="EP146" s="2"/>
      <c r="EQ146" s="2">
        <v>0</v>
      </c>
      <c r="ER146" s="2">
        <v>6.81</v>
      </c>
      <c r="ES146" s="2">
        <v>6.81</v>
      </c>
      <c r="ET146" s="2">
        <v>0</v>
      </c>
      <c r="EU146" s="2">
        <v>0</v>
      </c>
      <c r="EV146" s="2">
        <v>0</v>
      </c>
      <c r="EW146" s="2">
        <v>0</v>
      </c>
      <c r="EX146" s="2">
        <v>0</v>
      </c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48"/>
        <v>0</v>
      </c>
      <c r="FS146" s="2">
        <v>0</v>
      </c>
      <c r="FT146" s="2"/>
      <c r="FU146" s="2"/>
      <c r="FV146" s="2"/>
      <c r="FW146" s="2"/>
      <c r="FX146" s="2">
        <v>103</v>
      </c>
      <c r="FY146" s="2">
        <v>60</v>
      </c>
      <c r="FZ146" s="2"/>
      <c r="GA146" s="2" t="s">
        <v>6</v>
      </c>
      <c r="GB146" s="2"/>
      <c r="GC146" s="2"/>
      <c r="GD146" s="2">
        <v>0</v>
      </c>
      <c r="GE146" s="2"/>
      <c r="GF146" s="2">
        <v>-1962446151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49"/>
        <v>0</v>
      </c>
      <c r="GM146" s="2">
        <f t="shared" si="179"/>
        <v>27.24</v>
      </c>
      <c r="GN146" s="2">
        <f t="shared" si="180"/>
        <v>27.24</v>
      </c>
      <c r="GO146" s="2">
        <f t="shared" si="181"/>
        <v>0</v>
      </c>
      <c r="GP146" s="2">
        <f t="shared" si="182"/>
        <v>0</v>
      </c>
      <c r="GQ146" s="2"/>
      <c r="GR146" s="2">
        <v>0</v>
      </c>
      <c r="GS146" s="2">
        <v>3</v>
      </c>
      <c r="GT146" s="2">
        <v>0</v>
      </c>
      <c r="GU146" s="2" t="s">
        <v>6</v>
      </c>
      <c r="GV146" s="2">
        <f t="shared" si="183"/>
        <v>0</v>
      </c>
      <c r="GW146" s="2">
        <v>1</v>
      </c>
      <c r="GX146" s="2">
        <f t="shared" si="184"/>
        <v>0</v>
      </c>
      <c r="GY146" s="2"/>
      <c r="GZ146" s="2"/>
      <c r="HA146" s="2">
        <v>0</v>
      </c>
      <c r="HB146" s="2">
        <v>0</v>
      </c>
      <c r="HC146" s="2">
        <f t="shared" si="185"/>
        <v>0</v>
      </c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18</v>
      </c>
      <c r="B147">
        <v>1</v>
      </c>
      <c r="C147">
        <v>432</v>
      </c>
      <c r="E147" t="s">
        <v>319</v>
      </c>
      <c r="F147" t="s">
        <v>320</v>
      </c>
      <c r="G147" t="s">
        <v>321</v>
      </c>
      <c r="H147" t="s">
        <v>277</v>
      </c>
      <c r="I147">
        <f>I141*J147</f>
        <v>4</v>
      </c>
      <c r="J147">
        <v>10</v>
      </c>
      <c r="O147">
        <f t="shared" si="150"/>
        <v>166.44</v>
      </c>
      <c r="P147">
        <f t="shared" si="151"/>
        <v>166.44</v>
      </c>
      <c r="Q147">
        <f t="shared" si="152"/>
        <v>0</v>
      </c>
      <c r="R147">
        <f t="shared" si="153"/>
        <v>0</v>
      </c>
      <c r="S147">
        <f t="shared" si="154"/>
        <v>0</v>
      </c>
      <c r="T147">
        <f t="shared" si="155"/>
        <v>0</v>
      </c>
      <c r="U147">
        <f t="shared" si="156"/>
        <v>0</v>
      </c>
      <c r="V147">
        <f t="shared" si="157"/>
        <v>0</v>
      </c>
      <c r="W147">
        <f t="shared" si="158"/>
        <v>0</v>
      </c>
      <c r="X147">
        <f t="shared" si="159"/>
        <v>0</v>
      </c>
      <c r="Y147">
        <f t="shared" si="160"/>
        <v>0</v>
      </c>
      <c r="AA147">
        <v>16784196</v>
      </c>
      <c r="AB147">
        <f t="shared" si="161"/>
        <v>6.81</v>
      </c>
      <c r="AC147">
        <f t="shared" si="162"/>
        <v>6.81</v>
      </c>
      <c r="AD147">
        <f t="shared" si="189"/>
        <v>0</v>
      </c>
      <c r="AE147">
        <f t="shared" si="190"/>
        <v>0</v>
      </c>
      <c r="AF147">
        <f t="shared" si="190"/>
        <v>0</v>
      </c>
      <c r="AG147">
        <f t="shared" si="165"/>
        <v>0</v>
      </c>
      <c r="AH147">
        <f t="shared" si="191"/>
        <v>0</v>
      </c>
      <c r="AI147">
        <f t="shared" si="191"/>
        <v>0</v>
      </c>
      <c r="AJ147">
        <f t="shared" si="167"/>
        <v>0</v>
      </c>
      <c r="AK147">
        <v>6.81</v>
      </c>
      <c r="AL147">
        <v>6.81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103</v>
      </c>
      <c r="AU147">
        <v>60</v>
      </c>
      <c r="AV147">
        <v>1</v>
      </c>
      <c r="AW147">
        <v>1</v>
      </c>
      <c r="AZ147">
        <v>6.11</v>
      </c>
      <c r="BA147">
        <v>1</v>
      </c>
      <c r="BB147">
        <v>1</v>
      </c>
      <c r="BC147">
        <v>6.11</v>
      </c>
      <c r="BD147" t="s">
        <v>6</v>
      </c>
      <c r="BE147" t="s">
        <v>6</v>
      </c>
      <c r="BF147" t="s">
        <v>6</v>
      </c>
      <c r="BG147" t="s">
        <v>6</v>
      </c>
      <c r="BH147">
        <v>3</v>
      </c>
      <c r="BI147">
        <v>1</v>
      </c>
      <c r="BJ147" t="s">
        <v>322</v>
      </c>
      <c r="BM147">
        <v>65007</v>
      </c>
      <c r="BN147">
        <v>0</v>
      </c>
      <c r="BO147" t="s">
        <v>6</v>
      </c>
      <c r="BP147">
        <v>0</v>
      </c>
      <c r="BQ147">
        <v>6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103</v>
      </c>
      <c r="CA147">
        <v>60</v>
      </c>
      <c r="CE147">
        <v>0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168"/>
        <v>166.44</v>
      </c>
      <c r="CQ147">
        <f t="shared" si="169"/>
        <v>41.609099999999998</v>
      </c>
      <c r="CR147">
        <f t="shared" si="170"/>
        <v>0</v>
      </c>
      <c r="CS147">
        <f t="shared" si="171"/>
        <v>0</v>
      </c>
      <c r="CT147">
        <f t="shared" si="172"/>
        <v>0</v>
      </c>
      <c r="CU147">
        <f t="shared" si="173"/>
        <v>0</v>
      </c>
      <c r="CV147">
        <f t="shared" si="174"/>
        <v>0</v>
      </c>
      <c r="CW147">
        <f t="shared" si="175"/>
        <v>0</v>
      </c>
      <c r="CX147">
        <f t="shared" si="176"/>
        <v>0</v>
      </c>
      <c r="CY147">
        <f t="shared" si="177"/>
        <v>0</v>
      </c>
      <c r="CZ147">
        <f t="shared" si="178"/>
        <v>0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1010</v>
      </c>
      <c r="DV147" t="s">
        <v>277</v>
      </c>
      <c r="DW147" t="s">
        <v>277</v>
      </c>
      <c r="DX147">
        <v>1</v>
      </c>
      <c r="EE147">
        <v>16510586</v>
      </c>
      <c r="EF147">
        <v>6</v>
      </c>
      <c r="EG147" t="s">
        <v>90</v>
      </c>
      <c r="EH147">
        <v>0</v>
      </c>
      <c r="EI147" t="s">
        <v>6</v>
      </c>
      <c r="EJ147">
        <v>1</v>
      </c>
      <c r="EK147">
        <v>65007</v>
      </c>
      <c r="EL147" t="s">
        <v>314</v>
      </c>
      <c r="EM147" t="s">
        <v>284</v>
      </c>
      <c r="EO147" t="s">
        <v>6</v>
      </c>
      <c r="EQ147">
        <v>0</v>
      </c>
      <c r="ER147">
        <v>6.81</v>
      </c>
      <c r="ES147">
        <v>6.81</v>
      </c>
      <c r="ET147">
        <v>0</v>
      </c>
      <c r="EU147">
        <v>0</v>
      </c>
      <c r="EV147">
        <v>0</v>
      </c>
      <c r="EW147">
        <v>0</v>
      </c>
      <c r="EX147">
        <v>0</v>
      </c>
      <c r="FQ147">
        <v>0</v>
      </c>
      <c r="FR147">
        <f t="shared" si="148"/>
        <v>0</v>
      </c>
      <c r="FS147">
        <v>0</v>
      </c>
      <c r="FX147">
        <v>103</v>
      </c>
      <c r="FY147">
        <v>60</v>
      </c>
      <c r="GA147" t="s">
        <v>6</v>
      </c>
      <c r="GD147">
        <v>0</v>
      </c>
      <c r="GF147">
        <v>-1962446151</v>
      </c>
      <c r="GG147">
        <v>1</v>
      </c>
      <c r="GH147">
        <v>1</v>
      </c>
      <c r="GI147">
        <v>4</v>
      </c>
      <c r="GJ147">
        <v>0</v>
      </c>
      <c r="GK147">
        <f>ROUND(R147*(S12)/100,2)</f>
        <v>0</v>
      </c>
      <c r="GL147">
        <f t="shared" si="149"/>
        <v>0</v>
      </c>
      <c r="GM147">
        <f t="shared" si="179"/>
        <v>166.44</v>
      </c>
      <c r="GN147">
        <f t="shared" si="180"/>
        <v>166.44</v>
      </c>
      <c r="GO147">
        <f t="shared" si="181"/>
        <v>0</v>
      </c>
      <c r="GP147">
        <f t="shared" si="182"/>
        <v>0</v>
      </c>
      <c r="GR147">
        <v>0</v>
      </c>
      <c r="GS147">
        <v>3</v>
      </c>
      <c r="GT147">
        <v>0</v>
      </c>
      <c r="GU147" t="s">
        <v>6</v>
      </c>
      <c r="GV147">
        <f t="shared" si="183"/>
        <v>0</v>
      </c>
      <c r="GW147">
        <v>1</v>
      </c>
      <c r="GX147">
        <f t="shared" si="184"/>
        <v>0</v>
      </c>
      <c r="HA147">
        <v>0</v>
      </c>
      <c r="HB147">
        <v>0</v>
      </c>
      <c r="HC147">
        <f t="shared" si="185"/>
        <v>0</v>
      </c>
      <c r="IK147">
        <v>0</v>
      </c>
    </row>
    <row r="148" spans="1:255" x14ac:dyDescent="0.2">
      <c r="A148" s="2">
        <v>17</v>
      </c>
      <c r="B148" s="2">
        <v>1</v>
      </c>
      <c r="C148" s="2">
        <f>ROW(SmtRes!A449)</f>
        <v>449</v>
      </c>
      <c r="D148" s="2">
        <f>ROW(EtalonRes!A467)</f>
        <v>467</v>
      </c>
      <c r="E148" s="2" t="s">
        <v>323</v>
      </c>
      <c r="F148" s="2" t="s">
        <v>324</v>
      </c>
      <c r="G148" s="2" t="s">
        <v>325</v>
      </c>
      <c r="H148" s="2" t="s">
        <v>306</v>
      </c>
      <c r="I148" s="2">
        <f>ROUND(1/10,9)</f>
        <v>0.1</v>
      </c>
      <c r="J148" s="2">
        <v>0</v>
      </c>
      <c r="K148" s="2"/>
      <c r="L148" s="2"/>
      <c r="M148" s="2"/>
      <c r="N148" s="2"/>
      <c r="O148" s="2">
        <f t="shared" si="150"/>
        <v>40.17</v>
      </c>
      <c r="P148" s="2">
        <f t="shared" si="151"/>
        <v>3.48</v>
      </c>
      <c r="Q148" s="2">
        <f t="shared" si="152"/>
        <v>3.22</v>
      </c>
      <c r="R148" s="2">
        <f t="shared" si="153"/>
        <v>0.7</v>
      </c>
      <c r="S148" s="2">
        <f t="shared" si="154"/>
        <v>33.47</v>
      </c>
      <c r="T148" s="2">
        <f t="shared" si="155"/>
        <v>0</v>
      </c>
      <c r="U148" s="2">
        <f t="shared" si="156"/>
        <v>3.4787499999999998</v>
      </c>
      <c r="V148" s="2">
        <f t="shared" si="157"/>
        <v>5.7500000000000009E-2</v>
      </c>
      <c r="W148" s="2">
        <f t="shared" si="158"/>
        <v>0</v>
      </c>
      <c r="X148" s="2">
        <f t="shared" si="159"/>
        <v>39.299999999999997</v>
      </c>
      <c r="Y148" s="2">
        <f t="shared" si="160"/>
        <v>24.26</v>
      </c>
      <c r="Z148" s="2"/>
      <c r="AA148" s="2">
        <v>16784195</v>
      </c>
      <c r="AB148" s="2">
        <f t="shared" si="161"/>
        <v>401.66</v>
      </c>
      <c r="AC148" s="2">
        <f t="shared" si="162"/>
        <v>34.82</v>
      </c>
      <c r="AD148" s="2">
        <f>ROUND(((((ET148*1.25))-((EU148*1.25)))+AE148),2)</f>
        <v>32.18</v>
      </c>
      <c r="AE148" s="2">
        <f>ROUND(((EU148*1.25)),2)</f>
        <v>6.99</v>
      </c>
      <c r="AF148" s="2">
        <f>ROUND(((EV148*1.15)),2)</f>
        <v>334.66</v>
      </c>
      <c r="AG148" s="2">
        <f t="shared" si="165"/>
        <v>0</v>
      </c>
      <c r="AH148" s="2">
        <f>((EW148*1.15))</f>
        <v>34.787499999999994</v>
      </c>
      <c r="AI148" s="2">
        <f>((EX148*1.25))</f>
        <v>0.57500000000000007</v>
      </c>
      <c r="AJ148" s="2">
        <f t="shared" si="167"/>
        <v>0</v>
      </c>
      <c r="AK148" s="2">
        <v>351.57</v>
      </c>
      <c r="AL148" s="2">
        <v>34.82</v>
      </c>
      <c r="AM148" s="2">
        <v>25.74</v>
      </c>
      <c r="AN148" s="2">
        <v>5.59</v>
      </c>
      <c r="AO148" s="2">
        <v>291.01</v>
      </c>
      <c r="AP148" s="2">
        <v>0</v>
      </c>
      <c r="AQ148" s="2">
        <v>30.25</v>
      </c>
      <c r="AR148" s="2">
        <v>0.46</v>
      </c>
      <c r="AS148" s="2">
        <v>0</v>
      </c>
      <c r="AT148" s="2">
        <v>115</v>
      </c>
      <c r="AU148" s="2">
        <v>71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6</v>
      </c>
      <c r="BE148" s="2" t="s">
        <v>6</v>
      </c>
      <c r="BF148" s="2" t="s">
        <v>6</v>
      </c>
      <c r="BG148" s="2" t="s">
        <v>6</v>
      </c>
      <c r="BH148" s="2">
        <v>0</v>
      </c>
      <c r="BI148" s="2">
        <v>1</v>
      </c>
      <c r="BJ148" s="2" t="s">
        <v>326</v>
      </c>
      <c r="BK148" s="2"/>
      <c r="BL148" s="2"/>
      <c r="BM148" s="2">
        <v>17001</v>
      </c>
      <c r="BN148" s="2">
        <v>0</v>
      </c>
      <c r="BO148" s="2" t="s">
        <v>6</v>
      </c>
      <c r="BP148" s="2">
        <v>0</v>
      </c>
      <c r="BQ148" s="2">
        <v>2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6</v>
      </c>
      <c r="BZ148" s="2">
        <v>128</v>
      </c>
      <c r="CA148" s="2">
        <v>83</v>
      </c>
      <c r="CB148" s="2"/>
      <c r="CC148" s="2"/>
      <c r="CD148" s="2"/>
      <c r="CE148" s="2">
        <v>0</v>
      </c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824</v>
      </c>
      <c r="CO148" s="2">
        <v>0</v>
      </c>
      <c r="CP148" s="2">
        <f t="shared" si="168"/>
        <v>40.17</v>
      </c>
      <c r="CQ148" s="2">
        <f t="shared" si="169"/>
        <v>34.82</v>
      </c>
      <c r="CR148" s="2">
        <f t="shared" si="170"/>
        <v>32.18</v>
      </c>
      <c r="CS148" s="2">
        <f t="shared" si="171"/>
        <v>6.99</v>
      </c>
      <c r="CT148" s="2">
        <f t="shared" si="172"/>
        <v>334.66</v>
      </c>
      <c r="CU148" s="2">
        <f t="shared" si="173"/>
        <v>0</v>
      </c>
      <c r="CV148" s="2">
        <f t="shared" si="174"/>
        <v>34.787499999999994</v>
      </c>
      <c r="CW148" s="2">
        <f t="shared" si="175"/>
        <v>0.57500000000000007</v>
      </c>
      <c r="CX148" s="2">
        <f t="shared" si="176"/>
        <v>0</v>
      </c>
      <c r="CY148" s="2">
        <f t="shared" si="177"/>
        <v>39.295500000000004</v>
      </c>
      <c r="CZ148" s="2">
        <f t="shared" si="178"/>
        <v>24.2607</v>
      </c>
      <c r="DA148" s="2"/>
      <c r="DB148" s="2"/>
      <c r="DC148" s="2" t="s">
        <v>6</v>
      </c>
      <c r="DD148" s="2" t="s">
        <v>6</v>
      </c>
      <c r="DE148" s="2" t="s">
        <v>27</v>
      </c>
      <c r="DF148" s="2" t="s">
        <v>27</v>
      </c>
      <c r="DG148" s="2" t="s">
        <v>28</v>
      </c>
      <c r="DH148" s="2" t="s">
        <v>6</v>
      </c>
      <c r="DI148" s="2" t="s">
        <v>28</v>
      </c>
      <c r="DJ148" s="2" t="s">
        <v>27</v>
      </c>
      <c r="DK148" s="2" t="s">
        <v>6</v>
      </c>
      <c r="DL148" s="2" t="s">
        <v>6</v>
      </c>
      <c r="DM148" s="2" t="s">
        <v>6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1013</v>
      </c>
      <c r="DV148" s="2" t="s">
        <v>306</v>
      </c>
      <c r="DW148" s="2" t="s">
        <v>306</v>
      </c>
      <c r="DX148" s="2">
        <v>1</v>
      </c>
      <c r="DY148" s="2"/>
      <c r="DZ148" s="2"/>
      <c r="EA148" s="2"/>
      <c r="EB148" s="2"/>
      <c r="EC148" s="2"/>
      <c r="ED148" s="2"/>
      <c r="EE148" s="2">
        <v>16510515</v>
      </c>
      <c r="EF148" s="2">
        <v>2</v>
      </c>
      <c r="EG148" s="2" t="s">
        <v>18</v>
      </c>
      <c r="EH148" s="2">
        <v>0</v>
      </c>
      <c r="EI148" s="2" t="s">
        <v>6</v>
      </c>
      <c r="EJ148" s="2">
        <v>1</v>
      </c>
      <c r="EK148" s="2">
        <v>17001</v>
      </c>
      <c r="EL148" s="2" t="s">
        <v>308</v>
      </c>
      <c r="EM148" s="2" t="s">
        <v>309</v>
      </c>
      <c r="EN148" s="2"/>
      <c r="EO148" s="2" t="s">
        <v>31</v>
      </c>
      <c r="EP148" s="2"/>
      <c r="EQ148" s="2">
        <v>0</v>
      </c>
      <c r="ER148" s="2">
        <v>351.57</v>
      </c>
      <c r="ES148" s="2">
        <v>34.82</v>
      </c>
      <c r="ET148" s="2">
        <v>25.74</v>
      </c>
      <c r="EU148" s="2">
        <v>5.59</v>
      </c>
      <c r="EV148" s="2">
        <v>291.01</v>
      </c>
      <c r="EW148" s="2">
        <v>30.25</v>
      </c>
      <c r="EX148" s="2">
        <v>0.46</v>
      </c>
      <c r="EY148" s="2">
        <v>0</v>
      </c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48"/>
        <v>0</v>
      </c>
      <c r="FS148" s="2">
        <v>0</v>
      </c>
      <c r="FT148" s="2" t="s">
        <v>21</v>
      </c>
      <c r="FU148" s="2" t="s">
        <v>22</v>
      </c>
      <c r="FV148" s="2"/>
      <c r="FW148" s="2"/>
      <c r="FX148" s="2">
        <v>115.2</v>
      </c>
      <c r="FY148" s="2">
        <v>70.55</v>
      </c>
      <c r="FZ148" s="2"/>
      <c r="GA148" s="2" t="s">
        <v>6</v>
      </c>
      <c r="GB148" s="2"/>
      <c r="GC148" s="2"/>
      <c r="GD148" s="2">
        <v>0</v>
      </c>
      <c r="GE148" s="2"/>
      <c r="GF148" s="2">
        <v>1994425124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49"/>
        <v>0</v>
      </c>
      <c r="GM148" s="2">
        <f t="shared" si="179"/>
        <v>103.73</v>
      </c>
      <c r="GN148" s="2">
        <f t="shared" si="180"/>
        <v>103.73</v>
      </c>
      <c r="GO148" s="2">
        <f t="shared" si="181"/>
        <v>0</v>
      </c>
      <c r="GP148" s="2">
        <f t="shared" si="182"/>
        <v>0</v>
      </c>
      <c r="GQ148" s="2"/>
      <c r="GR148" s="2">
        <v>0</v>
      </c>
      <c r="GS148" s="2">
        <v>3</v>
      </c>
      <c r="GT148" s="2">
        <v>0</v>
      </c>
      <c r="GU148" s="2" t="s">
        <v>6</v>
      </c>
      <c r="GV148" s="2">
        <f t="shared" si="183"/>
        <v>0</v>
      </c>
      <c r="GW148" s="2">
        <v>1</v>
      </c>
      <c r="GX148" s="2">
        <f t="shared" si="184"/>
        <v>0</v>
      </c>
      <c r="GY148" s="2"/>
      <c r="GZ148" s="2"/>
      <c r="HA148" s="2">
        <v>0</v>
      </c>
      <c r="HB148" s="2">
        <v>0</v>
      </c>
      <c r="HC148" s="2">
        <f t="shared" si="185"/>
        <v>0</v>
      </c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17</v>
      </c>
      <c r="B149">
        <v>1</v>
      </c>
      <c r="C149">
        <f>ROW(SmtRes!A460)</f>
        <v>460</v>
      </c>
      <c r="D149">
        <f>ROW(EtalonRes!A480)</f>
        <v>480</v>
      </c>
      <c r="E149" t="s">
        <v>323</v>
      </c>
      <c r="F149" t="s">
        <v>324</v>
      </c>
      <c r="G149" t="s">
        <v>325</v>
      </c>
      <c r="H149" t="s">
        <v>306</v>
      </c>
      <c r="I149">
        <f>ROUND(1/10,9)</f>
        <v>0.1</v>
      </c>
      <c r="J149">
        <v>0</v>
      </c>
      <c r="O149">
        <f t="shared" si="150"/>
        <v>245.42</v>
      </c>
      <c r="P149">
        <f t="shared" si="151"/>
        <v>21.28</v>
      </c>
      <c r="Q149">
        <f t="shared" si="152"/>
        <v>19.66</v>
      </c>
      <c r="R149">
        <f t="shared" si="153"/>
        <v>4.2699999999999996</v>
      </c>
      <c r="S149">
        <f t="shared" si="154"/>
        <v>204.48</v>
      </c>
      <c r="T149">
        <f t="shared" si="155"/>
        <v>0</v>
      </c>
      <c r="U149">
        <f t="shared" si="156"/>
        <v>3.4787499999999998</v>
      </c>
      <c r="V149">
        <f t="shared" si="157"/>
        <v>5.7500000000000009E-2</v>
      </c>
      <c r="W149">
        <f t="shared" si="158"/>
        <v>0</v>
      </c>
      <c r="X149">
        <f t="shared" si="159"/>
        <v>240.06</v>
      </c>
      <c r="Y149">
        <f t="shared" si="160"/>
        <v>148.21</v>
      </c>
      <c r="AA149">
        <v>16784196</v>
      </c>
      <c r="AB149">
        <f t="shared" si="161"/>
        <v>401.66</v>
      </c>
      <c r="AC149">
        <f t="shared" si="162"/>
        <v>34.82</v>
      </c>
      <c r="AD149">
        <f>ROUND(((((ET149*1.25))-((EU149*1.25)))+AE149),2)</f>
        <v>32.18</v>
      </c>
      <c r="AE149">
        <f>ROUND(((EU149*1.25)),2)</f>
        <v>6.99</v>
      </c>
      <c r="AF149">
        <f>ROUND(((EV149*1.15)),2)</f>
        <v>334.66</v>
      </c>
      <c r="AG149">
        <f t="shared" si="165"/>
        <v>0</v>
      </c>
      <c r="AH149">
        <f>((EW149*1.15))</f>
        <v>34.787499999999994</v>
      </c>
      <c r="AI149">
        <f>((EX149*1.25))</f>
        <v>0.57500000000000007</v>
      </c>
      <c r="AJ149">
        <f t="shared" si="167"/>
        <v>0</v>
      </c>
      <c r="AK149">
        <v>351.57</v>
      </c>
      <c r="AL149">
        <v>34.82</v>
      </c>
      <c r="AM149">
        <v>25.74</v>
      </c>
      <c r="AN149">
        <v>5.59</v>
      </c>
      <c r="AO149">
        <v>291.01</v>
      </c>
      <c r="AP149">
        <v>0</v>
      </c>
      <c r="AQ149">
        <v>30.25</v>
      </c>
      <c r="AR149">
        <v>0.46</v>
      </c>
      <c r="AS149">
        <v>0</v>
      </c>
      <c r="AT149">
        <v>115</v>
      </c>
      <c r="AU149">
        <v>71</v>
      </c>
      <c r="AV149">
        <v>1</v>
      </c>
      <c r="AW149">
        <v>1</v>
      </c>
      <c r="AZ149">
        <v>6.11</v>
      </c>
      <c r="BA149">
        <v>6.11</v>
      </c>
      <c r="BB149">
        <v>6.11</v>
      </c>
      <c r="BC149">
        <v>6.11</v>
      </c>
      <c r="BD149" t="s">
        <v>6</v>
      </c>
      <c r="BE149" t="s">
        <v>6</v>
      </c>
      <c r="BF149" t="s">
        <v>6</v>
      </c>
      <c r="BG149" t="s">
        <v>6</v>
      </c>
      <c r="BH149">
        <v>0</v>
      </c>
      <c r="BI149">
        <v>1</v>
      </c>
      <c r="BJ149" t="s">
        <v>326</v>
      </c>
      <c r="BM149">
        <v>17001</v>
      </c>
      <c r="BN149">
        <v>0</v>
      </c>
      <c r="BO149" t="s">
        <v>6</v>
      </c>
      <c r="BP149">
        <v>0</v>
      </c>
      <c r="BQ149">
        <v>2</v>
      </c>
      <c r="BR149">
        <v>0</v>
      </c>
      <c r="BS149">
        <v>6.11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128</v>
      </c>
      <c r="CA149">
        <v>83</v>
      </c>
      <c r="CE149">
        <v>0</v>
      </c>
      <c r="CF149">
        <v>0</v>
      </c>
      <c r="CG149">
        <v>0</v>
      </c>
      <c r="CM149">
        <v>0</v>
      </c>
      <c r="CN149" t="s">
        <v>824</v>
      </c>
      <c r="CO149">
        <v>0</v>
      </c>
      <c r="CP149">
        <f t="shared" si="168"/>
        <v>245.42</v>
      </c>
      <c r="CQ149">
        <f t="shared" si="169"/>
        <v>212.75020000000001</v>
      </c>
      <c r="CR149">
        <f t="shared" si="170"/>
        <v>196.6198</v>
      </c>
      <c r="CS149">
        <f t="shared" si="171"/>
        <v>42.708900000000007</v>
      </c>
      <c r="CT149">
        <f t="shared" si="172"/>
        <v>2044.7726000000002</v>
      </c>
      <c r="CU149">
        <f t="shared" si="173"/>
        <v>0</v>
      </c>
      <c r="CV149">
        <f t="shared" si="174"/>
        <v>34.787499999999994</v>
      </c>
      <c r="CW149">
        <f t="shared" si="175"/>
        <v>0.57500000000000007</v>
      </c>
      <c r="CX149">
        <f t="shared" si="176"/>
        <v>0</v>
      </c>
      <c r="CY149">
        <f t="shared" si="177"/>
        <v>240.0625</v>
      </c>
      <c r="CZ149">
        <f t="shared" si="178"/>
        <v>148.21250000000001</v>
      </c>
      <c r="DC149" t="s">
        <v>6</v>
      </c>
      <c r="DD149" t="s">
        <v>6</v>
      </c>
      <c r="DE149" t="s">
        <v>27</v>
      </c>
      <c r="DF149" t="s">
        <v>27</v>
      </c>
      <c r="DG149" t="s">
        <v>28</v>
      </c>
      <c r="DH149" t="s">
        <v>6</v>
      </c>
      <c r="DI149" t="s">
        <v>28</v>
      </c>
      <c r="DJ149" t="s">
        <v>27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1013</v>
      </c>
      <c r="DV149" t="s">
        <v>306</v>
      </c>
      <c r="DW149" t="s">
        <v>306</v>
      </c>
      <c r="DX149">
        <v>1</v>
      </c>
      <c r="EE149">
        <v>16510515</v>
      </c>
      <c r="EF149">
        <v>2</v>
      </c>
      <c r="EG149" t="s">
        <v>18</v>
      </c>
      <c r="EH149">
        <v>0</v>
      </c>
      <c r="EI149" t="s">
        <v>6</v>
      </c>
      <c r="EJ149">
        <v>1</v>
      </c>
      <c r="EK149">
        <v>17001</v>
      </c>
      <c r="EL149" t="s">
        <v>308</v>
      </c>
      <c r="EM149" t="s">
        <v>309</v>
      </c>
      <c r="EO149" t="s">
        <v>31</v>
      </c>
      <c r="EQ149">
        <v>0</v>
      </c>
      <c r="ER149">
        <v>351.57</v>
      </c>
      <c r="ES149">
        <v>34.82</v>
      </c>
      <c r="ET149">
        <v>25.74</v>
      </c>
      <c r="EU149">
        <v>5.59</v>
      </c>
      <c r="EV149">
        <v>291.01</v>
      </c>
      <c r="EW149">
        <v>30.25</v>
      </c>
      <c r="EX149">
        <v>0.46</v>
      </c>
      <c r="EY149">
        <v>0</v>
      </c>
      <c r="FQ149">
        <v>0</v>
      </c>
      <c r="FR149">
        <f t="shared" si="148"/>
        <v>0</v>
      </c>
      <c r="FS149">
        <v>0</v>
      </c>
      <c r="FT149" t="s">
        <v>21</v>
      </c>
      <c r="FU149" t="s">
        <v>22</v>
      </c>
      <c r="FX149">
        <v>115.2</v>
      </c>
      <c r="FY149">
        <v>70.55</v>
      </c>
      <c r="GA149" t="s">
        <v>6</v>
      </c>
      <c r="GD149">
        <v>0</v>
      </c>
      <c r="GF149">
        <v>1994425124</v>
      </c>
      <c r="GG149">
        <v>1</v>
      </c>
      <c r="GH149">
        <v>1</v>
      </c>
      <c r="GI149">
        <v>4</v>
      </c>
      <c r="GJ149">
        <v>0</v>
      </c>
      <c r="GK149">
        <f>ROUND(R149*(S12)/100,2)</f>
        <v>0</v>
      </c>
      <c r="GL149">
        <f t="shared" si="149"/>
        <v>0</v>
      </c>
      <c r="GM149">
        <f t="shared" si="179"/>
        <v>633.69000000000005</v>
      </c>
      <c r="GN149">
        <f t="shared" si="180"/>
        <v>633.69000000000005</v>
      </c>
      <c r="GO149">
        <f t="shared" si="181"/>
        <v>0</v>
      </c>
      <c r="GP149">
        <f t="shared" si="182"/>
        <v>0</v>
      </c>
      <c r="GR149">
        <v>0</v>
      </c>
      <c r="GS149">
        <v>3</v>
      </c>
      <c r="GT149">
        <v>0</v>
      </c>
      <c r="GU149" t="s">
        <v>6</v>
      </c>
      <c r="GV149">
        <f t="shared" si="183"/>
        <v>0</v>
      </c>
      <c r="GW149">
        <v>1</v>
      </c>
      <c r="GX149">
        <f t="shared" si="184"/>
        <v>0</v>
      </c>
      <c r="HA149">
        <v>0</v>
      </c>
      <c r="HB149">
        <v>0</v>
      </c>
      <c r="HC149">
        <f t="shared" si="185"/>
        <v>0</v>
      </c>
      <c r="IK149">
        <v>0</v>
      </c>
    </row>
    <row r="150" spans="1:255" x14ac:dyDescent="0.2">
      <c r="A150" s="2">
        <v>18</v>
      </c>
      <c r="B150" s="2">
        <v>1</v>
      </c>
      <c r="C150" s="2">
        <v>448</v>
      </c>
      <c r="D150" s="2"/>
      <c r="E150" s="2" t="s">
        <v>327</v>
      </c>
      <c r="F150" s="2" t="s">
        <v>328</v>
      </c>
      <c r="G150" s="2" t="s">
        <v>329</v>
      </c>
      <c r="H150" s="2" t="s">
        <v>222</v>
      </c>
      <c r="I150" s="2">
        <f>I148*J150</f>
        <v>1</v>
      </c>
      <c r="J150" s="2">
        <v>10</v>
      </c>
      <c r="K150" s="2"/>
      <c r="L150" s="2"/>
      <c r="M150" s="2"/>
      <c r="N150" s="2"/>
      <c r="O150" s="2">
        <f t="shared" si="150"/>
        <v>692.34</v>
      </c>
      <c r="P150" s="2">
        <f t="shared" si="151"/>
        <v>692.34</v>
      </c>
      <c r="Q150" s="2">
        <f t="shared" si="152"/>
        <v>0</v>
      </c>
      <c r="R150" s="2">
        <f t="shared" si="153"/>
        <v>0</v>
      </c>
      <c r="S150" s="2">
        <f t="shared" si="154"/>
        <v>0</v>
      </c>
      <c r="T150" s="2">
        <f t="shared" si="155"/>
        <v>0</v>
      </c>
      <c r="U150" s="2">
        <f t="shared" si="156"/>
        <v>0</v>
      </c>
      <c r="V150" s="2">
        <f t="shared" si="157"/>
        <v>0</v>
      </c>
      <c r="W150" s="2">
        <f t="shared" si="158"/>
        <v>0</v>
      </c>
      <c r="X150" s="2">
        <f t="shared" si="159"/>
        <v>0</v>
      </c>
      <c r="Y150" s="2">
        <f t="shared" si="160"/>
        <v>0</v>
      </c>
      <c r="Z150" s="2"/>
      <c r="AA150" s="2">
        <v>16784195</v>
      </c>
      <c r="AB150" s="2">
        <f t="shared" si="161"/>
        <v>692.34</v>
      </c>
      <c r="AC150" s="2">
        <f t="shared" si="162"/>
        <v>692.34</v>
      </c>
      <c r="AD150" s="2">
        <f>ROUND((((ET150)-(EU150))+AE150),2)</f>
        <v>0</v>
      </c>
      <c r="AE150" s="2">
        <f t="shared" ref="AE150:AF153" si="192">ROUND((EU150),2)</f>
        <v>0</v>
      </c>
      <c r="AF150" s="2">
        <f t="shared" si="192"/>
        <v>0</v>
      </c>
      <c r="AG150" s="2">
        <f t="shared" si="165"/>
        <v>0</v>
      </c>
      <c r="AH150" s="2">
        <f t="shared" ref="AH150:AI153" si="193">(EW150)</f>
        <v>0</v>
      </c>
      <c r="AI150" s="2">
        <f t="shared" si="193"/>
        <v>0</v>
      </c>
      <c r="AJ150" s="2">
        <f t="shared" si="167"/>
        <v>0</v>
      </c>
      <c r="AK150" s="2">
        <v>692.34</v>
      </c>
      <c r="AL150" s="2">
        <v>692.34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115</v>
      </c>
      <c r="AU150" s="2">
        <v>71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6</v>
      </c>
      <c r="BE150" s="2" t="s">
        <v>6</v>
      </c>
      <c r="BF150" s="2" t="s">
        <v>6</v>
      </c>
      <c r="BG150" s="2" t="s">
        <v>6</v>
      </c>
      <c r="BH150" s="2">
        <v>3</v>
      </c>
      <c r="BI150" s="2">
        <v>1</v>
      </c>
      <c r="BJ150" s="2" t="s">
        <v>330</v>
      </c>
      <c r="BK150" s="2"/>
      <c r="BL150" s="2"/>
      <c r="BM150" s="2">
        <v>17001</v>
      </c>
      <c r="BN150" s="2">
        <v>0</v>
      </c>
      <c r="BO150" s="2" t="s">
        <v>6</v>
      </c>
      <c r="BP150" s="2">
        <v>0</v>
      </c>
      <c r="BQ150" s="2">
        <v>2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6</v>
      </c>
      <c r="BZ150" s="2">
        <v>128</v>
      </c>
      <c r="CA150" s="2">
        <v>83</v>
      </c>
      <c r="CB150" s="2"/>
      <c r="CC150" s="2"/>
      <c r="CD150" s="2"/>
      <c r="CE150" s="2">
        <v>0</v>
      </c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6</v>
      </c>
      <c r="CO150" s="2">
        <v>0</v>
      </c>
      <c r="CP150" s="2">
        <f t="shared" si="168"/>
        <v>692.34</v>
      </c>
      <c r="CQ150" s="2">
        <f t="shared" si="169"/>
        <v>692.34</v>
      </c>
      <c r="CR150" s="2">
        <f t="shared" si="170"/>
        <v>0</v>
      </c>
      <c r="CS150" s="2">
        <f t="shared" si="171"/>
        <v>0</v>
      </c>
      <c r="CT150" s="2">
        <f t="shared" si="172"/>
        <v>0</v>
      </c>
      <c r="CU150" s="2">
        <f t="shared" si="173"/>
        <v>0</v>
      </c>
      <c r="CV150" s="2">
        <f t="shared" si="174"/>
        <v>0</v>
      </c>
      <c r="CW150" s="2">
        <f t="shared" si="175"/>
        <v>0</v>
      </c>
      <c r="CX150" s="2">
        <f t="shared" si="176"/>
        <v>0</v>
      </c>
      <c r="CY150" s="2">
        <f t="shared" si="177"/>
        <v>0</v>
      </c>
      <c r="CZ150" s="2">
        <f t="shared" si="178"/>
        <v>0</v>
      </c>
      <c r="DA150" s="2"/>
      <c r="DB150" s="2"/>
      <c r="DC150" s="2" t="s">
        <v>6</v>
      </c>
      <c r="DD150" s="2" t="s">
        <v>6</v>
      </c>
      <c r="DE150" s="2" t="s">
        <v>6</v>
      </c>
      <c r="DF150" s="2" t="s">
        <v>6</v>
      </c>
      <c r="DG150" s="2" t="s">
        <v>6</v>
      </c>
      <c r="DH150" s="2" t="s">
        <v>6</v>
      </c>
      <c r="DI150" s="2" t="s">
        <v>6</v>
      </c>
      <c r="DJ150" s="2" t="s">
        <v>6</v>
      </c>
      <c r="DK150" s="2" t="s">
        <v>6</v>
      </c>
      <c r="DL150" s="2" t="s">
        <v>6</v>
      </c>
      <c r="DM150" s="2" t="s">
        <v>6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1013</v>
      </c>
      <c r="DV150" s="2" t="s">
        <v>222</v>
      </c>
      <c r="DW150" s="2" t="s">
        <v>222</v>
      </c>
      <c r="DX150" s="2">
        <v>1</v>
      </c>
      <c r="DY150" s="2"/>
      <c r="DZ150" s="2"/>
      <c r="EA150" s="2"/>
      <c r="EB150" s="2"/>
      <c r="EC150" s="2"/>
      <c r="ED150" s="2"/>
      <c r="EE150" s="2">
        <v>16510515</v>
      </c>
      <c r="EF150" s="2">
        <v>2</v>
      </c>
      <c r="EG150" s="2" t="s">
        <v>18</v>
      </c>
      <c r="EH150" s="2">
        <v>0</v>
      </c>
      <c r="EI150" s="2" t="s">
        <v>6</v>
      </c>
      <c r="EJ150" s="2">
        <v>1</v>
      </c>
      <c r="EK150" s="2">
        <v>17001</v>
      </c>
      <c r="EL150" s="2" t="s">
        <v>308</v>
      </c>
      <c r="EM150" s="2" t="s">
        <v>309</v>
      </c>
      <c r="EN150" s="2"/>
      <c r="EO150" s="2" t="s">
        <v>6</v>
      </c>
      <c r="EP150" s="2"/>
      <c r="EQ150" s="2">
        <v>0</v>
      </c>
      <c r="ER150" s="2">
        <v>692.34</v>
      </c>
      <c r="ES150" s="2">
        <v>692.34</v>
      </c>
      <c r="ET150" s="2">
        <v>0</v>
      </c>
      <c r="EU150" s="2">
        <v>0</v>
      </c>
      <c r="EV150" s="2">
        <v>0</v>
      </c>
      <c r="EW150" s="2">
        <v>0</v>
      </c>
      <c r="EX150" s="2">
        <v>0</v>
      </c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48"/>
        <v>0</v>
      </c>
      <c r="FS150" s="2">
        <v>0</v>
      </c>
      <c r="FT150" s="2" t="s">
        <v>21</v>
      </c>
      <c r="FU150" s="2" t="s">
        <v>22</v>
      </c>
      <c r="FV150" s="2"/>
      <c r="FW150" s="2"/>
      <c r="FX150" s="2">
        <v>115.2</v>
      </c>
      <c r="FY150" s="2">
        <v>70.55</v>
      </c>
      <c r="FZ150" s="2"/>
      <c r="GA150" s="2" t="s">
        <v>6</v>
      </c>
      <c r="GB150" s="2"/>
      <c r="GC150" s="2"/>
      <c r="GD150" s="2">
        <v>0</v>
      </c>
      <c r="GE150" s="2"/>
      <c r="GF150" s="2">
        <v>278766583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49"/>
        <v>0</v>
      </c>
      <c r="GM150" s="2">
        <f t="shared" si="179"/>
        <v>692.34</v>
      </c>
      <c r="GN150" s="2">
        <f t="shared" si="180"/>
        <v>692.34</v>
      </c>
      <c r="GO150" s="2">
        <f t="shared" si="181"/>
        <v>0</v>
      </c>
      <c r="GP150" s="2">
        <f t="shared" si="182"/>
        <v>0</v>
      </c>
      <c r="GQ150" s="2"/>
      <c r="GR150" s="2">
        <v>0</v>
      </c>
      <c r="GS150" s="2">
        <v>3</v>
      </c>
      <c r="GT150" s="2">
        <v>0</v>
      </c>
      <c r="GU150" s="2" t="s">
        <v>6</v>
      </c>
      <c r="GV150" s="2">
        <f t="shared" si="183"/>
        <v>0</v>
      </c>
      <c r="GW150" s="2">
        <v>1</v>
      </c>
      <c r="GX150" s="2">
        <f t="shared" si="184"/>
        <v>0</v>
      </c>
      <c r="GY150" s="2"/>
      <c r="GZ150" s="2"/>
      <c r="HA150" s="2">
        <v>0</v>
      </c>
      <c r="HB150" s="2">
        <v>0</v>
      </c>
      <c r="HC150" s="2">
        <f t="shared" si="185"/>
        <v>0</v>
      </c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18</v>
      </c>
      <c r="B151">
        <v>1</v>
      </c>
      <c r="C151">
        <v>459</v>
      </c>
      <c r="E151" t="s">
        <v>327</v>
      </c>
      <c r="F151" t="s">
        <v>328</v>
      </c>
      <c r="G151" t="s">
        <v>329</v>
      </c>
      <c r="H151" t="s">
        <v>222</v>
      </c>
      <c r="I151">
        <f>I149*J151</f>
        <v>1</v>
      </c>
      <c r="J151">
        <v>10</v>
      </c>
      <c r="O151">
        <f t="shared" si="150"/>
        <v>4230.2</v>
      </c>
      <c r="P151">
        <f t="shared" si="151"/>
        <v>4230.2</v>
      </c>
      <c r="Q151">
        <f t="shared" si="152"/>
        <v>0</v>
      </c>
      <c r="R151">
        <f t="shared" si="153"/>
        <v>0</v>
      </c>
      <c r="S151">
        <f t="shared" si="154"/>
        <v>0</v>
      </c>
      <c r="T151">
        <f t="shared" si="155"/>
        <v>0</v>
      </c>
      <c r="U151">
        <f t="shared" si="156"/>
        <v>0</v>
      </c>
      <c r="V151">
        <f t="shared" si="157"/>
        <v>0</v>
      </c>
      <c r="W151">
        <f t="shared" si="158"/>
        <v>0</v>
      </c>
      <c r="X151">
        <f t="shared" si="159"/>
        <v>0</v>
      </c>
      <c r="Y151">
        <f t="shared" si="160"/>
        <v>0</v>
      </c>
      <c r="AA151">
        <v>16784196</v>
      </c>
      <c r="AB151">
        <f t="shared" si="161"/>
        <v>692.34</v>
      </c>
      <c r="AC151">
        <f t="shared" si="162"/>
        <v>692.34</v>
      </c>
      <c r="AD151">
        <f>ROUND((((ET151)-(EU151))+AE151),2)</f>
        <v>0</v>
      </c>
      <c r="AE151">
        <f t="shared" si="192"/>
        <v>0</v>
      </c>
      <c r="AF151">
        <f t="shared" si="192"/>
        <v>0</v>
      </c>
      <c r="AG151">
        <f t="shared" si="165"/>
        <v>0</v>
      </c>
      <c r="AH151">
        <f t="shared" si="193"/>
        <v>0</v>
      </c>
      <c r="AI151">
        <f t="shared" si="193"/>
        <v>0</v>
      </c>
      <c r="AJ151">
        <f t="shared" si="167"/>
        <v>0</v>
      </c>
      <c r="AK151">
        <v>692.34</v>
      </c>
      <c r="AL151">
        <v>692.34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115</v>
      </c>
      <c r="AU151">
        <v>71</v>
      </c>
      <c r="AV151">
        <v>1</v>
      </c>
      <c r="AW151">
        <v>1</v>
      </c>
      <c r="AZ151">
        <v>6.11</v>
      </c>
      <c r="BA151">
        <v>1</v>
      </c>
      <c r="BB151">
        <v>1</v>
      </c>
      <c r="BC151">
        <v>6.11</v>
      </c>
      <c r="BD151" t="s">
        <v>6</v>
      </c>
      <c r="BE151" t="s">
        <v>6</v>
      </c>
      <c r="BF151" t="s">
        <v>6</v>
      </c>
      <c r="BG151" t="s">
        <v>6</v>
      </c>
      <c r="BH151">
        <v>3</v>
      </c>
      <c r="BI151">
        <v>1</v>
      </c>
      <c r="BJ151" t="s">
        <v>330</v>
      </c>
      <c r="BM151">
        <v>17001</v>
      </c>
      <c r="BN151">
        <v>0</v>
      </c>
      <c r="BO151" t="s">
        <v>6</v>
      </c>
      <c r="BP151">
        <v>0</v>
      </c>
      <c r="BQ151">
        <v>2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128</v>
      </c>
      <c r="CA151">
        <v>83</v>
      </c>
      <c r="CE151">
        <v>0</v>
      </c>
      <c r="CF151">
        <v>0</v>
      </c>
      <c r="CG151">
        <v>0</v>
      </c>
      <c r="CM151">
        <v>0</v>
      </c>
      <c r="CN151" t="s">
        <v>6</v>
      </c>
      <c r="CO151">
        <v>0</v>
      </c>
      <c r="CP151">
        <f t="shared" si="168"/>
        <v>4230.2</v>
      </c>
      <c r="CQ151">
        <f t="shared" si="169"/>
        <v>4230.1974</v>
      </c>
      <c r="CR151">
        <f t="shared" si="170"/>
        <v>0</v>
      </c>
      <c r="CS151">
        <f t="shared" si="171"/>
        <v>0</v>
      </c>
      <c r="CT151">
        <f t="shared" si="172"/>
        <v>0</v>
      </c>
      <c r="CU151">
        <f t="shared" si="173"/>
        <v>0</v>
      </c>
      <c r="CV151">
        <f t="shared" si="174"/>
        <v>0</v>
      </c>
      <c r="CW151">
        <f t="shared" si="175"/>
        <v>0</v>
      </c>
      <c r="CX151">
        <f t="shared" si="176"/>
        <v>0</v>
      </c>
      <c r="CY151">
        <f t="shared" si="177"/>
        <v>0</v>
      </c>
      <c r="CZ151">
        <f t="shared" si="178"/>
        <v>0</v>
      </c>
      <c r="DC151" t="s">
        <v>6</v>
      </c>
      <c r="DD151" t="s">
        <v>6</v>
      </c>
      <c r="DE151" t="s">
        <v>6</v>
      </c>
      <c r="DF151" t="s">
        <v>6</v>
      </c>
      <c r="DG151" t="s">
        <v>6</v>
      </c>
      <c r="DH151" t="s">
        <v>6</v>
      </c>
      <c r="DI151" t="s">
        <v>6</v>
      </c>
      <c r="DJ151" t="s">
        <v>6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1013</v>
      </c>
      <c r="DV151" t="s">
        <v>222</v>
      </c>
      <c r="DW151" t="s">
        <v>222</v>
      </c>
      <c r="DX151">
        <v>1</v>
      </c>
      <c r="EE151">
        <v>16510515</v>
      </c>
      <c r="EF151">
        <v>2</v>
      </c>
      <c r="EG151" t="s">
        <v>18</v>
      </c>
      <c r="EH151">
        <v>0</v>
      </c>
      <c r="EI151" t="s">
        <v>6</v>
      </c>
      <c r="EJ151">
        <v>1</v>
      </c>
      <c r="EK151">
        <v>17001</v>
      </c>
      <c r="EL151" t="s">
        <v>308</v>
      </c>
      <c r="EM151" t="s">
        <v>309</v>
      </c>
      <c r="EO151" t="s">
        <v>6</v>
      </c>
      <c r="EQ151">
        <v>0</v>
      </c>
      <c r="ER151">
        <v>692.34</v>
      </c>
      <c r="ES151">
        <v>692.34</v>
      </c>
      <c r="ET151">
        <v>0</v>
      </c>
      <c r="EU151">
        <v>0</v>
      </c>
      <c r="EV151">
        <v>0</v>
      </c>
      <c r="EW151">
        <v>0</v>
      </c>
      <c r="EX151">
        <v>0</v>
      </c>
      <c r="FQ151">
        <v>0</v>
      </c>
      <c r="FR151">
        <f t="shared" si="148"/>
        <v>0</v>
      </c>
      <c r="FS151">
        <v>0</v>
      </c>
      <c r="FT151" t="s">
        <v>21</v>
      </c>
      <c r="FU151" t="s">
        <v>22</v>
      </c>
      <c r="FX151">
        <v>115.2</v>
      </c>
      <c r="FY151">
        <v>70.55</v>
      </c>
      <c r="GA151" t="s">
        <v>6</v>
      </c>
      <c r="GD151">
        <v>0</v>
      </c>
      <c r="GF151">
        <v>278766583</v>
      </c>
      <c r="GG151">
        <v>1</v>
      </c>
      <c r="GH151">
        <v>1</v>
      </c>
      <c r="GI151">
        <v>4</v>
      </c>
      <c r="GJ151">
        <v>0</v>
      </c>
      <c r="GK151">
        <f>ROUND(R151*(S12)/100,2)</f>
        <v>0</v>
      </c>
      <c r="GL151">
        <f t="shared" si="149"/>
        <v>0</v>
      </c>
      <c r="GM151">
        <f t="shared" si="179"/>
        <v>4230.2</v>
      </c>
      <c r="GN151">
        <f t="shared" si="180"/>
        <v>4230.2</v>
      </c>
      <c r="GO151">
        <f t="shared" si="181"/>
        <v>0</v>
      </c>
      <c r="GP151">
        <f t="shared" si="182"/>
        <v>0</v>
      </c>
      <c r="GR151">
        <v>0</v>
      </c>
      <c r="GS151">
        <v>3</v>
      </c>
      <c r="GT151">
        <v>0</v>
      </c>
      <c r="GU151" t="s">
        <v>6</v>
      </c>
      <c r="GV151">
        <f t="shared" si="183"/>
        <v>0</v>
      </c>
      <c r="GW151">
        <v>1</v>
      </c>
      <c r="GX151">
        <f t="shared" si="184"/>
        <v>0</v>
      </c>
      <c r="HA151">
        <v>0</v>
      </c>
      <c r="HB151">
        <v>0</v>
      </c>
      <c r="HC151">
        <f t="shared" si="185"/>
        <v>0</v>
      </c>
      <c r="IK151">
        <v>0</v>
      </c>
    </row>
    <row r="152" spans="1:255" x14ac:dyDescent="0.2">
      <c r="A152" s="2">
        <v>18</v>
      </c>
      <c r="B152" s="2">
        <v>1</v>
      </c>
      <c r="C152" s="2">
        <v>449</v>
      </c>
      <c r="D152" s="2"/>
      <c r="E152" s="2" t="s">
        <v>331</v>
      </c>
      <c r="F152" s="2" t="s">
        <v>332</v>
      </c>
      <c r="G152" s="2" t="s">
        <v>333</v>
      </c>
      <c r="H152" s="2" t="s">
        <v>222</v>
      </c>
      <c r="I152" s="2">
        <f>I148*J152</f>
        <v>1</v>
      </c>
      <c r="J152" s="2">
        <v>10</v>
      </c>
      <c r="K152" s="2"/>
      <c r="L152" s="2"/>
      <c r="M152" s="2"/>
      <c r="N152" s="2"/>
      <c r="O152" s="2">
        <f t="shared" si="150"/>
        <v>0</v>
      </c>
      <c r="P152" s="2">
        <f t="shared" si="151"/>
        <v>0</v>
      </c>
      <c r="Q152" s="2">
        <f t="shared" si="152"/>
        <v>0</v>
      </c>
      <c r="R152" s="2">
        <f t="shared" si="153"/>
        <v>0</v>
      </c>
      <c r="S152" s="2">
        <f t="shared" si="154"/>
        <v>0</v>
      </c>
      <c r="T152" s="2">
        <f t="shared" si="155"/>
        <v>0</v>
      </c>
      <c r="U152" s="2">
        <f t="shared" si="156"/>
        <v>0</v>
      </c>
      <c r="V152" s="2">
        <f t="shared" si="157"/>
        <v>0</v>
      </c>
      <c r="W152" s="2">
        <f t="shared" si="158"/>
        <v>0</v>
      </c>
      <c r="X152" s="2">
        <f t="shared" si="159"/>
        <v>0</v>
      </c>
      <c r="Y152" s="2">
        <f t="shared" si="160"/>
        <v>0</v>
      </c>
      <c r="Z152" s="2"/>
      <c r="AA152" s="2">
        <v>16784195</v>
      </c>
      <c r="AB152" s="2">
        <f t="shared" si="161"/>
        <v>0</v>
      </c>
      <c r="AC152" s="2">
        <f t="shared" si="162"/>
        <v>0</v>
      </c>
      <c r="AD152" s="2">
        <f>ROUND((((ET152)-(EU152))+AE152),2)</f>
        <v>0</v>
      </c>
      <c r="AE152" s="2">
        <f t="shared" si="192"/>
        <v>0</v>
      </c>
      <c r="AF152" s="2">
        <f t="shared" si="192"/>
        <v>0</v>
      </c>
      <c r="AG152" s="2">
        <f t="shared" si="165"/>
        <v>0</v>
      </c>
      <c r="AH152" s="2">
        <f t="shared" si="193"/>
        <v>0</v>
      </c>
      <c r="AI152" s="2">
        <f t="shared" si="193"/>
        <v>0</v>
      </c>
      <c r="AJ152" s="2">
        <f t="shared" si="167"/>
        <v>0</v>
      </c>
      <c r="AK152" s="2">
        <v>0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115</v>
      </c>
      <c r="AU152" s="2">
        <v>71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6</v>
      </c>
      <c r="BE152" s="2" t="s">
        <v>6</v>
      </c>
      <c r="BF152" s="2" t="s">
        <v>6</v>
      </c>
      <c r="BG152" s="2" t="s">
        <v>6</v>
      </c>
      <c r="BH152" s="2">
        <v>3</v>
      </c>
      <c r="BI152" s="2">
        <v>1</v>
      </c>
      <c r="BJ152" s="2" t="s">
        <v>6</v>
      </c>
      <c r="BK152" s="2"/>
      <c r="BL152" s="2"/>
      <c r="BM152" s="2">
        <v>17001</v>
      </c>
      <c r="BN152" s="2">
        <v>0</v>
      </c>
      <c r="BO152" s="2" t="s">
        <v>6</v>
      </c>
      <c r="BP152" s="2">
        <v>0</v>
      </c>
      <c r="BQ152" s="2">
        <v>2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6</v>
      </c>
      <c r="BZ152" s="2">
        <v>128</v>
      </c>
      <c r="CA152" s="2">
        <v>83</v>
      </c>
      <c r="CB152" s="2"/>
      <c r="CC152" s="2"/>
      <c r="CD152" s="2"/>
      <c r="CE152" s="2">
        <v>0</v>
      </c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6</v>
      </c>
      <c r="CO152" s="2">
        <v>0</v>
      </c>
      <c r="CP152" s="2">
        <f t="shared" si="168"/>
        <v>0</v>
      </c>
      <c r="CQ152" s="2">
        <f t="shared" si="169"/>
        <v>0</v>
      </c>
      <c r="CR152" s="2">
        <f t="shared" si="170"/>
        <v>0</v>
      </c>
      <c r="CS152" s="2">
        <f t="shared" si="171"/>
        <v>0</v>
      </c>
      <c r="CT152" s="2">
        <f t="shared" si="172"/>
        <v>0</v>
      </c>
      <c r="CU152" s="2">
        <f t="shared" si="173"/>
        <v>0</v>
      </c>
      <c r="CV152" s="2">
        <f t="shared" si="174"/>
        <v>0</v>
      </c>
      <c r="CW152" s="2">
        <f t="shared" si="175"/>
        <v>0</v>
      </c>
      <c r="CX152" s="2">
        <f t="shared" si="176"/>
        <v>0</v>
      </c>
      <c r="CY152" s="2">
        <f t="shared" si="177"/>
        <v>0</v>
      </c>
      <c r="CZ152" s="2">
        <f t="shared" si="178"/>
        <v>0</v>
      </c>
      <c r="DA152" s="2"/>
      <c r="DB152" s="2"/>
      <c r="DC152" s="2" t="s">
        <v>6</v>
      </c>
      <c r="DD152" s="2" t="s">
        <v>6</v>
      </c>
      <c r="DE152" s="2" t="s">
        <v>6</v>
      </c>
      <c r="DF152" s="2" t="s">
        <v>6</v>
      </c>
      <c r="DG152" s="2" t="s">
        <v>6</v>
      </c>
      <c r="DH152" s="2" t="s">
        <v>6</v>
      </c>
      <c r="DI152" s="2" t="s">
        <v>6</v>
      </c>
      <c r="DJ152" s="2" t="s">
        <v>6</v>
      </c>
      <c r="DK152" s="2" t="s">
        <v>6</v>
      </c>
      <c r="DL152" s="2" t="s">
        <v>6</v>
      </c>
      <c r="DM152" s="2" t="s">
        <v>6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1013</v>
      </c>
      <c r="DV152" s="2" t="s">
        <v>222</v>
      </c>
      <c r="DW152" s="2" t="s">
        <v>222</v>
      </c>
      <c r="DX152" s="2">
        <v>1</v>
      </c>
      <c r="DY152" s="2"/>
      <c r="DZ152" s="2"/>
      <c r="EA152" s="2"/>
      <c r="EB152" s="2"/>
      <c r="EC152" s="2"/>
      <c r="ED152" s="2"/>
      <c r="EE152" s="2">
        <v>16510515</v>
      </c>
      <c r="EF152" s="2">
        <v>2</v>
      </c>
      <c r="EG152" s="2" t="s">
        <v>18</v>
      </c>
      <c r="EH152" s="2">
        <v>0</v>
      </c>
      <c r="EI152" s="2" t="s">
        <v>6</v>
      </c>
      <c r="EJ152" s="2">
        <v>1</v>
      </c>
      <c r="EK152" s="2">
        <v>17001</v>
      </c>
      <c r="EL152" s="2" t="s">
        <v>308</v>
      </c>
      <c r="EM152" s="2" t="s">
        <v>309</v>
      </c>
      <c r="EN152" s="2"/>
      <c r="EO152" s="2" t="s">
        <v>6</v>
      </c>
      <c r="EP152" s="2"/>
      <c r="EQ152" s="2">
        <v>0</v>
      </c>
      <c r="ER152" s="2">
        <v>0</v>
      </c>
      <c r="ES152" s="2">
        <v>0</v>
      </c>
      <c r="ET152" s="2">
        <v>0</v>
      </c>
      <c r="EU152" s="2">
        <v>0</v>
      </c>
      <c r="EV152" s="2">
        <v>0</v>
      </c>
      <c r="EW152" s="2">
        <v>0</v>
      </c>
      <c r="EX152" s="2">
        <v>0</v>
      </c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ref="FR152:FR173" si="194">ROUND(IF(AND(BH152=3,BI152=3),P152,0),2)</f>
        <v>0</v>
      </c>
      <c r="FS152" s="2">
        <v>0</v>
      </c>
      <c r="FT152" s="2" t="s">
        <v>21</v>
      </c>
      <c r="FU152" s="2" t="s">
        <v>22</v>
      </c>
      <c r="FV152" s="2"/>
      <c r="FW152" s="2"/>
      <c r="FX152" s="2">
        <v>115.2</v>
      </c>
      <c r="FY152" s="2">
        <v>70.55</v>
      </c>
      <c r="FZ152" s="2"/>
      <c r="GA152" s="2" t="s">
        <v>6</v>
      </c>
      <c r="GB152" s="2"/>
      <c r="GC152" s="2"/>
      <c r="GD152" s="2">
        <v>0</v>
      </c>
      <c r="GE152" s="2"/>
      <c r="GF152" s="2">
        <v>195171381</v>
      </c>
      <c r="GG152" s="2">
        <v>2</v>
      </c>
      <c r="GH152" s="2">
        <v>1</v>
      </c>
      <c r="GI152" s="2">
        <v>-2</v>
      </c>
      <c r="GJ152" s="2">
        <v>0</v>
      </c>
      <c r="GK152" s="2">
        <f>ROUND(R152*(R12)/100,2)</f>
        <v>0</v>
      </c>
      <c r="GL152" s="2">
        <f t="shared" ref="GL152:GL173" si="195">ROUND(IF(AND(BH152=3,BI152=3,FS152&lt;&gt;0),P152,0),2)</f>
        <v>0</v>
      </c>
      <c r="GM152" s="2">
        <f t="shared" si="179"/>
        <v>0</v>
      </c>
      <c r="GN152" s="2">
        <f t="shared" si="180"/>
        <v>0</v>
      </c>
      <c r="GO152" s="2">
        <f t="shared" si="181"/>
        <v>0</v>
      </c>
      <c r="GP152" s="2">
        <f t="shared" si="182"/>
        <v>0</v>
      </c>
      <c r="GQ152" s="2"/>
      <c r="GR152" s="2">
        <v>0</v>
      </c>
      <c r="GS152" s="2">
        <v>3</v>
      </c>
      <c r="GT152" s="2">
        <v>0</v>
      </c>
      <c r="GU152" s="2" t="s">
        <v>6</v>
      </c>
      <c r="GV152" s="2">
        <f t="shared" si="183"/>
        <v>0</v>
      </c>
      <c r="GW152" s="2">
        <v>1</v>
      </c>
      <c r="GX152" s="2">
        <f t="shared" si="184"/>
        <v>0</v>
      </c>
      <c r="GY152" s="2"/>
      <c r="GZ152" s="2"/>
      <c r="HA152" s="2">
        <v>0</v>
      </c>
      <c r="HB152" s="2">
        <v>0</v>
      </c>
      <c r="HC152" s="2">
        <f t="shared" si="185"/>
        <v>0</v>
      </c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18</v>
      </c>
      <c r="B153">
        <v>1</v>
      </c>
      <c r="C153">
        <v>460</v>
      </c>
      <c r="E153" t="s">
        <v>331</v>
      </c>
      <c r="F153" t="s">
        <v>332</v>
      </c>
      <c r="G153" t="s">
        <v>333</v>
      </c>
      <c r="H153" t="s">
        <v>222</v>
      </c>
      <c r="I153">
        <f>I149*J153</f>
        <v>1</v>
      </c>
      <c r="J153">
        <v>10</v>
      </c>
      <c r="O153">
        <f t="shared" si="150"/>
        <v>0</v>
      </c>
      <c r="P153">
        <f t="shared" si="151"/>
        <v>0</v>
      </c>
      <c r="Q153">
        <f t="shared" si="152"/>
        <v>0</v>
      </c>
      <c r="R153">
        <f t="shared" si="153"/>
        <v>0</v>
      </c>
      <c r="S153">
        <f t="shared" si="154"/>
        <v>0</v>
      </c>
      <c r="T153">
        <f t="shared" si="155"/>
        <v>0</v>
      </c>
      <c r="U153">
        <f t="shared" si="156"/>
        <v>0</v>
      </c>
      <c r="V153">
        <f t="shared" si="157"/>
        <v>0</v>
      </c>
      <c r="W153">
        <f t="shared" si="158"/>
        <v>0</v>
      </c>
      <c r="X153">
        <f t="shared" si="159"/>
        <v>0</v>
      </c>
      <c r="Y153">
        <f t="shared" si="160"/>
        <v>0</v>
      </c>
      <c r="AA153">
        <v>16784196</v>
      </c>
      <c r="AB153">
        <f t="shared" si="161"/>
        <v>0</v>
      </c>
      <c r="AC153">
        <f t="shared" si="162"/>
        <v>0</v>
      </c>
      <c r="AD153">
        <f>ROUND((((ET153)-(EU153))+AE153),2)</f>
        <v>0</v>
      </c>
      <c r="AE153">
        <f t="shared" si="192"/>
        <v>0</v>
      </c>
      <c r="AF153">
        <f t="shared" si="192"/>
        <v>0</v>
      </c>
      <c r="AG153">
        <f t="shared" si="165"/>
        <v>0</v>
      </c>
      <c r="AH153">
        <f t="shared" si="193"/>
        <v>0</v>
      </c>
      <c r="AI153">
        <f t="shared" si="193"/>
        <v>0</v>
      </c>
      <c r="AJ153">
        <f t="shared" si="167"/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115</v>
      </c>
      <c r="AU153">
        <v>71</v>
      </c>
      <c r="AV153">
        <v>1</v>
      </c>
      <c r="AW153">
        <v>1</v>
      </c>
      <c r="AZ153">
        <v>6.11</v>
      </c>
      <c r="BA153">
        <v>1</v>
      </c>
      <c r="BB153">
        <v>1</v>
      </c>
      <c r="BC153">
        <v>6.11</v>
      </c>
      <c r="BD153" t="s">
        <v>6</v>
      </c>
      <c r="BE153" t="s">
        <v>6</v>
      </c>
      <c r="BF153" t="s">
        <v>6</v>
      </c>
      <c r="BG153" t="s">
        <v>6</v>
      </c>
      <c r="BH153">
        <v>3</v>
      </c>
      <c r="BI153">
        <v>1</v>
      </c>
      <c r="BJ153" t="s">
        <v>6</v>
      </c>
      <c r="BM153">
        <v>17001</v>
      </c>
      <c r="BN153">
        <v>0</v>
      </c>
      <c r="BO153" t="s">
        <v>6</v>
      </c>
      <c r="BP153">
        <v>0</v>
      </c>
      <c r="BQ153">
        <v>2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128</v>
      </c>
      <c r="CA153">
        <v>83</v>
      </c>
      <c r="CE153">
        <v>0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 t="shared" si="168"/>
        <v>0</v>
      </c>
      <c r="CQ153">
        <f t="shared" si="169"/>
        <v>0</v>
      </c>
      <c r="CR153">
        <f t="shared" si="170"/>
        <v>0</v>
      </c>
      <c r="CS153">
        <f t="shared" si="171"/>
        <v>0</v>
      </c>
      <c r="CT153">
        <f t="shared" si="172"/>
        <v>0</v>
      </c>
      <c r="CU153">
        <f t="shared" si="173"/>
        <v>0</v>
      </c>
      <c r="CV153">
        <f t="shared" si="174"/>
        <v>0</v>
      </c>
      <c r="CW153">
        <f t="shared" si="175"/>
        <v>0</v>
      </c>
      <c r="CX153">
        <f t="shared" si="176"/>
        <v>0</v>
      </c>
      <c r="CY153">
        <f t="shared" si="177"/>
        <v>0</v>
      </c>
      <c r="CZ153">
        <f t="shared" si="178"/>
        <v>0</v>
      </c>
      <c r="DC153" t="s">
        <v>6</v>
      </c>
      <c r="DD153" t="s">
        <v>6</v>
      </c>
      <c r="DE153" t="s">
        <v>6</v>
      </c>
      <c r="DF153" t="s">
        <v>6</v>
      </c>
      <c r="DG153" t="s">
        <v>6</v>
      </c>
      <c r="DH153" t="s">
        <v>6</v>
      </c>
      <c r="DI153" t="s">
        <v>6</v>
      </c>
      <c r="DJ153" t="s">
        <v>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1013</v>
      </c>
      <c r="DV153" t="s">
        <v>222</v>
      </c>
      <c r="DW153" t="s">
        <v>222</v>
      </c>
      <c r="DX153">
        <v>1</v>
      </c>
      <c r="EE153">
        <v>16510515</v>
      </c>
      <c r="EF153">
        <v>2</v>
      </c>
      <c r="EG153" t="s">
        <v>18</v>
      </c>
      <c r="EH153">
        <v>0</v>
      </c>
      <c r="EI153" t="s">
        <v>6</v>
      </c>
      <c r="EJ153">
        <v>1</v>
      </c>
      <c r="EK153">
        <v>17001</v>
      </c>
      <c r="EL153" t="s">
        <v>308</v>
      </c>
      <c r="EM153" t="s">
        <v>309</v>
      </c>
      <c r="EO153" t="s">
        <v>6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FQ153">
        <v>0</v>
      </c>
      <c r="FR153">
        <f t="shared" si="194"/>
        <v>0</v>
      </c>
      <c r="FS153">
        <v>0</v>
      </c>
      <c r="FT153" t="s">
        <v>21</v>
      </c>
      <c r="FU153" t="s">
        <v>22</v>
      </c>
      <c r="FX153">
        <v>115.2</v>
      </c>
      <c r="FY153">
        <v>70.55</v>
      </c>
      <c r="GA153" t="s">
        <v>6</v>
      </c>
      <c r="GD153">
        <v>0</v>
      </c>
      <c r="GF153">
        <v>195171381</v>
      </c>
      <c r="GG153">
        <v>1</v>
      </c>
      <c r="GH153">
        <v>1</v>
      </c>
      <c r="GI153">
        <v>4</v>
      </c>
      <c r="GJ153">
        <v>0</v>
      </c>
      <c r="GK153">
        <f>ROUND(R153*(S12)/100,2)</f>
        <v>0</v>
      </c>
      <c r="GL153">
        <f t="shared" si="195"/>
        <v>0</v>
      </c>
      <c r="GM153">
        <f t="shared" si="179"/>
        <v>0</v>
      </c>
      <c r="GN153">
        <f t="shared" si="180"/>
        <v>0</v>
      </c>
      <c r="GO153">
        <f t="shared" si="181"/>
        <v>0</v>
      </c>
      <c r="GP153">
        <f t="shared" si="182"/>
        <v>0</v>
      </c>
      <c r="GR153">
        <v>0</v>
      </c>
      <c r="GS153">
        <v>3</v>
      </c>
      <c r="GT153">
        <v>0</v>
      </c>
      <c r="GU153" t="s">
        <v>6</v>
      </c>
      <c r="GV153">
        <f t="shared" si="183"/>
        <v>0</v>
      </c>
      <c r="GW153">
        <v>1</v>
      </c>
      <c r="GX153">
        <f t="shared" si="184"/>
        <v>0</v>
      </c>
      <c r="HA153">
        <v>0</v>
      </c>
      <c r="HB153">
        <v>0</v>
      </c>
      <c r="HC153">
        <f t="shared" si="185"/>
        <v>0</v>
      </c>
      <c r="IK153">
        <v>0</v>
      </c>
    </row>
    <row r="154" spans="1:255" x14ac:dyDescent="0.2">
      <c r="A154" s="2">
        <v>17</v>
      </c>
      <c r="B154" s="2">
        <v>1</v>
      </c>
      <c r="C154" s="2">
        <f>ROW(SmtRes!A470)</f>
        <v>470</v>
      </c>
      <c r="D154" s="2">
        <f>ROW(EtalonRes!A492)</f>
        <v>492</v>
      </c>
      <c r="E154" s="2" t="s">
        <v>334</v>
      </c>
      <c r="F154" s="2" t="s">
        <v>335</v>
      </c>
      <c r="G154" s="2" t="s">
        <v>336</v>
      </c>
      <c r="H154" s="2" t="s">
        <v>306</v>
      </c>
      <c r="I154" s="2">
        <f>ROUND(1/10,9)</f>
        <v>0.1</v>
      </c>
      <c r="J154" s="2">
        <v>0</v>
      </c>
      <c r="K154" s="2"/>
      <c r="L154" s="2"/>
      <c r="M154" s="2"/>
      <c r="N154" s="2"/>
      <c r="O154" s="2">
        <f t="shared" si="150"/>
        <v>30.49</v>
      </c>
      <c r="P154" s="2">
        <f t="shared" si="151"/>
        <v>4.22</v>
      </c>
      <c r="Q154" s="2">
        <f t="shared" si="152"/>
        <v>2.3199999999999998</v>
      </c>
      <c r="R154" s="2">
        <f t="shared" si="153"/>
        <v>0.54</v>
      </c>
      <c r="S154" s="2">
        <f t="shared" si="154"/>
        <v>23.95</v>
      </c>
      <c r="T154" s="2">
        <f t="shared" si="155"/>
        <v>0</v>
      </c>
      <c r="U154" s="2">
        <f t="shared" si="156"/>
        <v>2.4897499999999999</v>
      </c>
      <c r="V154" s="2">
        <f t="shared" si="157"/>
        <v>4.3750000000000004E-2</v>
      </c>
      <c r="W154" s="2">
        <f t="shared" si="158"/>
        <v>0</v>
      </c>
      <c r="X154" s="2">
        <f t="shared" si="159"/>
        <v>28.16</v>
      </c>
      <c r="Y154" s="2">
        <f t="shared" si="160"/>
        <v>17.39</v>
      </c>
      <c r="Z154" s="2"/>
      <c r="AA154" s="2">
        <v>16784195</v>
      </c>
      <c r="AB154" s="2">
        <f t="shared" si="161"/>
        <v>304.85000000000002</v>
      </c>
      <c r="AC154" s="2">
        <f t="shared" si="162"/>
        <v>42.19</v>
      </c>
      <c r="AD154" s="2">
        <f>ROUND(((((ET154*1.25))-((EU154*1.25)))+AE154),2)</f>
        <v>23.15</v>
      </c>
      <c r="AE154" s="2">
        <f>ROUND(((EU154*1.25)),2)</f>
        <v>5.39</v>
      </c>
      <c r="AF154" s="2">
        <f>ROUND(((EV154*1.15)),2)</f>
        <v>239.51</v>
      </c>
      <c r="AG154" s="2">
        <f t="shared" si="165"/>
        <v>0</v>
      </c>
      <c r="AH154" s="2">
        <f>((EW154*1.15))</f>
        <v>24.897499999999997</v>
      </c>
      <c r="AI154" s="2">
        <f>((EX154*1.25))</f>
        <v>0.4375</v>
      </c>
      <c r="AJ154" s="2">
        <f t="shared" si="167"/>
        <v>0</v>
      </c>
      <c r="AK154" s="2">
        <v>268.98</v>
      </c>
      <c r="AL154" s="2">
        <v>42.19</v>
      </c>
      <c r="AM154" s="2">
        <v>18.52</v>
      </c>
      <c r="AN154" s="2">
        <v>4.3099999999999996</v>
      </c>
      <c r="AO154" s="2">
        <v>208.27</v>
      </c>
      <c r="AP154" s="2">
        <v>0</v>
      </c>
      <c r="AQ154" s="2">
        <v>21.65</v>
      </c>
      <c r="AR154" s="2">
        <v>0.35</v>
      </c>
      <c r="AS154" s="2">
        <v>0</v>
      </c>
      <c r="AT154" s="2">
        <v>115</v>
      </c>
      <c r="AU154" s="2">
        <v>71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6</v>
      </c>
      <c r="BE154" s="2" t="s">
        <v>6</v>
      </c>
      <c r="BF154" s="2" t="s">
        <v>6</v>
      </c>
      <c r="BG154" s="2" t="s">
        <v>6</v>
      </c>
      <c r="BH154" s="2">
        <v>0</v>
      </c>
      <c r="BI154" s="2">
        <v>1</v>
      </c>
      <c r="BJ154" s="2" t="s">
        <v>337</v>
      </c>
      <c r="BK154" s="2"/>
      <c r="BL154" s="2"/>
      <c r="BM154" s="2">
        <v>17001</v>
      </c>
      <c r="BN154" s="2">
        <v>0</v>
      </c>
      <c r="BO154" s="2" t="s">
        <v>6</v>
      </c>
      <c r="BP154" s="2">
        <v>0</v>
      </c>
      <c r="BQ154" s="2">
        <v>2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6</v>
      </c>
      <c r="BZ154" s="2">
        <v>128</v>
      </c>
      <c r="CA154" s="2">
        <v>83</v>
      </c>
      <c r="CB154" s="2"/>
      <c r="CC154" s="2"/>
      <c r="CD154" s="2"/>
      <c r="CE154" s="2">
        <v>0</v>
      </c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824</v>
      </c>
      <c r="CO154" s="2">
        <v>0</v>
      </c>
      <c r="CP154" s="2">
        <f t="shared" si="168"/>
        <v>30.49</v>
      </c>
      <c r="CQ154" s="2">
        <f t="shared" si="169"/>
        <v>42.19</v>
      </c>
      <c r="CR154" s="2">
        <f t="shared" si="170"/>
        <v>23.15</v>
      </c>
      <c r="CS154" s="2">
        <f t="shared" si="171"/>
        <v>5.39</v>
      </c>
      <c r="CT154" s="2">
        <f t="shared" si="172"/>
        <v>239.51</v>
      </c>
      <c r="CU154" s="2">
        <f t="shared" si="173"/>
        <v>0</v>
      </c>
      <c r="CV154" s="2">
        <f t="shared" si="174"/>
        <v>24.897499999999997</v>
      </c>
      <c r="CW154" s="2">
        <f t="shared" si="175"/>
        <v>0.4375</v>
      </c>
      <c r="CX154" s="2">
        <f t="shared" si="176"/>
        <v>0</v>
      </c>
      <c r="CY154" s="2">
        <f t="shared" si="177"/>
        <v>28.163499999999999</v>
      </c>
      <c r="CZ154" s="2">
        <f t="shared" si="178"/>
        <v>17.387899999999998</v>
      </c>
      <c r="DA154" s="2"/>
      <c r="DB154" s="2"/>
      <c r="DC154" s="2" t="s">
        <v>6</v>
      </c>
      <c r="DD154" s="2" t="s">
        <v>6</v>
      </c>
      <c r="DE154" s="2" t="s">
        <v>27</v>
      </c>
      <c r="DF154" s="2" t="s">
        <v>27</v>
      </c>
      <c r="DG154" s="2" t="s">
        <v>28</v>
      </c>
      <c r="DH154" s="2" t="s">
        <v>6</v>
      </c>
      <c r="DI154" s="2" t="s">
        <v>28</v>
      </c>
      <c r="DJ154" s="2" t="s">
        <v>27</v>
      </c>
      <c r="DK154" s="2" t="s">
        <v>6</v>
      </c>
      <c r="DL154" s="2" t="s">
        <v>6</v>
      </c>
      <c r="DM154" s="2" t="s">
        <v>6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1013</v>
      </c>
      <c r="DV154" s="2" t="s">
        <v>306</v>
      </c>
      <c r="DW154" s="2" t="s">
        <v>306</v>
      </c>
      <c r="DX154" s="2">
        <v>1</v>
      </c>
      <c r="DY154" s="2"/>
      <c r="DZ154" s="2"/>
      <c r="EA154" s="2"/>
      <c r="EB154" s="2"/>
      <c r="EC154" s="2"/>
      <c r="ED154" s="2"/>
      <c r="EE154" s="2">
        <v>16510515</v>
      </c>
      <c r="EF154" s="2">
        <v>2</v>
      </c>
      <c r="EG154" s="2" t="s">
        <v>18</v>
      </c>
      <c r="EH154" s="2">
        <v>0</v>
      </c>
      <c r="EI154" s="2" t="s">
        <v>6</v>
      </c>
      <c r="EJ154" s="2">
        <v>1</v>
      </c>
      <c r="EK154" s="2">
        <v>17001</v>
      </c>
      <c r="EL154" s="2" t="s">
        <v>308</v>
      </c>
      <c r="EM154" s="2" t="s">
        <v>309</v>
      </c>
      <c r="EN154" s="2"/>
      <c r="EO154" s="2" t="s">
        <v>31</v>
      </c>
      <c r="EP154" s="2"/>
      <c r="EQ154" s="2">
        <v>0</v>
      </c>
      <c r="ER154" s="2">
        <v>268.98</v>
      </c>
      <c r="ES154" s="2">
        <v>42.19</v>
      </c>
      <c r="ET154" s="2">
        <v>18.52</v>
      </c>
      <c r="EU154" s="2">
        <v>4.3099999999999996</v>
      </c>
      <c r="EV154" s="2">
        <v>208.27</v>
      </c>
      <c r="EW154" s="2">
        <v>21.65</v>
      </c>
      <c r="EX154" s="2">
        <v>0.35</v>
      </c>
      <c r="EY154" s="2">
        <v>0</v>
      </c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94"/>
        <v>0</v>
      </c>
      <c r="FS154" s="2">
        <v>0</v>
      </c>
      <c r="FT154" s="2" t="s">
        <v>21</v>
      </c>
      <c r="FU154" s="2" t="s">
        <v>22</v>
      </c>
      <c r="FV154" s="2"/>
      <c r="FW154" s="2"/>
      <c r="FX154" s="2">
        <v>115.2</v>
      </c>
      <c r="FY154" s="2">
        <v>70.55</v>
      </c>
      <c r="FZ154" s="2"/>
      <c r="GA154" s="2" t="s">
        <v>6</v>
      </c>
      <c r="GB154" s="2"/>
      <c r="GC154" s="2"/>
      <c r="GD154" s="2">
        <v>0</v>
      </c>
      <c r="GE154" s="2"/>
      <c r="GF154" s="2">
        <v>1421852255</v>
      </c>
      <c r="GG154" s="2">
        <v>2</v>
      </c>
      <c r="GH154" s="2">
        <v>1</v>
      </c>
      <c r="GI154" s="2">
        <v>-2</v>
      </c>
      <c r="GJ154" s="2">
        <v>0</v>
      </c>
      <c r="GK154" s="2">
        <f>ROUND(R154*(R12)/100,2)</f>
        <v>0</v>
      </c>
      <c r="GL154" s="2">
        <f t="shared" si="195"/>
        <v>0</v>
      </c>
      <c r="GM154" s="2">
        <f t="shared" si="179"/>
        <v>76.040000000000006</v>
      </c>
      <c r="GN154" s="2">
        <f t="shared" si="180"/>
        <v>76.040000000000006</v>
      </c>
      <c r="GO154" s="2">
        <f t="shared" si="181"/>
        <v>0</v>
      </c>
      <c r="GP154" s="2">
        <f t="shared" si="182"/>
        <v>0</v>
      </c>
      <c r="GQ154" s="2"/>
      <c r="GR154" s="2">
        <v>0</v>
      </c>
      <c r="GS154" s="2">
        <v>3</v>
      </c>
      <c r="GT154" s="2">
        <v>0</v>
      </c>
      <c r="GU154" s="2" t="s">
        <v>6</v>
      </c>
      <c r="GV154" s="2">
        <f t="shared" si="183"/>
        <v>0</v>
      </c>
      <c r="GW154" s="2">
        <v>1</v>
      </c>
      <c r="GX154" s="2">
        <f t="shared" si="184"/>
        <v>0</v>
      </c>
      <c r="GY154" s="2"/>
      <c r="GZ154" s="2"/>
      <c r="HA154" s="2">
        <v>0</v>
      </c>
      <c r="HB154" s="2">
        <v>0</v>
      </c>
      <c r="HC154" s="2">
        <f t="shared" si="185"/>
        <v>0</v>
      </c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17</v>
      </c>
      <c r="B155">
        <v>1</v>
      </c>
      <c r="C155">
        <f>ROW(SmtRes!A480)</f>
        <v>480</v>
      </c>
      <c r="D155">
        <f>ROW(EtalonRes!A504)</f>
        <v>504</v>
      </c>
      <c r="E155" t="s">
        <v>334</v>
      </c>
      <c r="F155" t="s">
        <v>335</v>
      </c>
      <c r="G155" t="s">
        <v>336</v>
      </c>
      <c r="H155" t="s">
        <v>306</v>
      </c>
      <c r="I155">
        <f>ROUND(1/10,9)</f>
        <v>0.1</v>
      </c>
      <c r="J155">
        <v>0</v>
      </c>
      <c r="O155">
        <f t="shared" si="150"/>
        <v>186.26</v>
      </c>
      <c r="P155">
        <f t="shared" si="151"/>
        <v>25.78</v>
      </c>
      <c r="Q155">
        <f t="shared" si="152"/>
        <v>14.14</v>
      </c>
      <c r="R155">
        <f t="shared" si="153"/>
        <v>3.29</v>
      </c>
      <c r="S155">
        <f t="shared" si="154"/>
        <v>146.34</v>
      </c>
      <c r="T155">
        <f t="shared" si="155"/>
        <v>0</v>
      </c>
      <c r="U155">
        <f t="shared" si="156"/>
        <v>2.4897499999999999</v>
      </c>
      <c r="V155">
        <f t="shared" si="157"/>
        <v>4.3750000000000004E-2</v>
      </c>
      <c r="W155">
        <f t="shared" si="158"/>
        <v>0</v>
      </c>
      <c r="X155">
        <f t="shared" si="159"/>
        <v>172.07</v>
      </c>
      <c r="Y155">
        <f t="shared" si="160"/>
        <v>106.24</v>
      </c>
      <c r="AA155">
        <v>16784196</v>
      </c>
      <c r="AB155">
        <f t="shared" si="161"/>
        <v>304.85000000000002</v>
      </c>
      <c r="AC155">
        <f t="shared" si="162"/>
        <v>42.19</v>
      </c>
      <c r="AD155">
        <f>ROUND(((((ET155*1.25))-((EU155*1.25)))+AE155),2)</f>
        <v>23.15</v>
      </c>
      <c r="AE155">
        <f>ROUND(((EU155*1.25)),2)</f>
        <v>5.39</v>
      </c>
      <c r="AF155">
        <f>ROUND(((EV155*1.15)),2)</f>
        <v>239.51</v>
      </c>
      <c r="AG155">
        <f t="shared" si="165"/>
        <v>0</v>
      </c>
      <c r="AH155">
        <f>((EW155*1.15))</f>
        <v>24.897499999999997</v>
      </c>
      <c r="AI155">
        <f>((EX155*1.25))</f>
        <v>0.4375</v>
      </c>
      <c r="AJ155">
        <f t="shared" si="167"/>
        <v>0</v>
      </c>
      <c r="AK155">
        <v>268.98</v>
      </c>
      <c r="AL155">
        <v>42.19</v>
      </c>
      <c r="AM155">
        <v>18.52</v>
      </c>
      <c r="AN155">
        <v>4.3099999999999996</v>
      </c>
      <c r="AO155">
        <v>208.27</v>
      </c>
      <c r="AP155">
        <v>0</v>
      </c>
      <c r="AQ155">
        <v>21.65</v>
      </c>
      <c r="AR155">
        <v>0.35</v>
      </c>
      <c r="AS155">
        <v>0</v>
      </c>
      <c r="AT155">
        <v>115</v>
      </c>
      <c r="AU155">
        <v>71</v>
      </c>
      <c r="AV155">
        <v>1</v>
      </c>
      <c r="AW155">
        <v>1</v>
      </c>
      <c r="AZ155">
        <v>6.11</v>
      </c>
      <c r="BA155">
        <v>6.11</v>
      </c>
      <c r="BB155">
        <v>6.11</v>
      </c>
      <c r="BC155">
        <v>6.11</v>
      </c>
      <c r="BD155" t="s">
        <v>6</v>
      </c>
      <c r="BE155" t="s">
        <v>6</v>
      </c>
      <c r="BF155" t="s">
        <v>6</v>
      </c>
      <c r="BG155" t="s">
        <v>6</v>
      </c>
      <c r="BH155">
        <v>0</v>
      </c>
      <c r="BI155">
        <v>1</v>
      </c>
      <c r="BJ155" t="s">
        <v>337</v>
      </c>
      <c r="BM155">
        <v>17001</v>
      </c>
      <c r="BN155">
        <v>0</v>
      </c>
      <c r="BO155" t="s">
        <v>6</v>
      </c>
      <c r="BP155">
        <v>0</v>
      </c>
      <c r="BQ155">
        <v>2</v>
      </c>
      <c r="BR155">
        <v>0</v>
      </c>
      <c r="BS155">
        <v>6.11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128</v>
      </c>
      <c r="CA155">
        <v>83</v>
      </c>
      <c r="CE155">
        <v>0</v>
      </c>
      <c r="CF155">
        <v>0</v>
      </c>
      <c r="CG155">
        <v>0</v>
      </c>
      <c r="CM155">
        <v>0</v>
      </c>
      <c r="CN155" t="s">
        <v>824</v>
      </c>
      <c r="CO155">
        <v>0</v>
      </c>
      <c r="CP155">
        <f t="shared" si="168"/>
        <v>186.26</v>
      </c>
      <c r="CQ155">
        <f t="shared" si="169"/>
        <v>257.78089999999997</v>
      </c>
      <c r="CR155">
        <f t="shared" si="170"/>
        <v>141.44649999999999</v>
      </c>
      <c r="CS155">
        <f t="shared" si="171"/>
        <v>32.932899999999997</v>
      </c>
      <c r="CT155">
        <f t="shared" si="172"/>
        <v>1463.4060999999999</v>
      </c>
      <c r="CU155">
        <f t="shared" si="173"/>
        <v>0</v>
      </c>
      <c r="CV155">
        <f t="shared" si="174"/>
        <v>24.897499999999997</v>
      </c>
      <c r="CW155">
        <f t="shared" si="175"/>
        <v>0.4375</v>
      </c>
      <c r="CX155">
        <f t="shared" si="176"/>
        <v>0</v>
      </c>
      <c r="CY155">
        <f t="shared" si="177"/>
        <v>172.0745</v>
      </c>
      <c r="CZ155">
        <f t="shared" si="178"/>
        <v>106.23729999999999</v>
      </c>
      <c r="DC155" t="s">
        <v>6</v>
      </c>
      <c r="DD155" t="s">
        <v>6</v>
      </c>
      <c r="DE155" t="s">
        <v>27</v>
      </c>
      <c r="DF155" t="s">
        <v>27</v>
      </c>
      <c r="DG155" t="s">
        <v>28</v>
      </c>
      <c r="DH155" t="s">
        <v>6</v>
      </c>
      <c r="DI155" t="s">
        <v>28</v>
      </c>
      <c r="DJ155" t="s">
        <v>27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1013</v>
      </c>
      <c r="DV155" t="s">
        <v>306</v>
      </c>
      <c r="DW155" t="s">
        <v>306</v>
      </c>
      <c r="DX155">
        <v>1</v>
      </c>
      <c r="EE155">
        <v>16510515</v>
      </c>
      <c r="EF155">
        <v>2</v>
      </c>
      <c r="EG155" t="s">
        <v>18</v>
      </c>
      <c r="EH155">
        <v>0</v>
      </c>
      <c r="EI155" t="s">
        <v>6</v>
      </c>
      <c r="EJ155">
        <v>1</v>
      </c>
      <c r="EK155">
        <v>17001</v>
      </c>
      <c r="EL155" t="s">
        <v>308</v>
      </c>
      <c r="EM155" t="s">
        <v>309</v>
      </c>
      <c r="EO155" t="s">
        <v>31</v>
      </c>
      <c r="EQ155">
        <v>0</v>
      </c>
      <c r="ER155">
        <v>268.98</v>
      </c>
      <c r="ES155">
        <v>42.19</v>
      </c>
      <c r="ET155">
        <v>18.52</v>
      </c>
      <c r="EU155">
        <v>4.3099999999999996</v>
      </c>
      <c r="EV155">
        <v>208.27</v>
      </c>
      <c r="EW155">
        <v>21.65</v>
      </c>
      <c r="EX155">
        <v>0.35</v>
      </c>
      <c r="EY155">
        <v>0</v>
      </c>
      <c r="FQ155">
        <v>0</v>
      </c>
      <c r="FR155">
        <f t="shared" si="194"/>
        <v>0</v>
      </c>
      <c r="FS155">
        <v>0</v>
      </c>
      <c r="FT155" t="s">
        <v>21</v>
      </c>
      <c r="FU155" t="s">
        <v>22</v>
      </c>
      <c r="FX155">
        <v>115.2</v>
      </c>
      <c r="FY155">
        <v>70.55</v>
      </c>
      <c r="GA155" t="s">
        <v>6</v>
      </c>
      <c r="GD155">
        <v>0</v>
      </c>
      <c r="GF155">
        <v>1421852255</v>
      </c>
      <c r="GG155">
        <v>1</v>
      </c>
      <c r="GH155">
        <v>1</v>
      </c>
      <c r="GI155">
        <v>4</v>
      </c>
      <c r="GJ155">
        <v>0</v>
      </c>
      <c r="GK155">
        <f>ROUND(R155*(S12)/100,2)</f>
        <v>0</v>
      </c>
      <c r="GL155">
        <f t="shared" si="195"/>
        <v>0</v>
      </c>
      <c r="GM155">
        <f t="shared" si="179"/>
        <v>464.57</v>
      </c>
      <c r="GN155">
        <f t="shared" si="180"/>
        <v>464.57</v>
      </c>
      <c r="GO155">
        <f t="shared" si="181"/>
        <v>0</v>
      </c>
      <c r="GP155">
        <f t="shared" si="182"/>
        <v>0</v>
      </c>
      <c r="GR155">
        <v>0</v>
      </c>
      <c r="GS155">
        <v>3</v>
      </c>
      <c r="GT155">
        <v>0</v>
      </c>
      <c r="GU155" t="s">
        <v>6</v>
      </c>
      <c r="GV155">
        <f t="shared" si="183"/>
        <v>0</v>
      </c>
      <c r="GW155">
        <v>1</v>
      </c>
      <c r="GX155">
        <f t="shared" si="184"/>
        <v>0</v>
      </c>
      <c r="HA155">
        <v>0</v>
      </c>
      <c r="HB155">
        <v>0</v>
      </c>
      <c r="HC155">
        <f t="shared" si="185"/>
        <v>0</v>
      </c>
      <c r="IK155">
        <v>0</v>
      </c>
    </row>
    <row r="156" spans="1:255" x14ac:dyDescent="0.2">
      <c r="A156" s="2">
        <v>18</v>
      </c>
      <c r="B156" s="2">
        <v>1</v>
      </c>
      <c r="C156" s="2">
        <v>469</v>
      </c>
      <c r="D156" s="2"/>
      <c r="E156" s="2" t="s">
        <v>338</v>
      </c>
      <c r="F156" s="2" t="s">
        <v>339</v>
      </c>
      <c r="G156" s="2" t="s">
        <v>340</v>
      </c>
      <c r="H156" s="2" t="s">
        <v>222</v>
      </c>
      <c r="I156" s="2">
        <f>I154*J156</f>
        <v>1</v>
      </c>
      <c r="J156" s="2">
        <v>10</v>
      </c>
      <c r="K156" s="2"/>
      <c r="L156" s="2"/>
      <c r="M156" s="2"/>
      <c r="N156" s="2"/>
      <c r="O156" s="2">
        <f t="shared" si="150"/>
        <v>246.43</v>
      </c>
      <c r="P156" s="2">
        <f t="shared" si="151"/>
        <v>246.43</v>
      </c>
      <c r="Q156" s="2">
        <f t="shared" si="152"/>
        <v>0</v>
      </c>
      <c r="R156" s="2">
        <f t="shared" si="153"/>
        <v>0</v>
      </c>
      <c r="S156" s="2">
        <f t="shared" si="154"/>
        <v>0</v>
      </c>
      <c r="T156" s="2">
        <f t="shared" si="155"/>
        <v>0</v>
      </c>
      <c r="U156" s="2">
        <f t="shared" si="156"/>
        <v>0</v>
      </c>
      <c r="V156" s="2">
        <f t="shared" si="157"/>
        <v>0</v>
      </c>
      <c r="W156" s="2">
        <f t="shared" si="158"/>
        <v>0</v>
      </c>
      <c r="X156" s="2">
        <f t="shared" si="159"/>
        <v>0</v>
      </c>
      <c r="Y156" s="2">
        <f t="shared" si="160"/>
        <v>0</v>
      </c>
      <c r="Z156" s="2"/>
      <c r="AA156" s="2">
        <v>16784195</v>
      </c>
      <c r="AB156" s="2">
        <f t="shared" si="161"/>
        <v>246.43</v>
      </c>
      <c r="AC156" s="2">
        <f t="shared" si="162"/>
        <v>246.43</v>
      </c>
      <c r="AD156" s="2">
        <f>ROUND((((ET156)-(EU156))+AE156),2)</f>
        <v>0</v>
      </c>
      <c r="AE156" s="2">
        <f t="shared" ref="AE156:AF159" si="196">ROUND((EU156),2)</f>
        <v>0</v>
      </c>
      <c r="AF156" s="2">
        <f t="shared" si="196"/>
        <v>0</v>
      </c>
      <c r="AG156" s="2">
        <f t="shared" si="165"/>
        <v>0</v>
      </c>
      <c r="AH156" s="2">
        <f t="shared" ref="AH156:AI159" si="197">(EW156)</f>
        <v>0</v>
      </c>
      <c r="AI156" s="2">
        <f t="shared" si="197"/>
        <v>0</v>
      </c>
      <c r="AJ156" s="2">
        <f t="shared" si="167"/>
        <v>0</v>
      </c>
      <c r="AK156" s="2">
        <v>246.43</v>
      </c>
      <c r="AL156" s="2">
        <v>246.43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0</v>
      </c>
      <c r="AS156" s="2">
        <v>0</v>
      </c>
      <c r="AT156" s="2">
        <v>115</v>
      </c>
      <c r="AU156" s="2">
        <v>71</v>
      </c>
      <c r="AV156" s="2">
        <v>1</v>
      </c>
      <c r="AW156" s="2">
        <v>1</v>
      </c>
      <c r="AX156" s="2"/>
      <c r="AY156" s="2"/>
      <c r="AZ156" s="2">
        <v>1</v>
      </c>
      <c r="BA156" s="2">
        <v>1</v>
      </c>
      <c r="BB156" s="2">
        <v>1</v>
      </c>
      <c r="BC156" s="2">
        <v>1</v>
      </c>
      <c r="BD156" s="2" t="s">
        <v>6</v>
      </c>
      <c r="BE156" s="2" t="s">
        <v>6</v>
      </c>
      <c r="BF156" s="2" t="s">
        <v>6</v>
      </c>
      <c r="BG156" s="2" t="s">
        <v>6</v>
      </c>
      <c r="BH156" s="2">
        <v>3</v>
      </c>
      <c r="BI156" s="2">
        <v>1</v>
      </c>
      <c r="BJ156" s="2" t="s">
        <v>341</v>
      </c>
      <c r="BK156" s="2"/>
      <c r="BL156" s="2"/>
      <c r="BM156" s="2">
        <v>17001</v>
      </c>
      <c r="BN156" s="2">
        <v>0</v>
      </c>
      <c r="BO156" s="2" t="s">
        <v>6</v>
      </c>
      <c r="BP156" s="2">
        <v>0</v>
      </c>
      <c r="BQ156" s="2">
        <v>2</v>
      </c>
      <c r="BR156" s="2">
        <v>0</v>
      </c>
      <c r="BS156" s="2">
        <v>1</v>
      </c>
      <c r="BT156" s="2">
        <v>1</v>
      </c>
      <c r="BU156" s="2">
        <v>1</v>
      </c>
      <c r="BV156" s="2">
        <v>1</v>
      </c>
      <c r="BW156" s="2">
        <v>1</v>
      </c>
      <c r="BX156" s="2">
        <v>1</v>
      </c>
      <c r="BY156" s="2" t="s">
        <v>6</v>
      </c>
      <c r="BZ156" s="2">
        <v>128</v>
      </c>
      <c r="CA156" s="2">
        <v>83</v>
      </c>
      <c r="CB156" s="2"/>
      <c r="CC156" s="2"/>
      <c r="CD156" s="2"/>
      <c r="CE156" s="2">
        <v>0</v>
      </c>
      <c r="CF156" s="2">
        <v>0</v>
      </c>
      <c r="CG156" s="2">
        <v>0</v>
      </c>
      <c r="CH156" s="2"/>
      <c r="CI156" s="2"/>
      <c r="CJ156" s="2"/>
      <c r="CK156" s="2"/>
      <c r="CL156" s="2"/>
      <c r="CM156" s="2">
        <v>0</v>
      </c>
      <c r="CN156" s="2" t="s">
        <v>6</v>
      </c>
      <c r="CO156" s="2">
        <v>0</v>
      </c>
      <c r="CP156" s="2">
        <f t="shared" si="168"/>
        <v>246.43</v>
      </c>
      <c r="CQ156" s="2">
        <f t="shared" si="169"/>
        <v>246.43</v>
      </c>
      <c r="CR156" s="2">
        <f t="shared" si="170"/>
        <v>0</v>
      </c>
      <c r="CS156" s="2">
        <f t="shared" si="171"/>
        <v>0</v>
      </c>
      <c r="CT156" s="2">
        <f t="shared" si="172"/>
        <v>0</v>
      </c>
      <c r="CU156" s="2">
        <f t="shared" si="173"/>
        <v>0</v>
      </c>
      <c r="CV156" s="2">
        <f t="shared" si="174"/>
        <v>0</v>
      </c>
      <c r="CW156" s="2">
        <f t="shared" si="175"/>
        <v>0</v>
      </c>
      <c r="CX156" s="2">
        <f t="shared" si="176"/>
        <v>0</v>
      </c>
      <c r="CY156" s="2">
        <f t="shared" si="177"/>
        <v>0</v>
      </c>
      <c r="CZ156" s="2">
        <f t="shared" si="178"/>
        <v>0</v>
      </c>
      <c r="DA156" s="2"/>
      <c r="DB156" s="2"/>
      <c r="DC156" s="2" t="s">
        <v>6</v>
      </c>
      <c r="DD156" s="2" t="s">
        <v>6</v>
      </c>
      <c r="DE156" s="2" t="s">
        <v>6</v>
      </c>
      <c r="DF156" s="2" t="s">
        <v>6</v>
      </c>
      <c r="DG156" s="2" t="s">
        <v>6</v>
      </c>
      <c r="DH156" s="2" t="s">
        <v>6</v>
      </c>
      <c r="DI156" s="2" t="s">
        <v>6</v>
      </c>
      <c r="DJ156" s="2" t="s">
        <v>6</v>
      </c>
      <c r="DK156" s="2" t="s">
        <v>6</v>
      </c>
      <c r="DL156" s="2" t="s">
        <v>6</v>
      </c>
      <c r="DM156" s="2" t="s">
        <v>6</v>
      </c>
      <c r="DN156" s="2">
        <v>0</v>
      </c>
      <c r="DO156" s="2">
        <v>0</v>
      </c>
      <c r="DP156" s="2">
        <v>1</v>
      </c>
      <c r="DQ156" s="2">
        <v>1</v>
      </c>
      <c r="DR156" s="2"/>
      <c r="DS156" s="2"/>
      <c r="DT156" s="2"/>
      <c r="DU156" s="2">
        <v>1013</v>
      </c>
      <c r="DV156" s="2" t="s">
        <v>222</v>
      </c>
      <c r="DW156" s="2" t="s">
        <v>222</v>
      </c>
      <c r="DX156" s="2">
        <v>1</v>
      </c>
      <c r="DY156" s="2"/>
      <c r="DZ156" s="2"/>
      <c r="EA156" s="2"/>
      <c r="EB156" s="2"/>
      <c r="EC156" s="2"/>
      <c r="ED156" s="2"/>
      <c r="EE156" s="2">
        <v>16510515</v>
      </c>
      <c r="EF156" s="2">
        <v>2</v>
      </c>
      <c r="EG156" s="2" t="s">
        <v>18</v>
      </c>
      <c r="EH156" s="2">
        <v>0</v>
      </c>
      <c r="EI156" s="2" t="s">
        <v>6</v>
      </c>
      <c r="EJ156" s="2">
        <v>1</v>
      </c>
      <c r="EK156" s="2">
        <v>17001</v>
      </c>
      <c r="EL156" s="2" t="s">
        <v>308</v>
      </c>
      <c r="EM156" s="2" t="s">
        <v>309</v>
      </c>
      <c r="EN156" s="2"/>
      <c r="EO156" s="2" t="s">
        <v>6</v>
      </c>
      <c r="EP156" s="2"/>
      <c r="EQ156" s="2">
        <v>0</v>
      </c>
      <c r="ER156" s="2">
        <v>246.43</v>
      </c>
      <c r="ES156" s="2">
        <v>246.43</v>
      </c>
      <c r="ET156" s="2">
        <v>0</v>
      </c>
      <c r="EU156" s="2">
        <v>0</v>
      </c>
      <c r="EV156" s="2">
        <v>0</v>
      </c>
      <c r="EW156" s="2">
        <v>0</v>
      </c>
      <c r="EX156" s="2">
        <v>0</v>
      </c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>
        <v>0</v>
      </c>
      <c r="FR156" s="2">
        <f t="shared" si="194"/>
        <v>0</v>
      </c>
      <c r="FS156" s="2">
        <v>0</v>
      </c>
      <c r="FT156" s="2" t="s">
        <v>21</v>
      </c>
      <c r="FU156" s="2" t="s">
        <v>22</v>
      </c>
      <c r="FV156" s="2"/>
      <c r="FW156" s="2"/>
      <c r="FX156" s="2">
        <v>115.2</v>
      </c>
      <c r="FY156" s="2">
        <v>70.55</v>
      </c>
      <c r="FZ156" s="2"/>
      <c r="GA156" s="2" t="s">
        <v>6</v>
      </c>
      <c r="GB156" s="2"/>
      <c r="GC156" s="2"/>
      <c r="GD156" s="2">
        <v>0</v>
      </c>
      <c r="GE156" s="2"/>
      <c r="GF156" s="2">
        <v>-58618839</v>
      </c>
      <c r="GG156" s="2">
        <v>2</v>
      </c>
      <c r="GH156" s="2">
        <v>1</v>
      </c>
      <c r="GI156" s="2">
        <v>-2</v>
      </c>
      <c r="GJ156" s="2">
        <v>0</v>
      </c>
      <c r="GK156" s="2">
        <f>ROUND(R156*(R12)/100,2)</f>
        <v>0</v>
      </c>
      <c r="GL156" s="2">
        <f t="shared" si="195"/>
        <v>0</v>
      </c>
      <c r="GM156" s="2">
        <f t="shared" si="179"/>
        <v>246.43</v>
      </c>
      <c r="GN156" s="2">
        <f t="shared" si="180"/>
        <v>246.43</v>
      </c>
      <c r="GO156" s="2">
        <f t="shared" si="181"/>
        <v>0</v>
      </c>
      <c r="GP156" s="2">
        <f t="shared" si="182"/>
        <v>0</v>
      </c>
      <c r="GQ156" s="2"/>
      <c r="GR156" s="2">
        <v>0</v>
      </c>
      <c r="GS156" s="2">
        <v>3</v>
      </c>
      <c r="GT156" s="2">
        <v>0</v>
      </c>
      <c r="GU156" s="2" t="s">
        <v>6</v>
      </c>
      <c r="GV156" s="2">
        <f t="shared" si="183"/>
        <v>0</v>
      </c>
      <c r="GW156" s="2">
        <v>1</v>
      </c>
      <c r="GX156" s="2">
        <f t="shared" si="184"/>
        <v>0</v>
      </c>
      <c r="GY156" s="2"/>
      <c r="GZ156" s="2"/>
      <c r="HA156" s="2">
        <v>0</v>
      </c>
      <c r="HB156" s="2">
        <v>0</v>
      </c>
      <c r="HC156" s="2">
        <f t="shared" si="185"/>
        <v>0</v>
      </c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>
        <v>0</v>
      </c>
      <c r="IL156" s="2"/>
      <c r="IM156" s="2"/>
      <c r="IN156" s="2"/>
      <c r="IO156" s="2"/>
      <c r="IP156" s="2"/>
      <c r="IQ156" s="2"/>
      <c r="IR156" s="2"/>
      <c r="IS156" s="2"/>
      <c r="IT156" s="2"/>
      <c r="IU156" s="2"/>
    </row>
    <row r="157" spans="1:255" x14ac:dyDescent="0.2">
      <c r="A157">
        <v>18</v>
      </c>
      <c r="B157">
        <v>1</v>
      </c>
      <c r="C157">
        <v>479</v>
      </c>
      <c r="E157" t="s">
        <v>338</v>
      </c>
      <c r="F157" t="s">
        <v>339</v>
      </c>
      <c r="G157" t="s">
        <v>340</v>
      </c>
      <c r="H157" t="s">
        <v>222</v>
      </c>
      <c r="I157">
        <f>I155*J157</f>
        <v>1</v>
      </c>
      <c r="J157">
        <v>10</v>
      </c>
      <c r="O157">
        <f t="shared" si="150"/>
        <v>1505.69</v>
      </c>
      <c r="P157">
        <f t="shared" si="151"/>
        <v>1505.69</v>
      </c>
      <c r="Q157">
        <f t="shared" si="152"/>
        <v>0</v>
      </c>
      <c r="R157">
        <f t="shared" si="153"/>
        <v>0</v>
      </c>
      <c r="S157">
        <f t="shared" si="154"/>
        <v>0</v>
      </c>
      <c r="T157">
        <f t="shared" si="155"/>
        <v>0</v>
      </c>
      <c r="U157">
        <f t="shared" si="156"/>
        <v>0</v>
      </c>
      <c r="V157">
        <f t="shared" si="157"/>
        <v>0</v>
      </c>
      <c r="W157">
        <f t="shared" si="158"/>
        <v>0</v>
      </c>
      <c r="X157">
        <f t="shared" si="159"/>
        <v>0</v>
      </c>
      <c r="Y157">
        <f t="shared" si="160"/>
        <v>0</v>
      </c>
      <c r="AA157">
        <v>16784196</v>
      </c>
      <c r="AB157">
        <f t="shared" si="161"/>
        <v>246.43</v>
      </c>
      <c r="AC157">
        <f t="shared" si="162"/>
        <v>246.43</v>
      </c>
      <c r="AD157">
        <f>ROUND((((ET157)-(EU157))+AE157),2)</f>
        <v>0</v>
      </c>
      <c r="AE157">
        <f t="shared" si="196"/>
        <v>0</v>
      </c>
      <c r="AF157">
        <f t="shared" si="196"/>
        <v>0</v>
      </c>
      <c r="AG157">
        <f t="shared" si="165"/>
        <v>0</v>
      </c>
      <c r="AH157">
        <f t="shared" si="197"/>
        <v>0</v>
      </c>
      <c r="AI157">
        <f t="shared" si="197"/>
        <v>0</v>
      </c>
      <c r="AJ157">
        <f t="shared" si="167"/>
        <v>0</v>
      </c>
      <c r="AK157">
        <v>246.43</v>
      </c>
      <c r="AL157">
        <v>246.43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115</v>
      </c>
      <c r="AU157">
        <v>71</v>
      </c>
      <c r="AV157">
        <v>1</v>
      </c>
      <c r="AW157">
        <v>1</v>
      </c>
      <c r="AZ157">
        <v>6.11</v>
      </c>
      <c r="BA157">
        <v>1</v>
      </c>
      <c r="BB157">
        <v>1</v>
      </c>
      <c r="BC157">
        <v>6.11</v>
      </c>
      <c r="BD157" t="s">
        <v>6</v>
      </c>
      <c r="BE157" t="s">
        <v>6</v>
      </c>
      <c r="BF157" t="s">
        <v>6</v>
      </c>
      <c r="BG157" t="s">
        <v>6</v>
      </c>
      <c r="BH157">
        <v>3</v>
      </c>
      <c r="BI157">
        <v>1</v>
      </c>
      <c r="BJ157" t="s">
        <v>341</v>
      </c>
      <c r="BM157">
        <v>17001</v>
      </c>
      <c r="BN157">
        <v>0</v>
      </c>
      <c r="BO157" t="s">
        <v>6</v>
      </c>
      <c r="BP157">
        <v>0</v>
      </c>
      <c r="BQ157">
        <v>2</v>
      </c>
      <c r="BR157">
        <v>0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 t="s">
        <v>6</v>
      </c>
      <c r="BZ157">
        <v>128</v>
      </c>
      <c r="CA157">
        <v>83</v>
      </c>
      <c r="CE157">
        <v>0</v>
      </c>
      <c r="CF157">
        <v>0</v>
      </c>
      <c r="CG157">
        <v>0</v>
      </c>
      <c r="CM157">
        <v>0</v>
      </c>
      <c r="CN157" t="s">
        <v>6</v>
      </c>
      <c r="CO157">
        <v>0</v>
      </c>
      <c r="CP157">
        <f t="shared" si="168"/>
        <v>1505.69</v>
      </c>
      <c r="CQ157">
        <f t="shared" si="169"/>
        <v>1505.6873000000001</v>
      </c>
      <c r="CR157">
        <f t="shared" si="170"/>
        <v>0</v>
      </c>
      <c r="CS157">
        <f t="shared" si="171"/>
        <v>0</v>
      </c>
      <c r="CT157">
        <f t="shared" si="172"/>
        <v>0</v>
      </c>
      <c r="CU157">
        <f t="shared" si="173"/>
        <v>0</v>
      </c>
      <c r="CV157">
        <f t="shared" si="174"/>
        <v>0</v>
      </c>
      <c r="CW157">
        <f t="shared" si="175"/>
        <v>0</v>
      </c>
      <c r="CX157">
        <f t="shared" si="176"/>
        <v>0</v>
      </c>
      <c r="CY157">
        <f t="shared" si="177"/>
        <v>0</v>
      </c>
      <c r="CZ157">
        <f t="shared" si="178"/>
        <v>0</v>
      </c>
      <c r="DC157" t="s">
        <v>6</v>
      </c>
      <c r="DD157" t="s">
        <v>6</v>
      </c>
      <c r="DE157" t="s">
        <v>6</v>
      </c>
      <c r="DF157" t="s">
        <v>6</v>
      </c>
      <c r="DG157" t="s">
        <v>6</v>
      </c>
      <c r="DH157" t="s">
        <v>6</v>
      </c>
      <c r="DI157" t="s">
        <v>6</v>
      </c>
      <c r="DJ157" t="s">
        <v>6</v>
      </c>
      <c r="DK157" t="s">
        <v>6</v>
      </c>
      <c r="DL157" t="s">
        <v>6</v>
      </c>
      <c r="DM157" t="s">
        <v>6</v>
      </c>
      <c r="DN157">
        <v>0</v>
      </c>
      <c r="DO157">
        <v>0</v>
      </c>
      <c r="DP157">
        <v>1</v>
      </c>
      <c r="DQ157">
        <v>1</v>
      </c>
      <c r="DU157">
        <v>1013</v>
      </c>
      <c r="DV157" t="s">
        <v>222</v>
      </c>
      <c r="DW157" t="s">
        <v>222</v>
      </c>
      <c r="DX157">
        <v>1</v>
      </c>
      <c r="EE157">
        <v>16510515</v>
      </c>
      <c r="EF157">
        <v>2</v>
      </c>
      <c r="EG157" t="s">
        <v>18</v>
      </c>
      <c r="EH157">
        <v>0</v>
      </c>
      <c r="EI157" t="s">
        <v>6</v>
      </c>
      <c r="EJ157">
        <v>1</v>
      </c>
      <c r="EK157">
        <v>17001</v>
      </c>
      <c r="EL157" t="s">
        <v>308</v>
      </c>
      <c r="EM157" t="s">
        <v>309</v>
      </c>
      <c r="EO157" t="s">
        <v>6</v>
      </c>
      <c r="EQ157">
        <v>0</v>
      </c>
      <c r="ER157">
        <v>246.43</v>
      </c>
      <c r="ES157">
        <v>246.43</v>
      </c>
      <c r="ET157">
        <v>0</v>
      </c>
      <c r="EU157">
        <v>0</v>
      </c>
      <c r="EV157">
        <v>0</v>
      </c>
      <c r="EW157">
        <v>0</v>
      </c>
      <c r="EX157">
        <v>0</v>
      </c>
      <c r="FQ157">
        <v>0</v>
      </c>
      <c r="FR157">
        <f t="shared" si="194"/>
        <v>0</v>
      </c>
      <c r="FS157">
        <v>0</v>
      </c>
      <c r="FT157" t="s">
        <v>21</v>
      </c>
      <c r="FU157" t="s">
        <v>22</v>
      </c>
      <c r="FX157">
        <v>115.2</v>
      </c>
      <c r="FY157">
        <v>70.55</v>
      </c>
      <c r="GA157" t="s">
        <v>6</v>
      </c>
      <c r="GD157">
        <v>0</v>
      </c>
      <c r="GF157">
        <v>-58618839</v>
      </c>
      <c r="GG157">
        <v>1</v>
      </c>
      <c r="GH157">
        <v>1</v>
      </c>
      <c r="GI157">
        <v>4</v>
      </c>
      <c r="GJ157">
        <v>0</v>
      </c>
      <c r="GK157">
        <f>ROUND(R157*(S12)/100,2)</f>
        <v>0</v>
      </c>
      <c r="GL157">
        <f t="shared" si="195"/>
        <v>0</v>
      </c>
      <c r="GM157">
        <f t="shared" si="179"/>
        <v>1505.69</v>
      </c>
      <c r="GN157">
        <f t="shared" si="180"/>
        <v>1505.69</v>
      </c>
      <c r="GO157">
        <f t="shared" si="181"/>
        <v>0</v>
      </c>
      <c r="GP157">
        <f t="shared" si="182"/>
        <v>0</v>
      </c>
      <c r="GR157">
        <v>0</v>
      </c>
      <c r="GS157">
        <v>3</v>
      </c>
      <c r="GT157">
        <v>0</v>
      </c>
      <c r="GU157" t="s">
        <v>6</v>
      </c>
      <c r="GV157">
        <f t="shared" si="183"/>
        <v>0</v>
      </c>
      <c r="GW157">
        <v>1</v>
      </c>
      <c r="GX157">
        <f t="shared" si="184"/>
        <v>0</v>
      </c>
      <c r="HA157">
        <v>0</v>
      </c>
      <c r="HB157">
        <v>0</v>
      </c>
      <c r="HC157">
        <f t="shared" si="185"/>
        <v>0</v>
      </c>
      <c r="IK157">
        <v>0</v>
      </c>
    </row>
    <row r="158" spans="1:255" x14ac:dyDescent="0.2">
      <c r="A158" s="2">
        <v>18</v>
      </c>
      <c r="B158" s="2">
        <v>1</v>
      </c>
      <c r="C158" s="2">
        <v>470</v>
      </c>
      <c r="D158" s="2"/>
      <c r="E158" s="2" t="s">
        <v>342</v>
      </c>
      <c r="F158" s="2" t="s">
        <v>332</v>
      </c>
      <c r="G158" s="2" t="s">
        <v>333</v>
      </c>
      <c r="H158" s="2" t="s">
        <v>222</v>
      </c>
      <c r="I158" s="2">
        <f>I154*J158</f>
        <v>1</v>
      </c>
      <c r="J158" s="2">
        <v>10</v>
      </c>
      <c r="K158" s="2"/>
      <c r="L158" s="2"/>
      <c r="M158" s="2"/>
      <c r="N158" s="2"/>
      <c r="O158" s="2">
        <f t="shared" si="150"/>
        <v>0</v>
      </c>
      <c r="P158" s="2">
        <f t="shared" si="151"/>
        <v>0</v>
      </c>
      <c r="Q158" s="2">
        <f t="shared" si="152"/>
        <v>0</v>
      </c>
      <c r="R158" s="2">
        <f t="shared" si="153"/>
        <v>0</v>
      </c>
      <c r="S158" s="2">
        <f t="shared" si="154"/>
        <v>0</v>
      </c>
      <c r="T158" s="2">
        <f t="shared" si="155"/>
        <v>0</v>
      </c>
      <c r="U158" s="2">
        <f t="shared" si="156"/>
        <v>0</v>
      </c>
      <c r="V158" s="2">
        <f t="shared" si="157"/>
        <v>0</v>
      </c>
      <c r="W158" s="2">
        <f t="shared" si="158"/>
        <v>0</v>
      </c>
      <c r="X158" s="2">
        <f t="shared" si="159"/>
        <v>0</v>
      </c>
      <c r="Y158" s="2">
        <f t="shared" si="160"/>
        <v>0</v>
      </c>
      <c r="Z158" s="2"/>
      <c r="AA158" s="2">
        <v>16784195</v>
      </c>
      <c r="AB158" s="2">
        <f t="shared" si="161"/>
        <v>0</v>
      </c>
      <c r="AC158" s="2">
        <f t="shared" si="162"/>
        <v>0</v>
      </c>
      <c r="AD158" s="2">
        <f>ROUND((((ET158)-(EU158))+AE158),2)</f>
        <v>0</v>
      </c>
      <c r="AE158" s="2">
        <f t="shared" si="196"/>
        <v>0</v>
      </c>
      <c r="AF158" s="2">
        <f t="shared" si="196"/>
        <v>0</v>
      </c>
      <c r="AG158" s="2">
        <f t="shared" si="165"/>
        <v>0</v>
      </c>
      <c r="AH158" s="2">
        <f t="shared" si="197"/>
        <v>0</v>
      </c>
      <c r="AI158" s="2">
        <f t="shared" si="197"/>
        <v>0</v>
      </c>
      <c r="AJ158" s="2">
        <f t="shared" si="167"/>
        <v>0</v>
      </c>
      <c r="AK158" s="2">
        <v>0</v>
      </c>
      <c r="AL158" s="2">
        <v>0</v>
      </c>
      <c r="AM158" s="2">
        <v>0</v>
      </c>
      <c r="AN158" s="2">
        <v>0</v>
      </c>
      <c r="AO158" s="2">
        <v>0</v>
      </c>
      <c r="AP158" s="2">
        <v>0</v>
      </c>
      <c r="AQ158" s="2">
        <v>0</v>
      </c>
      <c r="AR158" s="2">
        <v>0</v>
      </c>
      <c r="AS158" s="2">
        <v>0</v>
      </c>
      <c r="AT158" s="2">
        <v>115</v>
      </c>
      <c r="AU158" s="2">
        <v>71</v>
      </c>
      <c r="AV158" s="2">
        <v>1</v>
      </c>
      <c r="AW158" s="2">
        <v>1</v>
      </c>
      <c r="AX158" s="2"/>
      <c r="AY158" s="2"/>
      <c r="AZ158" s="2">
        <v>1</v>
      </c>
      <c r="BA158" s="2">
        <v>1</v>
      </c>
      <c r="BB158" s="2">
        <v>1</v>
      </c>
      <c r="BC158" s="2">
        <v>1</v>
      </c>
      <c r="BD158" s="2" t="s">
        <v>6</v>
      </c>
      <c r="BE158" s="2" t="s">
        <v>6</v>
      </c>
      <c r="BF158" s="2" t="s">
        <v>6</v>
      </c>
      <c r="BG158" s="2" t="s">
        <v>6</v>
      </c>
      <c r="BH158" s="2">
        <v>3</v>
      </c>
      <c r="BI158" s="2">
        <v>1</v>
      </c>
      <c r="BJ158" s="2" t="s">
        <v>6</v>
      </c>
      <c r="BK158" s="2"/>
      <c r="BL158" s="2"/>
      <c r="BM158" s="2">
        <v>17001</v>
      </c>
      <c r="BN158" s="2">
        <v>0</v>
      </c>
      <c r="BO158" s="2" t="s">
        <v>6</v>
      </c>
      <c r="BP158" s="2">
        <v>0</v>
      </c>
      <c r="BQ158" s="2">
        <v>2</v>
      </c>
      <c r="BR158" s="2">
        <v>0</v>
      </c>
      <c r="BS158" s="2">
        <v>1</v>
      </c>
      <c r="BT158" s="2">
        <v>1</v>
      </c>
      <c r="BU158" s="2">
        <v>1</v>
      </c>
      <c r="BV158" s="2">
        <v>1</v>
      </c>
      <c r="BW158" s="2">
        <v>1</v>
      </c>
      <c r="BX158" s="2">
        <v>1</v>
      </c>
      <c r="BY158" s="2" t="s">
        <v>6</v>
      </c>
      <c r="BZ158" s="2">
        <v>128</v>
      </c>
      <c r="CA158" s="2">
        <v>83</v>
      </c>
      <c r="CB158" s="2"/>
      <c r="CC158" s="2"/>
      <c r="CD158" s="2"/>
      <c r="CE158" s="2">
        <v>0</v>
      </c>
      <c r="CF158" s="2">
        <v>0</v>
      </c>
      <c r="CG158" s="2">
        <v>0</v>
      </c>
      <c r="CH158" s="2"/>
      <c r="CI158" s="2"/>
      <c r="CJ158" s="2"/>
      <c r="CK158" s="2"/>
      <c r="CL158" s="2"/>
      <c r="CM158" s="2">
        <v>0</v>
      </c>
      <c r="CN158" s="2" t="s">
        <v>6</v>
      </c>
      <c r="CO158" s="2">
        <v>0</v>
      </c>
      <c r="CP158" s="2">
        <f t="shared" si="168"/>
        <v>0</v>
      </c>
      <c r="CQ158" s="2">
        <f t="shared" si="169"/>
        <v>0</v>
      </c>
      <c r="CR158" s="2">
        <f t="shared" si="170"/>
        <v>0</v>
      </c>
      <c r="CS158" s="2">
        <f t="shared" si="171"/>
        <v>0</v>
      </c>
      <c r="CT158" s="2">
        <f t="shared" si="172"/>
        <v>0</v>
      </c>
      <c r="CU158" s="2">
        <f t="shared" si="173"/>
        <v>0</v>
      </c>
      <c r="CV158" s="2">
        <f t="shared" si="174"/>
        <v>0</v>
      </c>
      <c r="CW158" s="2">
        <f t="shared" si="175"/>
        <v>0</v>
      </c>
      <c r="CX158" s="2">
        <f t="shared" si="176"/>
        <v>0</v>
      </c>
      <c r="CY158" s="2">
        <f t="shared" si="177"/>
        <v>0</v>
      </c>
      <c r="CZ158" s="2">
        <f t="shared" si="178"/>
        <v>0</v>
      </c>
      <c r="DA158" s="2"/>
      <c r="DB158" s="2"/>
      <c r="DC158" s="2" t="s">
        <v>6</v>
      </c>
      <c r="DD158" s="2" t="s">
        <v>6</v>
      </c>
      <c r="DE158" s="2" t="s">
        <v>6</v>
      </c>
      <c r="DF158" s="2" t="s">
        <v>6</v>
      </c>
      <c r="DG158" s="2" t="s">
        <v>6</v>
      </c>
      <c r="DH158" s="2" t="s">
        <v>6</v>
      </c>
      <c r="DI158" s="2" t="s">
        <v>6</v>
      </c>
      <c r="DJ158" s="2" t="s">
        <v>6</v>
      </c>
      <c r="DK158" s="2" t="s">
        <v>6</v>
      </c>
      <c r="DL158" s="2" t="s">
        <v>6</v>
      </c>
      <c r="DM158" s="2" t="s">
        <v>6</v>
      </c>
      <c r="DN158" s="2">
        <v>0</v>
      </c>
      <c r="DO158" s="2">
        <v>0</v>
      </c>
      <c r="DP158" s="2">
        <v>1</v>
      </c>
      <c r="DQ158" s="2">
        <v>1</v>
      </c>
      <c r="DR158" s="2"/>
      <c r="DS158" s="2"/>
      <c r="DT158" s="2"/>
      <c r="DU158" s="2">
        <v>1013</v>
      </c>
      <c r="DV158" s="2" t="s">
        <v>222</v>
      </c>
      <c r="DW158" s="2" t="s">
        <v>222</v>
      </c>
      <c r="DX158" s="2">
        <v>1</v>
      </c>
      <c r="DY158" s="2"/>
      <c r="DZ158" s="2"/>
      <c r="EA158" s="2"/>
      <c r="EB158" s="2"/>
      <c r="EC158" s="2"/>
      <c r="ED158" s="2"/>
      <c r="EE158" s="2">
        <v>16510515</v>
      </c>
      <c r="EF158" s="2">
        <v>2</v>
      </c>
      <c r="EG158" s="2" t="s">
        <v>18</v>
      </c>
      <c r="EH158" s="2">
        <v>0</v>
      </c>
      <c r="EI158" s="2" t="s">
        <v>6</v>
      </c>
      <c r="EJ158" s="2">
        <v>1</v>
      </c>
      <c r="EK158" s="2">
        <v>17001</v>
      </c>
      <c r="EL158" s="2" t="s">
        <v>308</v>
      </c>
      <c r="EM158" s="2" t="s">
        <v>309</v>
      </c>
      <c r="EN158" s="2"/>
      <c r="EO158" s="2" t="s">
        <v>6</v>
      </c>
      <c r="EP158" s="2"/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>
        <v>0</v>
      </c>
      <c r="FR158" s="2">
        <f t="shared" si="194"/>
        <v>0</v>
      </c>
      <c r="FS158" s="2">
        <v>0</v>
      </c>
      <c r="FT158" s="2" t="s">
        <v>21</v>
      </c>
      <c r="FU158" s="2" t="s">
        <v>22</v>
      </c>
      <c r="FV158" s="2"/>
      <c r="FW158" s="2"/>
      <c r="FX158" s="2">
        <v>115.2</v>
      </c>
      <c r="FY158" s="2">
        <v>70.55</v>
      </c>
      <c r="FZ158" s="2"/>
      <c r="GA158" s="2" t="s">
        <v>6</v>
      </c>
      <c r="GB158" s="2"/>
      <c r="GC158" s="2"/>
      <c r="GD158" s="2">
        <v>0</v>
      </c>
      <c r="GE158" s="2"/>
      <c r="GF158" s="2">
        <v>195171381</v>
      </c>
      <c r="GG158" s="2">
        <v>2</v>
      </c>
      <c r="GH158" s="2">
        <v>1</v>
      </c>
      <c r="GI158" s="2">
        <v>-2</v>
      </c>
      <c r="GJ158" s="2">
        <v>0</v>
      </c>
      <c r="GK158" s="2">
        <f>ROUND(R158*(R12)/100,2)</f>
        <v>0</v>
      </c>
      <c r="GL158" s="2">
        <f t="shared" si="195"/>
        <v>0</v>
      </c>
      <c r="GM158" s="2">
        <f t="shared" si="179"/>
        <v>0</v>
      </c>
      <c r="GN158" s="2">
        <f t="shared" si="180"/>
        <v>0</v>
      </c>
      <c r="GO158" s="2">
        <f t="shared" si="181"/>
        <v>0</v>
      </c>
      <c r="GP158" s="2">
        <f t="shared" si="182"/>
        <v>0</v>
      </c>
      <c r="GQ158" s="2"/>
      <c r="GR158" s="2">
        <v>0</v>
      </c>
      <c r="GS158" s="2">
        <v>3</v>
      </c>
      <c r="GT158" s="2">
        <v>0</v>
      </c>
      <c r="GU158" s="2" t="s">
        <v>6</v>
      </c>
      <c r="GV158" s="2">
        <f t="shared" si="183"/>
        <v>0</v>
      </c>
      <c r="GW158" s="2">
        <v>1</v>
      </c>
      <c r="GX158" s="2">
        <f t="shared" si="184"/>
        <v>0</v>
      </c>
      <c r="GY158" s="2"/>
      <c r="GZ158" s="2"/>
      <c r="HA158" s="2">
        <v>0</v>
      </c>
      <c r="HB158" s="2">
        <v>0</v>
      </c>
      <c r="HC158" s="2">
        <f t="shared" si="185"/>
        <v>0</v>
      </c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>
        <v>0</v>
      </c>
      <c r="IL158" s="2"/>
      <c r="IM158" s="2"/>
      <c r="IN158" s="2"/>
      <c r="IO158" s="2"/>
      <c r="IP158" s="2"/>
      <c r="IQ158" s="2"/>
      <c r="IR158" s="2"/>
      <c r="IS158" s="2"/>
      <c r="IT158" s="2"/>
      <c r="IU158" s="2"/>
    </row>
    <row r="159" spans="1:255" x14ac:dyDescent="0.2">
      <c r="A159">
        <v>18</v>
      </c>
      <c r="B159">
        <v>1</v>
      </c>
      <c r="C159">
        <v>480</v>
      </c>
      <c r="E159" t="s">
        <v>342</v>
      </c>
      <c r="F159" t="s">
        <v>332</v>
      </c>
      <c r="G159" t="s">
        <v>333</v>
      </c>
      <c r="H159" t="s">
        <v>222</v>
      </c>
      <c r="I159">
        <f>I155*J159</f>
        <v>1</v>
      </c>
      <c r="J159">
        <v>10</v>
      </c>
      <c r="O159">
        <f t="shared" si="150"/>
        <v>0</v>
      </c>
      <c r="P159">
        <f t="shared" si="151"/>
        <v>0</v>
      </c>
      <c r="Q159">
        <f t="shared" si="152"/>
        <v>0</v>
      </c>
      <c r="R159">
        <f t="shared" si="153"/>
        <v>0</v>
      </c>
      <c r="S159">
        <f t="shared" si="154"/>
        <v>0</v>
      </c>
      <c r="T159">
        <f t="shared" si="155"/>
        <v>0</v>
      </c>
      <c r="U159">
        <f t="shared" si="156"/>
        <v>0</v>
      </c>
      <c r="V159">
        <f t="shared" si="157"/>
        <v>0</v>
      </c>
      <c r="W159">
        <f t="shared" si="158"/>
        <v>0</v>
      </c>
      <c r="X159">
        <f t="shared" si="159"/>
        <v>0</v>
      </c>
      <c r="Y159">
        <f t="shared" si="160"/>
        <v>0</v>
      </c>
      <c r="AA159">
        <v>16784196</v>
      </c>
      <c r="AB159">
        <f t="shared" si="161"/>
        <v>0</v>
      </c>
      <c r="AC159">
        <f t="shared" si="162"/>
        <v>0</v>
      </c>
      <c r="AD159">
        <f>ROUND((((ET159)-(EU159))+AE159),2)</f>
        <v>0</v>
      </c>
      <c r="AE159">
        <f t="shared" si="196"/>
        <v>0</v>
      </c>
      <c r="AF159">
        <f t="shared" si="196"/>
        <v>0</v>
      </c>
      <c r="AG159">
        <f t="shared" si="165"/>
        <v>0</v>
      </c>
      <c r="AH159">
        <f t="shared" si="197"/>
        <v>0</v>
      </c>
      <c r="AI159">
        <f t="shared" si="197"/>
        <v>0</v>
      </c>
      <c r="AJ159">
        <f t="shared" si="167"/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115</v>
      </c>
      <c r="AU159">
        <v>71</v>
      </c>
      <c r="AV159">
        <v>1</v>
      </c>
      <c r="AW159">
        <v>1</v>
      </c>
      <c r="AZ159">
        <v>6.11</v>
      </c>
      <c r="BA159">
        <v>1</v>
      </c>
      <c r="BB159">
        <v>1</v>
      </c>
      <c r="BC159">
        <v>6.11</v>
      </c>
      <c r="BD159" t="s">
        <v>6</v>
      </c>
      <c r="BE159" t="s">
        <v>6</v>
      </c>
      <c r="BF159" t="s">
        <v>6</v>
      </c>
      <c r="BG159" t="s">
        <v>6</v>
      </c>
      <c r="BH159">
        <v>3</v>
      </c>
      <c r="BI159">
        <v>1</v>
      </c>
      <c r="BJ159" t="s">
        <v>6</v>
      </c>
      <c r="BM159">
        <v>17001</v>
      </c>
      <c r="BN159">
        <v>0</v>
      </c>
      <c r="BO159" t="s">
        <v>6</v>
      </c>
      <c r="BP159">
        <v>0</v>
      </c>
      <c r="BQ159">
        <v>2</v>
      </c>
      <c r="BR159">
        <v>0</v>
      </c>
      <c r="BS159">
        <v>1</v>
      </c>
      <c r="BT159">
        <v>1</v>
      </c>
      <c r="BU159">
        <v>1</v>
      </c>
      <c r="BV159">
        <v>1</v>
      </c>
      <c r="BW159">
        <v>1</v>
      </c>
      <c r="BX159">
        <v>1</v>
      </c>
      <c r="BY159" t="s">
        <v>6</v>
      </c>
      <c r="BZ159">
        <v>128</v>
      </c>
      <c r="CA159">
        <v>83</v>
      </c>
      <c r="CE159">
        <v>0</v>
      </c>
      <c r="CF159">
        <v>0</v>
      </c>
      <c r="CG159">
        <v>0</v>
      </c>
      <c r="CM159">
        <v>0</v>
      </c>
      <c r="CN159" t="s">
        <v>6</v>
      </c>
      <c r="CO159">
        <v>0</v>
      </c>
      <c r="CP159">
        <f t="shared" si="168"/>
        <v>0</v>
      </c>
      <c r="CQ159">
        <f t="shared" si="169"/>
        <v>0</v>
      </c>
      <c r="CR159">
        <f t="shared" si="170"/>
        <v>0</v>
      </c>
      <c r="CS159">
        <f t="shared" si="171"/>
        <v>0</v>
      </c>
      <c r="CT159">
        <f t="shared" si="172"/>
        <v>0</v>
      </c>
      <c r="CU159">
        <f t="shared" si="173"/>
        <v>0</v>
      </c>
      <c r="CV159">
        <f t="shared" si="174"/>
        <v>0</v>
      </c>
      <c r="CW159">
        <f t="shared" si="175"/>
        <v>0</v>
      </c>
      <c r="CX159">
        <f t="shared" si="176"/>
        <v>0</v>
      </c>
      <c r="CY159">
        <f t="shared" si="177"/>
        <v>0</v>
      </c>
      <c r="CZ159">
        <f t="shared" si="178"/>
        <v>0</v>
      </c>
      <c r="DC159" t="s">
        <v>6</v>
      </c>
      <c r="DD159" t="s">
        <v>6</v>
      </c>
      <c r="DE159" t="s">
        <v>6</v>
      </c>
      <c r="DF159" t="s">
        <v>6</v>
      </c>
      <c r="DG159" t="s">
        <v>6</v>
      </c>
      <c r="DH159" t="s">
        <v>6</v>
      </c>
      <c r="DI159" t="s">
        <v>6</v>
      </c>
      <c r="DJ159" t="s">
        <v>6</v>
      </c>
      <c r="DK159" t="s">
        <v>6</v>
      </c>
      <c r="DL159" t="s">
        <v>6</v>
      </c>
      <c r="DM159" t="s">
        <v>6</v>
      </c>
      <c r="DN159">
        <v>0</v>
      </c>
      <c r="DO159">
        <v>0</v>
      </c>
      <c r="DP159">
        <v>1</v>
      </c>
      <c r="DQ159">
        <v>1</v>
      </c>
      <c r="DU159">
        <v>1013</v>
      </c>
      <c r="DV159" t="s">
        <v>222</v>
      </c>
      <c r="DW159" t="s">
        <v>222</v>
      </c>
      <c r="DX159">
        <v>1</v>
      </c>
      <c r="EE159">
        <v>16510515</v>
      </c>
      <c r="EF159">
        <v>2</v>
      </c>
      <c r="EG159" t="s">
        <v>18</v>
      </c>
      <c r="EH159">
        <v>0</v>
      </c>
      <c r="EI159" t="s">
        <v>6</v>
      </c>
      <c r="EJ159">
        <v>1</v>
      </c>
      <c r="EK159">
        <v>17001</v>
      </c>
      <c r="EL159" t="s">
        <v>308</v>
      </c>
      <c r="EM159" t="s">
        <v>309</v>
      </c>
      <c r="EO159" t="s">
        <v>6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  <c r="FQ159">
        <v>0</v>
      </c>
      <c r="FR159">
        <f t="shared" si="194"/>
        <v>0</v>
      </c>
      <c r="FS159">
        <v>0</v>
      </c>
      <c r="FT159" t="s">
        <v>21</v>
      </c>
      <c r="FU159" t="s">
        <v>22</v>
      </c>
      <c r="FX159">
        <v>115.2</v>
      </c>
      <c r="FY159">
        <v>70.55</v>
      </c>
      <c r="GA159" t="s">
        <v>6</v>
      </c>
      <c r="GD159">
        <v>0</v>
      </c>
      <c r="GF159">
        <v>195171381</v>
      </c>
      <c r="GG159">
        <v>1</v>
      </c>
      <c r="GH159">
        <v>1</v>
      </c>
      <c r="GI159">
        <v>4</v>
      </c>
      <c r="GJ159">
        <v>0</v>
      </c>
      <c r="GK159">
        <f>ROUND(R159*(S12)/100,2)</f>
        <v>0</v>
      </c>
      <c r="GL159">
        <f t="shared" si="195"/>
        <v>0</v>
      </c>
      <c r="GM159">
        <f t="shared" si="179"/>
        <v>0</v>
      </c>
      <c r="GN159">
        <f t="shared" si="180"/>
        <v>0</v>
      </c>
      <c r="GO159">
        <f t="shared" si="181"/>
        <v>0</v>
      </c>
      <c r="GP159">
        <f t="shared" si="182"/>
        <v>0</v>
      </c>
      <c r="GR159">
        <v>0</v>
      </c>
      <c r="GS159">
        <v>3</v>
      </c>
      <c r="GT159">
        <v>0</v>
      </c>
      <c r="GU159" t="s">
        <v>6</v>
      </c>
      <c r="GV159">
        <f t="shared" si="183"/>
        <v>0</v>
      </c>
      <c r="GW159">
        <v>1</v>
      </c>
      <c r="GX159">
        <f t="shared" si="184"/>
        <v>0</v>
      </c>
      <c r="HA159">
        <v>0</v>
      </c>
      <c r="HB159">
        <v>0</v>
      </c>
      <c r="HC159">
        <f t="shared" si="185"/>
        <v>0</v>
      </c>
      <c r="IK159">
        <v>0</v>
      </c>
    </row>
    <row r="160" spans="1:255" x14ac:dyDescent="0.2">
      <c r="A160" s="2">
        <v>17</v>
      </c>
      <c r="B160" s="2">
        <v>1</v>
      </c>
      <c r="C160" s="2">
        <f>ROW(SmtRes!A486)</f>
        <v>486</v>
      </c>
      <c r="D160" s="2">
        <f>ROW(EtalonRes!A511)</f>
        <v>511</v>
      </c>
      <c r="E160" s="2" t="s">
        <v>343</v>
      </c>
      <c r="F160" s="2" t="s">
        <v>344</v>
      </c>
      <c r="G160" s="2" t="s">
        <v>345</v>
      </c>
      <c r="H160" s="2" t="s">
        <v>40</v>
      </c>
      <c r="I160" s="2">
        <f>ROUND(7/100,9)</f>
        <v>7.0000000000000007E-2</v>
      </c>
      <c r="J160" s="2">
        <v>0</v>
      </c>
      <c r="K160" s="2"/>
      <c r="L160" s="2"/>
      <c r="M160" s="2"/>
      <c r="N160" s="2"/>
      <c r="O160" s="2">
        <f t="shared" si="150"/>
        <v>26.11</v>
      </c>
      <c r="P160" s="2">
        <f t="shared" si="151"/>
        <v>2.35</v>
      </c>
      <c r="Q160" s="2">
        <f t="shared" si="152"/>
        <v>0.56999999999999995</v>
      </c>
      <c r="R160" s="2">
        <f t="shared" si="153"/>
        <v>0.11</v>
      </c>
      <c r="S160" s="2">
        <f t="shared" si="154"/>
        <v>23.19</v>
      </c>
      <c r="T160" s="2">
        <f t="shared" si="155"/>
        <v>0</v>
      </c>
      <c r="U160" s="2">
        <f t="shared" si="156"/>
        <v>2.79013</v>
      </c>
      <c r="V160" s="2">
        <f t="shared" si="157"/>
        <v>8.0499999999999999E-3</v>
      </c>
      <c r="W160" s="2">
        <f t="shared" si="158"/>
        <v>0</v>
      </c>
      <c r="X160" s="2">
        <f t="shared" si="159"/>
        <v>17.239999999999998</v>
      </c>
      <c r="Y160" s="2">
        <f t="shared" si="160"/>
        <v>11.65</v>
      </c>
      <c r="Z160" s="2"/>
      <c r="AA160" s="2">
        <v>16784195</v>
      </c>
      <c r="AB160" s="2">
        <f t="shared" si="161"/>
        <v>372.97</v>
      </c>
      <c r="AC160" s="2">
        <f t="shared" si="162"/>
        <v>33.6</v>
      </c>
      <c r="AD160" s="2">
        <f>ROUND(((((ET160*1.15))-((EU160*1.15)))+AE160),2)</f>
        <v>8.15</v>
      </c>
      <c r="AE160" s="2">
        <f>ROUND(((EU160*1.15)),2)</f>
        <v>1.55</v>
      </c>
      <c r="AF160" s="2">
        <f>ROUND(((EV160*1.15)),2)</f>
        <v>331.22</v>
      </c>
      <c r="AG160" s="2">
        <f t="shared" si="165"/>
        <v>0</v>
      </c>
      <c r="AH160" s="2">
        <f>((EW160*1.15))</f>
        <v>39.858999999999995</v>
      </c>
      <c r="AI160" s="2">
        <f>((EX160*1.15))</f>
        <v>0.11499999999999999</v>
      </c>
      <c r="AJ160" s="2">
        <f t="shared" si="167"/>
        <v>0</v>
      </c>
      <c r="AK160" s="2">
        <v>328.71</v>
      </c>
      <c r="AL160" s="2">
        <v>33.6</v>
      </c>
      <c r="AM160" s="2">
        <v>7.09</v>
      </c>
      <c r="AN160" s="2">
        <v>1.35</v>
      </c>
      <c r="AO160" s="2">
        <v>288.02</v>
      </c>
      <c r="AP160" s="2">
        <v>0</v>
      </c>
      <c r="AQ160" s="2">
        <v>34.659999999999997</v>
      </c>
      <c r="AR160" s="2">
        <v>0.1</v>
      </c>
      <c r="AS160" s="2">
        <v>0</v>
      </c>
      <c r="AT160" s="2">
        <v>74</v>
      </c>
      <c r="AU160" s="2">
        <v>50</v>
      </c>
      <c r="AV160" s="2">
        <v>1</v>
      </c>
      <c r="AW160" s="2">
        <v>1</v>
      </c>
      <c r="AX160" s="2"/>
      <c r="AY160" s="2"/>
      <c r="AZ160" s="2">
        <v>1</v>
      </c>
      <c r="BA160" s="2">
        <v>1</v>
      </c>
      <c r="BB160" s="2">
        <v>1</v>
      </c>
      <c r="BC160" s="2">
        <v>1</v>
      </c>
      <c r="BD160" s="2" t="s">
        <v>6</v>
      </c>
      <c r="BE160" s="2" t="s">
        <v>6</v>
      </c>
      <c r="BF160" s="2" t="s">
        <v>6</v>
      </c>
      <c r="BG160" s="2" t="s">
        <v>6</v>
      </c>
      <c r="BH160" s="2">
        <v>0</v>
      </c>
      <c r="BI160" s="2">
        <v>1</v>
      </c>
      <c r="BJ160" s="2" t="s">
        <v>346</v>
      </c>
      <c r="BK160" s="2"/>
      <c r="BL160" s="2"/>
      <c r="BM160" s="2">
        <v>65001</v>
      </c>
      <c r="BN160" s="2">
        <v>0</v>
      </c>
      <c r="BO160" s="2" t="s">
        <v>6</v>
      </c>
      <c r="BP160" s="2">
        <v>0</v>
      </c>
      <c r="BQ160" s="2">
        <v>6</v>
      </c>
      <c r="BR160" s="2">
        <v>0</v>
      </c>
      <c r="BS160" s="2">
        <v>1</v>
      </c>
      <c r="BT160" s="2">
        <v>1</v>
      </c>
      <c r="BU160" s="2">
        <v>1</v>
      </c>
      <c r="BV160" s="2">
        <v>1</v>
      </c>
      <c r="BW160" s="2">
        <v>1</v>
      </c>
      <c r="BX160" s="2">
        <v>1</v>
      </c>
      <c r="BY160" s="2" t="s">
        <v>6</v>
      </c>
      <c r="BZ160" s="2">
        <v>74</v>
      </c>
      <c r="CA160" s="2">
        <v>50</v>
      </c>
      <c r="CB160" s="2"/>
      <c r="CC160" s="2"/>
      <c r="CD160" s="2"/>
      <c r="CE160" s="2">
        <v>0</v>
      </c>
      <c r="CF160" s="2">
        <v>0</v>
      </c>
      <c r="CG160" s="2">
        <v>0</v>
      </c>
      <c r="CH160" s="2"/>
      <c r="CI160" s="2"/>
      <c r="CJ160" s="2"/>
      <c r="CK160" s="2"/>
      <c r="CL160" s="2"/>
      <c r="CM160" s="2">
        <v>0</v>
      </c>
      <c r="CN160" s="2" t="s">
        <v>827</v>
      </c>
      <c r="CO160" s="2">
        <v>0</v>
      </c>
      <c r="CP160" s="2">
        <f t="shared" si="168"/>
        <v>26.11</v>
      </c>
      <c r="CQ160" s="2">
        <f t="shared" si="169"/>
        <v>33.6</v>
      </c>
      <c r="CR160" s="2">
        <f t="shared" si="170"/>
        <v>8.15</v>
      </c>
      <c r="CS160" s="2">
        <f t="shared" si="171"/>
        <v>1.55</v>
      </c>
      <c r="CT160" s="2">
        <f t="shared" si="172"/>
        <v>331.22</v>
      </c>
      <c r="CU160" s="2">
        <f t="shared" si="173"/>
        <v>0</v>
      </c>
      <c r="CV160" s="2">
        <f t="shared" si="174"/>
        <v>39.858999999999995</v>
      </c>
      <c r="CW160" s="2">
        <f t="shared" si="175"/>
        <v>0.11499999999999999</v>
      </c>
      <c r="CX160" s="2">
        <f t="shared" si="176"/>
        <v>0</v>
      </c>
      <c r="CY160" s="2">
        <f t="shared" si="177"/>
        <v>17.242000000000001</v>
      </c>
      <c r="CZ160" s="2">
        <f t="shared" si="178"/>
        <v>11.65</v>
      </c>
      <c r="DA160" s="2"/>
      <c r="DB160" s="2"/>
      <c r="DC160" s="2" t="s">
        <v>6</v>
      </c>
      <c r="DD160" s="2" t="s">
        <v>6</v>
      </c>
      <c r="DE160" s="2" t="s">
        <v>28</v>
      </c>
      <c r="DF160" s="2" t="s">
        <v>28</v>
      </c>
      <c r="DG160" s="2" t="s">
        <v>28</v>
      </c>
      <c r="DH160" s="2" t="s">
        <v>6</v>
      </c>
      <c r="DI160" s="2" t="s">
        <v>28</v>
      </c>
      <c r="DJ160" s="2" t="s">
        <v>28</v>
      </c>
      <c r="DK160" s="2" t="s">
        <v>6</v>
      </c>
      <c r="DL160" s="2" t="s">
        <v>6</v>
      </c>
      <c r="DM160" s="2" t="s">
        <v>6</v>
      </c>
      <c r="DN160" s="2">
        <v>0</v>
      </c>
      <c r="DO160" s="2">
        <v>0</v>
      </c>
      <c r="DP160" s="2">
        <v>1</v>
      </c>
      <c r="DQ160" s="2">
        <v>1</v>
      </c>
      <c r="DR160" s="2"/>
      <c r="DS160" s="2"/>
      <c r="DT160" s="2"/>
      <c r="DU160" s="2">
        <v>1003</v>
      </c>
      <c r="DV160" s="2" t="s">
        <v>40</v>
      </c>
      <c r="DW160" s="2" t="s">
        <v>40</v>
      </c>
      <c r="DX160" s="2">
        <v>100</v>
      </c>
      <c r="DY160" s="2"/>
      <c r="DZ160" s="2"/>
      <c r="EA160" s="2"/>
      <c r="EB160" s="2"/>
      <c r="EC160" s="2"/>
      <c r="ED160" s="2"/>
      <c r="EE160" s="2">
        <v>16510574</v>
      </c>
      <c r="EF160" s="2">
        <v>6</v>
      </c>
      <c r="EG160" s="2" t="s">
        <v>90</v>
      </c>
      <c r="EH160" s="2">
        <v>0</v>
      </c>
      <c r="EI160" s="2" t="s">
        <v>6</v>
      </c>
      <c r="EJ160" s="2">
        <v>1</v>
      </c>
      <c r="EK160" s="2">
        <v>65001</v>
      </c>
      <c r="EL160" s="2" t="s">
        <v>283</v>
      </c>
      <c r="EM160" s="2" t="s">
        <v>284</v>
      </c>
      <c r="EN160" s="2"/>
      <c r="EO160" s="2" t="s">
        <v>347</v>
      </c>
      <c r="EP160" s="2"/>
      <c r="EQ160" s="2">
        <v>131072</v>
      </c>
      <c r="ER160" s="2">
        <v>328.71</v>
      </c>
      <c r="ES160" s="2">
        <v>33.6</v>
      </c>
      <c r="ET160" s="2">
        <v>7.09</v>
      </c>
      <c r="EU160" s="2">
        <v>1.35</v>
      </c>
      <c r="EV160" s="2">
        <v>288.02</v>
      </c>
      <c r="EW160" s="2">
        <v>34.659999999999997</v>
      </c>
      <c r="EX160" s="2">
        <v>0.1</v>
      </c>
      <c r="EY160" s="2">
        <v>0</v>
      </c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>
        <v>0</v>
      </c>
      <c r="FR160" s="2">
        <f t="shared" si="194"/>
        <v>0</v>
      </c>
      <c r="FS160" s="2">
        <v>0</v>
      </c>
      <c r="FT160" s="2"/>
      <c r="FU160" s="2"/>
      <c r="FV160" s="2"/>
      <c r="FW160" s="2"/>
      <c r="FX160" s="2">
        <v>74</v>
      </c>
      <c r="FY160" s="2">
        <v>50</v>
      </c>
      <c r="FZ160" s="2"/>
      <c r="GA160" s="2" t="s">
        <v>6</v>
      </c>
      <c r="GB160" s="2"/>
      <c r="GC160" s="2"/>
      <c r="GD160" s="2">
        <v>0</v>
      </c>
      <c r="GE160" s="2"/>
      <c r="GF160" s="2">
        <v>-319600296</v>
      </c>
      <c r="GG160" s="2">
        <v>2</v>
      </c>
      <c r="GH160" s="2">
        <v>1</v>
      </c>
      <c r="GI160" s="2">
        <v>-2</v>
      </c>
      <c r="GJ160" s="2">
        <v>0</v>
      </c>
      <c r="GK160" s="2">
        <f>ROUND(R160*(R12)/100,2)</f>
        <v>0</v>
      </c>
      <c r="GL160" s="2">
        <f t="shared" si="195"/>
        <v>0</v>
      </c>
      <c r="GM160" s="2">
        <f t="shared" si="179"/>
        <v>55</v>
      </c>
      <c r="GN160" s="2">
        <f t="shared" si="180"/>
        <v>55</v>
      </c>
      <c r="GO160" s="2">
        <f t="shared" si="181"/>
        <v>0</v>
      </c>
      <c r="GP160" s="2">
        <f t="shared" si="182"/>
        <v>0</v>
      </c>
      <c r="GQ160" s="2"/>
      <c r="GR160" s="2">
        <v>0</v>
      </c>
      <c r="GS160" s="2">
        <v>3</v>
      </c>
      <c r="GT160" s="2">
        <v>0</v>
      </c>
      <c r="GU160" s="2" t="s">
        <v>6</v>
      </c>
      <c r="GV160" s="2">
        <f t="shared" si="183"/>
        <v>0</v>
      </c>
      <c r="GW160" s="2">
        <v>1</v>
      </c>
      <c r="GX160" s="2">
        <f t="shared" si="184"/>
        <v>0</v>
      </c>
      <c r="GY160" s="2"/>
      <c r="GZ160" s="2"/>
      <c r="HA160" s="2">
        <v>0</v>
      </c>
      <c r="HB160" s="2">
        <v>0</v>
      </c>
      <c r="HC160" s="2">
        <f t="shared" si="185"/>
        <v>0</v>
      </c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>
        <v>0</v>
      </c>
      <c r="IL160" s="2"/>
      <c r="IM160" s="2"/>
      <c r="IN160" s="2"/>
      <c r="IO160" s="2"/>
      <c r="IP160" s="2"/>
      <c r="IQ160" s="2"/>
      <c r="IR160" s="2"/>
      <c r="IS160" s="2"/>
      <c r="IT160" s="2"/>
      <c r="IU160" s="2"/>
    </row>
    <row r="161" spans="1:255" x14ac:dyDescent="0.2">
      <c r="A161">
        <v>17</v>
      </c>
      <c r="B161">
        <v>1</v>
      </c>
      <c r="C161">
        <f>ROW(SmtRes!A492)</f>
        <v>492</v>
      </c>
      <c r="D161">
        <f>ROW(EtalonRes!A518)</f>
        <v>518</v>
      </c>
      <c r="E161" t="s">
        <v>343</v>
      </c>
      <c r="F161" t="s">
        <v>344</v>
      </c>
      <c r="G161" t="s">
        <v>345</v>
      </c>
      <c r="H161" t="s">
        <v>40</v>
      </c>
      <c r="I161">
        <f>ROUND(7/100,9)</f>
        <v>7.0000000000000007E-2</v>
      </c>
      <c r="J161">
        <v>0</v>
      </c>
      <c r="O161">
        <f t="shared" si="150"/>
        <v>159.52000000000001</v>
      </c>
      <c r="P161">
        <f t="shared" si="151"/>
        <v>14.37</v>
      </c>
      <c r="Q161">
        <f t="shared" si="152"/>
        <v>3.49</v>
      </c>
      <c r="R161">
        <f t="shared" si="153"/>
        <v>0.66</v>
      </c>
      <c r="S161">
        <f t="shared" si="154"/>
        <v>141.66</v>
      </c>
      <c r="T161">
        <f t="shared" si="155"/>
        <v>0</v>
      </c>
      <c r="U161">
        <f t="shared" si="156"/>
        <v>2.79013</v>
      </c>
      <c r="V161">
        <f t="shared" si="157"/>
        <v>8.0499999999999999E-3</v>
      </c>
      <c r="W161">
        <f t="shared" si="158"/>
        <v>0</v>
      </c>
      <c r="X161">
        <f t="shared" si="159"/>
        <v>105.32</v>
      </c>
      <c r="Y161">
        <f t="shared" si="160"/>
        <v>71.16</v>
      </c>
      <c r="AA161">
        <v>16784196</v>
      </c>
      <c r="AB161">
        <f t="shared" si="161"/>
        <v>372.97</v>
      </c>
      <c r="AC161">
        <f t="shared" si="162"/>
        <v>33.6</v>
      </c>
      <c r="AD161">
        <f>ROUND(((((ET161*1.15))-((EU161*1.15)))+AE161),2)</f>
        <v>8.15</v>
      </c>
      <c r="AE161">
        <f>ROUND(((EU161*1.15)),2)</f>
        <v>1.55</v>
      </c>
      <c r="AF161">
        <f>ROUND(((EV161*1.15)),2)</f>
        <v>331.22</v>
      </c>
      <c r="AG161">
        <f t="shared" si="165"/>
        <v>0</v>
      </c>
      <c r="AH161">
        <f>((EW161*1.15))</f>
        <v>39.858999999999995</v>
      </c>
      <c r="AI161">
        <f>((EX161*1.15))</f>
        <v>0.11499999999999999</v>
      </c>
      <c r="AJ161">
        <f t="shared" si="167"/>
        <v>0</v>
      </c>
      <c r="AK161">
        <v>328.71</v>
      </c>
      <c r="AL161">
        <v>33.6</v>
      </c>
      <c r="AM161">
        <v>7.09</v>
      </c>
      <c r="AN161">
        <v>1.35</v>
      </c>
      <c r="AO161">
        <v>288.02</v>
      </c>
      <c r="AP161">
        <v>0</v>
      </c>
      <c r="AQ161">
        <v>34.659999999999997</v>
      </c>
      <c r="AR161">
        <v>0.1</v>
      </c>
      <c r="AS161">
        <v>0</v>
      </c>
      <c r="AT161">
        <v>74</v>
      </c>
      <c r="AU161">
        <v>50</v>
      </c>
      <c r="AV161">
        <v>1</v>
      </c>
      <c r="AW161">
        <v>1</v>
      </c>
      <c r="AZ161">
        <v>6.11</v>
      </c>
      <c r="BA161">
        <v>6.11</v>
      </c>
      <c r="BB161">
        <v>6.11</v>
      </c>
      <c r="BC161">
        <v>6.11</v>
      </c>
      <c r="BD161" t="s">
        <v>6</v>
      </c>
      <c r="BE161" t="s">
        <v>6</v>
      </c>
      <c r="BF161" t="s">
        <v>6</v>
      </c>
      <c r="BG161" t="s">
        <v>6</v>
      </c>
      <c r="BH161">
        <v>0</v>
      </c>
      <c r="BI161">
        <v>1</v>
      </c>
      <c r="BJ161" t="s">
        <v>346</v>
      </c>
      <c r="BM161">
        <v>65001</v>
      </c>
      <c r="BN161">
        <v>0</v>
      </c>
      <c r="BO161" t="s">
        <v>6</v>
      </c>
      <c r="BP161">
        <v>0</v>
      </c>
      <c r="BQ161">
        <v>6</v>
      </c>
      <c r="BR161">
        <v>0</v>
      </c>
      <c r="BS161">
        <v>6.11</v>
      </c>
      <c r="BT161">
        <v>1</v>
      </c>
      <c r="BU161">
        <v>1</v>
      </c>
      <c r="BV161">
        <v>1</v>
      </c>
      <c r="BW161">
        <v>1</v>
      </c>
      <c r="BX161">
        <v>1</v>
      </c>
      <c r="BY161" t="s">
        <v>6</v>
      </c>
      <c r="BZ161">
        <v>74</v>
      </c>
      <c r="CA161">
        <v>50</v>
      </c>
      <c r="CE161">
        <v>0</v>
      </c>
      <c r="CF161">
        <v>0</v>
      </c>
      <c r="CG161">
        <v>0</v>
      </c>
      <c r="CM161">
        <v>0</v>
      </c>
      <c r="CN161" t="s">
        <v>827</v>
      </c>
      <c r="CO161">
        <v>0</v>
      </c>
      <c r="CP161">
        <f t="shared" si="168"/>
        <v>159.51999999999998</v>
      </c>
      <c r="CQ161">
        <f t="shared" si="169"/>
        <v>205.29600000000002</v>
      </c>
      <c r="CR161">
        <f t="shared" si="170"/>
        <v>49.796500000000002</v>
      </c>
      <c r="CS161">
        <f t="shared" si="171"/>
        <v>9.4705000000000013</v>
      </c>
      <c r="CT161">
        <f t="shared" si="172"/>
        <v>2023.7542000000003</v>
      </c>
      <c r="CU161">
        <f t="shared" si="173"/>
        <v>0</v>
      </c>
      <c r="CV161">
        <f t="shared" si="174"/>
        <v>39.858999999999995</v>
      </c>
      <c r="CW161">
        <f t="shared" si="175"/>
        <v>0.11499999999999999</v>
      </c>
      <c r="CX161">
        <f t="shared" si="176"/>
        <v>0</v>
      </c>
      <c r="CY161">
        <f t="shared" si="177"/>
        <v>105.3168</v>
      </c>
      <c r="CZ161">
        <f t="shared" si="178"/>
        <v>71.16</v>
      </c>
      <c r="DC161" t="s">
        <v>6</v>
      </c>
      <c r="DD161" t="s">
        <v>6</v>
      </c>
      <c r="DE161" t="s">
        <v>28</v>
      </c>
      <c r="DF161" t="s">
        <v>28</v>
      </c>
      <c r="DG161" t="s">
        <v>28</v>
      </c>
      <c r="DH161" t="s">
        <v>6</v>
      </c>
      <c r="DI161" t="s">
        <v>28</v>
      </c>
      <c r="DJ161" t="s">
        <v>28</v>
      </c>
      <c r="DK161" t="s">
        <v>6</v>
      </c>
      <c r="DL161" t="s">
        <v>6</v>
      </c>
      <c r="DM161" t="s">
        <v>6</v>
      </c>
      <c r="DN161">
        <v>0</v>
      </c>
      <c r="DO161">
        <v>0</v>
      </c>
      <c r="DP161">
        <v>1</v>
      </c>
      <c r="DQ161">
        <v>1</v>
      </c>
      <c r="DU161">
        <v>1003</v>
      </c>
      <c r="DV161" t="s">
        <v>40</v>
      </c>
      <c r="DW161" t="s">
        <v>40</v>
      </c>
      <c r="DX161">
        <v>100</v>
      </c>
      <c r="EE161">
        <v>16510574</v>
      </c>
      <c r="EF161">
        <v>6</v>
      </c>
      <c r="EG161" t="s">
        <v>90</v>
      </c>
      <c r="EH161">
        <v>0</v>
      </c>
      <c r="EI161" t="s">
        <v>6</v>
      </c>
      <c r="EJ161">
        <v>1</v>
      </c>
      <c r="EK161">
        <v>65001</v>
      </c>
      <c r="EL161" t="s">
        <v>283</v>
      </c>
      <c r="EM161" t="s">
        <v>284</v>
      </c>
      <c r="EO161" t="s">
        <v>347</v>
      </c>
      <c r="EQ161">
        <v>131072</v>
      </c>
      <c r="ER161">
        <v>328.71</v>
      </c>
      <c r="ES161">
        <v>33.6</v>
      </c>
      <c r="ET161">
        <v>7.09</v>
      </c>
      <c r="EU161">
        <v>1.35</v>
      </c>
      <c r="EV161">
        <v>288.02</v>
      </c>
      <c r="EW161">
        <v>34.659999999999997</v>
      </c>
      <c r="EX161">
        <v>0.1</v>
      </c>
      <c r="EY161">
        <v>0</v>
      </c>
      <c r="FQ161">
        <v>0</v>
      </c>
      <c r="FR161">
        <f t="shared" si="194"/>
        <v>0</v>
      </c>
      <c r="FS161">
        <v>0</v>
      </c>
      <c r="FX161">
        <v>74</v>
      </c>
      <c r="FY161">
        <v>50</v>
      </c>
      <c r="GA161" t="s">
        <v>6</v>
      </c>
      <c r="GD161">
        <v>0</v>
      </c>
      <c r="GF161">
        <v>-319600296</v>
      </c>
      <c r="GG161">
        <v>1</v>
      </c>
      <c r="GH161">
        <v>1</v>
      </c>
      <c r="GI161">
        <v>4</v>
      </c>
      <c r="GJ161">
        <v>0</v>
      </c>
      <c r="GK161">
        <f>ROUND(R161*(S12)/100,2)</f>
        <v>0</v>
      </c>
      <c r="GL161">
        <f t="shared" si="195"/>
        <v>0</v>
      </c>
      <c r="GM161">
        <f t="shared" si="179"/>
        <v>336</v>
      </c>
      <c r="GN161">
        <f t="shared" si="180"/>
        <v>336</v>
      </c>
      <c r="GO161">
        <f t="shared" si="181"/>
        <v>0</v>
      </c>
      <c r="GP161">
        <f t="shared" si="182"/>
        <v>0</v>
      </c>
      <c r="GR161">
        <v>0</v>
      </c>
      <c r="GS161">
        <v>3</v>
      </c>
      <c r="GT161">
        <v>0</v>
      </c>
      <c r="GU161" t="s">
        <v>6</v>
      </c>
      <c r="GV161">
        <f t="shared" si="183"/>
        <v>0</v>
      </c>
      <c r="GW161">
        <v>1</v>
      </c>
      <c r="GX161">
        <f t="shared" si="184"/>
        <v>0</v>
      </c>
      <c r="HA161">
        <v>0</v>
      </c>
      <c r="HB161">
        <v>0</v>
      </c>
      <c r="HC161">
        <f t="shared" si="185"/>
        <v>0</v>
      </c>
      <c r="IK161">
        <v>0</v>
      </c>
    </row>
    <row r="162" spans="1:255" x14ac:dyDescent="0.2">
      <c r="A162" s="2">
        <v>17</v>
      </c>
      <c r="B162" s="2">
        <v>1</v>
      </c>
      <c r="C162" s="2">
        <f>ROW(SmtRes!A504)</f>
        <v>504</v>
      </c>
      <c r="D162" s="2">
        <f>ROW(EtalonRes!A532)</f>
        <v>532</v>
      </c>
      <c r="E162" s="2" t="s">
        <v>348</v>
      </c>
      <c r="F162" s="2" t="s">
        <v>349</v>
      </c>
      <c r="G162" s="2" t="s">
        <v>350</v>
      </c>
      <c r="H162" s="2" t="s">
        <v>40</v>
      </c>
      <c r="I162" s="2">
        <f>ROUND(20/100,9)</f>
        <v>0.2</v>
      </c>
      <c r="J162" s="2">
        <v>0</v>
      </c>
      <c r="K162" s="2"/>
      <c r="L162" s="2"/>
      <c r="M162" s="2"/>
      <c r="N162" s="2"/>
      <c r="O162" s="2">
        <f t="shared" si="150"/>
        <v>336.71</v>
      </c>
      <c r="P162" s="2">
        <f t="shared" si="151"/>
        <v>7.59</v>
      </c>
      <c r="Q162" s="2">
        <f t="shared" si="152"/>
        <v>117.06</v>
      </c>
      <c r="R162" s="2">
        <f t="shared" si="153"/>
        <v>0.02</v>
      </c>
      <c r="S162" s="2">
        <f t="shared" si="154"/>
        <v>212.06</v>
      </c>
      <c r="T162" s="2">
        <f t="shared" si="155"/>
        <v>0</v>
      </c>
      <c r="U162" s="2">
        <f t="shared" si="156"/>
        <v>22.298500000000001</v>
      </c>
      <c r="V162" s="2">
        <f t="shared" si="157"/>
        <v>2.5000000000000005E-3</v>
      </c>
      <c r="W162" s="2">
        <f t="shared" si="158"/>
        <v>0</v>
      </c>
      <c r="X162" s="2">
        <f t="shared" si="159"/>
        <v>243.89</v>
      </c>
      <c r="Y162" s="2">
        <f t="shared" si="160"/>
        <v>150.58000000000001</v>
      </c>
      <c r="Z162" s="2"/>
      <c r="AA162" s="2">
        <v>16784195</v>
      </c>
      <c r="AB162" s="2">
        <f t="shared" si="161"/>
        <v>1683.57</v>
      </c>
      <c r="AC162" s="2">
        <f t="shared" si="162"/>
        <v>37.96</v>
      </c>
      <c r="AD162" s="2">
        <f>ROUND(((((ET162*1.25))-((EU162*1.25)))+AE162),2)</f>
        <v>585.32000000000005</v>
      </c>
      <c r="AE162" s="2">
        <f>ROUND(((EU162*1.25)),2)</f>
        <v>0.11</v>
      </c>
      <c r="AF162" s="2">
        <f>ROUND(((EV162*1.15)),2)</f>
        <v>1060.29</v>
      </c>
      <c r="AG162" s="2">
        <f t="shared" si="165"/>
        <v>0</v>
      </c>
      <c r="AH162" s="2">
        <f>((EW162*1.15))</f>
        <v>111.49249999999999</v>
      </c>
      <c r="AI162" s="2">
        <f>((EX162*1.25))</f>
        <v>1.2500000000000001E-2</v>
      </c>
      <c r="AJ162" s="2">
        <f t="shared" si="167"/>
        <v>0</v>
      </c>
      <c r="AK162" s="2">
        <v>1428.21</v>
      </c>
      <c r="AL162" s="2">
        <v>37.96</v>
      </c>
      <c r="AM162" s="2">
        <v>468.26</v>
      </c>
      <c r="AN162" s="2">
        <v>0.09</v>
      </c>
      <c r="AO162" s="2">
        <v>921.99</v>
      </c>
      <c r="AP162" s="2">
        <v>0</v>
      </c>
      <c r="AQ162" s="2">
        <v>96.95</v>
      </c>
      <c r="AR162" s="2">
        <v>0.01</v>
      </c>
      <c r="AS162" s="2">
        <v>0</v>
      </c>
      <c r="AT162" s="2">
        <v>115</v>
      </c>
      <c r="AU162" s="2">
        <v>71</v>
      </c>
      <c r="AV162" s="2">
        <v>1</v>
      </c>
      <c r="AW162" s="2">
        <v>1</v>
      </c>
      <c r="AX162" s="2"/>
      <c r="AY162" s="2"/>
      <c r="AZ162" s="2">
        <v>1</v>
      </c>
      <c r="BA162" s="2">
        <v>1</v>
      </c>
      <c r="BB162" s="2">
        <v>1</v>
      </c>
      <c r="BC162" s="2">
        <v>1</v>
      </c>
      <c r="BD162" s="2" t="s">
        <v>6</v>
      </c>
      <c r="BE162" s="2" t="s">
        <v>6</v>
      </c>
      <c r="BF162" s="2" t="s">
        <v>6</v>
      </c>
      <c r="BG162" s="2" t="s">
        <v>6</v>
      </c>
      <c r="BH162" s="2">
        <v>0</v>
      </c>
      <c r="BI162" s="2">
        <v>1</v>
      </c>
      <c r="BJ162" s="2" t="s">
        <v>351</v>
      </c>
      <c r="BK162" s="2"/>
      <c r="BL162" s="2"/>
      <c r="BM162" s="2">
        <v>16001</v>
      </c>
      <c r="BN162" s="2">
        <v>0</v>
      </c>
      <c r="BO162" s="2" t="s">
        <v>6</v>
      </c>
      <c r="BP162" s="2">
        <v>0</v>
      </c>
      <c r="BQ162" s="2">
        <v>2</v>
      </c>
      <c r="BR162" s="2">
        <v>0</v>
      </c>
      <c r="BS162" s="2">
        <v>1</v>
      </c>
      <c r="BT162" s="2">
        <v>1</v>
      </c>
      <c r="BU162" s="2">
        <v>1</v>
      </c>
      <c r="BV162" s="2">
        <v>1</v>
      </c>
      <c r="BW162" s="2">
        <v>1</v>
      </c>
      <c r="BX162" s="2">
        <v>1</v>
      </c>
      <c r="BY162" s="2" t="s">
        <v>6</v>
      </c>
      <c r="BZ162" s="2">
        <v>128</v>
      </c>
      <c r="CA162" s="2">
        <v>83</v>
      </c>
      <c r="CB162" s="2"/>
      <c r="CC162" s="2"/>
      <c r="CD162" s="2"/>
      <c r="CE162" s="2">
        <v>0</v>
      </c>
      <c r="CF162" s="2">
        <v>0</v>
      </c>
      <c r="CG162" s="2">
        <v>0</v>
      </c>
      <c r="CH162" s="2"/>
      <c r="CI162" s="2"/>
      <c r="CJ162" s="2"/>
      <c r="CK162" s="2"/>
      <c r="CL162" s="2"/>
      <c r="CM162" s="2">
        <v>0</v>
      </c>
      <c r="CN162" s="2" t="s">
        <v>824</v>
      </c>
      <c r="CO162" s="2">
        <v>0</v>
      </c>
      <c r="CP162" s="2">
        <f t="shared" si="168"/>
        <v>336.71000000000004</v>
      </c>
      <c r="CQ162" s="2">
        <f t="shared" si="169"/>
        <v>37.96</v>
      </c>
      <c r="CR162" s="2">
        <f t="shared" si="170"/>
        <v>585.32000000000005</v>
      </c>
      <c r="CS162" s="2">
        <f t="shared" si="171"/>
        <v>0.11</v>
      </c>
      <c r="CT162" s="2">
        <f t="shared" si="172"/>
        <v>1060.29</v>
      </c>
      <c r="CU162" s="2">
        <f t="shared" si="173"/>
        <v>0</v>
      </c>
      <c r="CV162" s="2">
        <f t="shared" si="174"/>
        <v>111.49249999999999</v>
      </c>
      <c r="CW162" s="2">
        <f t="shared" si="175"/>
        <v>1.2500000000000001E-2</v>
      </c>
      <c r="CX162" s="2">
        <f t="shared" si="176"/>
        <v>0</v>
      </c>
      <c r="CY162" s="2">
        <f t="shared" si="177"/>
        <v>243.892</v>
      </c>
      <c r="CZ162" s="2">
        <f t="shared" si="178"/>
        <v>150.57679999999999</v>
      </c>
      <c r="DA162" s="2"/>
      <c r="DB162" s="2"/>
      <c r="DC162" s="2" t="s">
        <v>6</v>
      </c>
      <c r="DD162" s="2" t="s">
        <v>6</v>
      </c>
      <c r="DE162" s="2" t="s">
        <v>27</v>
      </c>
      <c r="DF162" s="2" t="s">
        <v>27</v>
      </c>
      <c r="DG162" s="2" t="s">
        <v>28</v>
      </c>
      <c r="DH162" s="2" t="s">
        <v>6</v>
      </c>
      <c r="DI162" s="2" t="s">
        <v>28</v>
      </c>
      <c r="DJ162" s="2" t="s">
        <v>27</v>
      </c>
      <c r="DK162" s="2" t="s">
        <v>6</v>
      </c>
      <c r="DL162" s="2" t="s">
        <v>6</v>
      </c>
      <c r="DM162" s="2" t="s">
        <v>6</v>
      </c>
      <c r="DN162" s="2">
        <v>0</v>
      </c>
      <c r="DO162" s="2">
        <v>0</v>
      </c>
      <c r="DP162" s="2">
        <v>1</v>
      </c>
      <c r="DQ162" s="2">
        <v>1</v>
      </c>
      <c r="DR162" s="2"/>
      <c r="DS162" s="2"/>
      <c r="DT162" s="2"/>
      <c r="DU162" s="2">
        <v>1003</v>
      </c>
      <c r="DV162" s="2" t="s">
        <v>40</v>
      </c>
      <c r="DW162" s="2" t="s">
        <v>40</v>
      </c>
      <c r="DX162" s="2">
        <v>100</v>
      </c>
      <c r="DY162" s="2"/>
      <c r="DZ162" s="2"/>
      <c r="EA162" s="2"/>
      <c r="EB162" s="2"/>
      <c r="EC162" s="2"/>
      <c r="ED162" s="2"/>
      <c r="EE162" s="2">
        <v>16510514</v>
      </c>
      <c r="EF162" s="2">
        <v>2</v>
      </c>
      <c r="EG162" s="2" t="s">
        <v>18</v>
      </c>
      <c r="EH162" s="2">
        <v>0</v>
      </c>
      <c r="EI162" s="2" t="s">
        <v>6</v>
      </c>
      <c r="EJ162" s="2">
        <v>1</v>
      </c>
      <c r="EK162" s="2">
        <v>16001</v>
      </c>
      <c r="EL162" s="2" t="s">
        <v>289</v>
      </c>
      <c r="EM162" s="2" t="s">
        <v>290</v>
      </c>
      <c r="EN162" s="2"/>
      <c r="EO162" s="2" t="s">
        <v>31</v>
      </c>
      <c r="EP162" s="2"/>
      <c r="EQ162" s="2">
        <v>131072</v>
      </c>
      <c r="ER162" s="2">
        <v>1428.21</v>
      </c>
      <c r="ES162" s="2">
        <v>37.96</v>
      </c>
      <c r="ET162" s="2">
        <v>468.26</v>
      </c>
      <c r="EU162" s="2">
        <v>0.09</v>
      </c>
      <c r="EV162" s="2">
        <v>921.99</v>
      </c>
      <c r="EW162" s="2">
        <v>96.95</v>
      </c>
      <c r="EX162" s="2">
        <v>0.01</v>
      </c>
      <c r="EY162" s="2">
        <v>0</v>
      </c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>
        <v>0</v>
      </c>
      <c r="FR162" s="2">
        <f t="shared" si="194"/>
        <v>0</v>
      </c>
      <c r="FS162" s="2">
        <v>0</v>
      </c>
      <c r="FT162" s="2" t="s">
        <v>21</v>
      </c>
      <c r="FU162" s="2" t="s">
        <v>22</v>
      </c>
      <c r="FV162" s="2"/>
      <c r="FW162" s="2"/>
      <c r="FX162" s="2">
        <v>115.2</v>
      </c>
      <c r="FY162" s="2">
        <v>70.55</v>
      </c>
      <c r="FZ162" s="2"/>
      <c r="GA162" s="2" t="s">
        <v>6</v>
      </c>
      <c r="GB162" s="2"/>
      <c r="GC162" s="2"/>
      <c r="GD162" s="2">
        <v>0</v>
      </c>
      <c r="GE162" s="2"/>
      <c r="GF162" s="2">
        <v>-93700583</v>
      </c>
      <c r="GG162" s="2">
        <v>2</v>
      </c>
      <c r="GH162" s="2">
        <v>1</v>
      </c>
      <c r="GI162" s="2">
        <v>-2</v>
      </c>
      <c r="GJ162" s="2">
        <v>0</v>
      </c>
      <c r="GK162" s="2">
        <f>ROUND(R162*(R12)/100,2)</f>
        <v>0</v>
      </c>
      <c r="GL162" s="2">
        <f t="shared" si="195"/>
        <v>0</v>
      </c>
      <c r="GM162" s="2">
        <f t="shared" si="179"/>
        <v>731.18</v>
      </c>
      <c r="GN162" s="2">
        <f t="shared" si="180"/>
        <v>731.18</v>
      </c>
      <c r="GO162" s="2">
        <f t="shared" si="181"/>
        <v>0</v>
      </c>
      <c r="GP162" s="2">
        <f t="shared" si="182"/>
        <v>0</v>
      </c>
      <c r="GQ162" s="2"/>
      <c r="GR162" s="2">
        <v>0</v>
      </c>
      <c r="GS162" s="2">
        <v>3</v>
      </c>
      <c r="GT162" s="2">
        <v>0</v>
      </c>
      <c r="GU162" s="2" t="s">
        <v>6</v>
      </c>
      <c r="GV162" s="2">
        <f t="shared" si="183"/>
        <v>0</v>
      </c>
      <c r="GW162" s="2">
        <v>1</v>
      </c>
      <c r="GX162" s="2">
        <f t="shared" si="184"/>
        <v>0</v>
      </c>
      <c r="GY162" s="2"/>
      <c r="GZ162" s="2"/>
      <c r="HA162" s="2">
        <v>0</v>
      </c>
      <c r="HB162" s="2">
        <v>0</v>
      </c>
      <c r="HC162" s="2">
        <f t="shared" si="185"/>
        <v>0</v>
      </c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>
        <v>0</v>
      </c>
      <c r="IL162" s="2"/>
      <c r="IM162" s="2"/>
      <c r="IN162" s="2"/>
      <c r="IO162" s="2"/>
      <c r="IP162" s="2"/>
      <c r="IQ162" s="2"/>
      <c r="IR162" s="2"/>
      <c r="IS162" s="2"/>
      <c r="IT162" s="2"/>
      <c r="IU162" s="2"/>
    </row>
    <row r="163" spans="1:255" x14ac:dyDescent="0.2">
      <c r="A163">
        <v>17</v>
      </c>
      <c r="B163">
        <v>1</v>
      </c>
      <c r="C163">
        <f>ROW(SmtRes!A516)</f>
        <v>516</v>
      </c>
      <c r="D163">
        <f>ROW(EtalonRes!A546)</f>
        <v>546</v>
      </c>
      <c r="E163" t="s">
        <v>348</v>
      </c>
      <c r="F163" t="s">
        <v>349</v>
      </c>
      <c r="G163" t="s">
        <v>350</v>
      </c>
      <c r="H163" t="s">
        <v>40</v>
      </c>
      <c r="I163">
        <f>ROUND(20/100,9)</f>
        <v>0.2</v>
      </c>
      <c r="J163">
        <v>0</v>
      </c>
      <c r="O163">
        <f t="shared" si="150"/>
        <v>2057.3200000000002</v>
      </c>
      <c r="P163">
        <f t="shared" si="151"/>
        <v>46.39</v>
      </c>
      <c r="Q163">
        <f t="shared" si="152"/>
        <v>715.26</v>
      </c>
      <c r="R163">
        <f t="shared" si="153"/>
        <v>0.13</v>
      </c>
      <c r="S163">
        <f t="shared" si="154"/>
        <v>1295.67</v>
      </c>
      <c r="T163">
        <f t="shared" si="155"/>
        <v>0</v>
      </c>
      <c r="U163">
        <f t="shared" si="156"/>
        <v>22.298500000000001</v>
      </c>
      <c r="V163">
        <f t="shared" si="157"/>
        <v>2.5000000000000005E-3</v>
      </c>
      <c r="W163">
        <f t="shared" si="158"/>
        <v>0</v>
      </c>
      <c r="X163">
        <f t="shared" si="159"/>
        <v>1490.17</v>
      </c>
      <c r="Y163">
        <f t="shared" si="160"/>
        <v>920.02</v>
      </c>
      <c r="AA163">
        <v>16784196</v>
      </c>
      <c r="AB163">
        <f t="shared" si="161"/>
        <v>1683.57</v>
      </c>
      <c r="AC163">
        <f t="shared" si="162"/>
        <v>37.96</v>
      </c>
      <c r="AD163">
        <f>ROUND(((((ET163*1.25))-((EU163*1.25)))+AE163),2)</f>
        <v>585.32000000000005</v>
      </c>
      <c r="AE163">
        <f>ROUND(((EU163*1.25)),2)</f>
        <v>0.11</v>
      </c>
      <c r="AF163">
        <f>ROUND(((EV163*1.15)),2)</f>
        <v>1060.29</v>
      </c>
      <c r="AG163">
        <f t="shared" si="165"/>
        <v>0</v>
      </c>
      <c r="AH163">
        <f>((EW163*1.15))</f>
        <v>111.49249999999999</v>
      </c>
      <c r="AI163">
        <f>((EX163*1.25))</f>
        <v>1.2500000000000001E-2</v>
      </c>
      <c r="AJ163">
        <f t="shared" si="167"/>
        <v>0</v>
      </c>
      <c r="AK163">
        <v>1428.21</v>
      </c>
      <c r="AL163">
        <v>37.96</v>
      </c>
      <c r="AM163">
        <v>468.26</v>
      </c>
      <c r="AN163">
        <v>0.09</v>
      </c>
      <c r="AO163">
        <v>921.99</v>
      </c>
      <c r="AP163">
        <v>0</v>
      </c>
      <c r="AQ163">
        <v>96.95</v>
      </c>
      <c r="AR163">
        <v>0.01</v>
      </c>
      <c r="AS163">
        <v>0</v>
      </c>
      <c r="AT163">
        <v>115</v>
      </c>
      <c r="AU163">
        <v>71</v>
      </c>
      <c r="AV163">
        <v>1</v>
      </c>
      <c r="AW163">
        <v>1</v>
      </c>
      <c r="AZ163">
        <v>6.11</v>
      </c>
      <c r="BA163">
        <v>6.11</v>
      </c>
      <c r="BB163">
        <v>6.11</v>
      </c>
      <c r="BC163">
        <v>6.11</v>
      </c>
      <c r="BD163" t="s">
        <v>6</v>
      </c>
      <c r="BE163" t="s">
        <v>6</v>
      </c>
      <c r="BF163" t="s">
        <v>6</v>
      </c>
      <c r="BG163" t="s">
        <v>6</v>
      </c>
      <c r="BH163">
        <v>0</v>
      </c>
      <c r="BI163">
        <v>1</v>
      </c>
      <c r="BJ163" t="s">
        <v>351</v>
      </c>
      <c r="BM163">
        <v>16001</v>
      </c>
      <c r="BN163">
        <v>0</v>
      </c>
      <c r="BO163" t="s">
        <v>6</v>
      </c>
      <c r="BP163">
        <v>0</v>
      </c>
      <c r="BQ163">
        <v>2</v>
      </c>
      <c r="BR163">
        <v>0</v>
      </c>
      <c r="BS163">
        <v>6.11</v>
      </c>
      <c r="BT163">
        <v>1</v>
      </c>
      <c r="BU163">
        <v>1</v>
      </c>
      <c r="BV163">
        <v>1</v>
      </c>
      <c r="BW163">
        <v>1</v>
      </c>
      <c r="BX163">
        <v>1</v>
      </c>
      <c r="BY163" t="s">
        <v>6</v>
      </c>
      <c r="BZ163">
        <v>128</v>
      </c>
      <c r="CA163">
        <v>83</v>
      </c>
      <c r="CE163">
        <v>0</v>
      </c>
      <c r="CF163">
        <v>0</v>
      </c>
      <c r="CG163">
        <v>0</v>
      </c>
      <c r="CM163">
        <v>0</v>
      </c>
      <c r="CN163" t="s">
        <v>824</v>
      </c>
      <c r="CO163">
        <v>0</v>
      </c>
      <c r="CP163">
        <f t="shared" si="168"/>
        <v>2057.3200000000002</v>
      </c>
      <c r="CQ163">
        <f t="shared" si="169"/>
        <v>231.93560000000002</v>
      </c>
      <c r="CR163">
        <f t="shared" si="170"/>
        <v>3576.3052000000007</v>
      </c>
      <c r="CS163">
        <f t="shared" si="171"/>
        <v>0.67210000000000003</v>
      </c>
      <c r="CT163">
        <f t="shared" si="172"/>
        <v>6478.3719000000001</v>
      </c>
      <c r="CU163">
        <f t="shared" si="173"/>
        <v>0</v>
      </c>
      <c r="CV163">
        <f t="shared" si="174"/>
        <v>111.49249999999999</v>
      </c>
      <c r="CW163">
        <f t="shared" si="175"/>
        <v>1.2500000000000001E-2</v>
      </c>
      <c r="CX163">
        <f t="shared" si="176"/>
        <v>0</v>
      </c>
      <c r="CY163">
        <f t="shared" si="177"/>
        <v>1490.1700000000003</v>
      </c>
      <c r="CZ163">
        <f t="shared" si="178"/>
        <v>920.01800000000014</v>
      </c>
      <c r="DC163" t="s">
        <v>6</v>
      </c>
      <c r="DD163" t="s">
        <v>6</v>
      </c>
      <c r="DE163" t="s">
        <v>27</v>
      </c>
      <c r="DF163" t="s">
        <v>27</v>
      </c>
      <c r="DG163" t="s">
        <v>28</v>
      </c>
      <c r="DH163" t="s">
        <v>6</v>
      </c>
      <c r="DI163" t="s">
        <v>28</v>
      </c>
      <c r="DJ163" t="s">
        <v>27</v>
      </c>
      <c r="DK163" t="s">
        <v>6</v>
      </c>
      <c r="DL163" t="s">
        <v>6</v>
      </c>
      <c r="DM163" t="s">
        <v>6</v>
      </c>
      <c r="DN163">
        <v>0</v>
      </c>
      <c r="DO163">
        <v>0</v>
      </c>
      <c r="DP163">
        <v>1</v>
      </c>
      <c r="DQ163">
        <v>1</v>
      </c>
      <c r="DU163">
        <v>1003</v>
      </c>
      <c r="DV163" t="s">
        <v>40</v>
      </c>
      <c r="DW163" t="s">
        <v>40</v>
      </c>
      <c r="DX163">
        <v>100</v>
      </c>
      <c r="EE163">
        <v>16510514</v>
      </c>
      <c r="EF163">
        <v>2</v>
      </c>
      <c r="EG163" t="s">
        <v>18</v>
      </c>
      <c r="EH163">
        <v>0</v>
      </c>
      <c r="EI163" t="s">
        <v>6</v>
      </c>
      <c r="EJ163">
        <v>1</v>
      </c>
      <c r="EK163">
        <v>16001</v>
      </c>
      <c r="EL163" t="s">
        <v>289</v>
      </c>
      <c r="EM163" t="s">
        <v>290</v>
      </c>
      <c r="EO163" t="s">
        <v>31</v>
      </c>
      <c r="EQ163">
        <v>131072</v>
      </c>
      <c r="ER163">
        <v>1428.21</v>
      </c>
      <c r="ES163">
        <v>37.96</v>
      </c>
      <c r="ET163">
        <v>468.26</v>
      </c>
      <c r="EU163">
        <v>0.09</v>
      </c>
      <c r="EV163">
        <v>921.99</v>
      </c>
      <c r="EW163">
        <v>96.95</v>
      </c>
      <c r="EX163">
        <v>0.01</v>
      </c>
      <c r="EY163">
        <v>0</v>
      </c>
      <c r="FQ163">
        <v>0</v>
      </c>
      <c r="FR163">
        <f t="shared" si="194"/>
        <v>0</v>
      </c>
      <c r="FS163">
        <v>0</v>
      </c>
      <c r="FT163" t="s">
        <v>21</v>
      </c>
      <c r="FU163" t="s">
        <v>22</v>
      </c>
      <c r="FX163">
        <v>115.2</v>
      </c>
      <c r="FY163">
        <v>70.55</v>
      </c>
      <c r="GA163" t="s">
        <v>6</v>
      </c>
      <c r="GD163">
        <v>0</v>
      </c>
      <c r="GF163">
        <v>-93700583</v>
      </c>
      <c r="GG163">
        <v>1</v>
      </c>
      <c r="GH163">
        <v>1</v>
      </c>
      <c r="GI163">
        <v>4</v>
      </c>
      <c r="GJ163">
        <v>0</v>
      </c>
      <c r="GK163">
        <f>ROUND(R163*(S12)/100,2)</f>
        <v>0</v>
      </c>
      <c r="GL163">
        <f t="shared" si="195"/>
        <v>0</v>
      </c>
      <c r="GM163">
        <f t="shared" si="179"/>
        <v>4467.51</v>
      </c>
      <c r="GN163">
        <f t="shared" si="180"/>
        <v>4467.51</v>
      </c>
      <c r="GO163">
        <f t="shared" si="181"/>
        <v>0</v>
      </c>
      <c r="GP163">
        <f t="shared" si="182"/>
        <v>0</v>
      </c>
      <c r="GR163">
        <v>0</v>
      </c>
      <c r="GS163">
        <v>3</v>
      </c>
      <c r="GT163">
        <v>0</v>
      </c>
      <c r="GU163" t="s">
        <v>6</v>
      </c>
      <c r="GV163">
        <f t="shared" si="183"/>
        <v>0</v>
      </c>
      <c r="GW163">
        <v>1</v>
      </c>
      <c r="GX163">
        <f t="shared" si="184"/>
        <v>0</v>
      </c>
      <c r="HA163">
        <v>0</v>
      </c>
      <c r="HB163">
        <v>0</v>
      </c>
      <c r="HC163">
        <f t="shared" si="185"/>
        <v>0</v>
      </c>
      <c r="IK163">
        <v>0</v>
      </c>
    </row>
    <row r="164" spans="1:255" x14ac:dyDescent="0.2">
      <c r="A164" s="2">
        <v>18</v>
      </c>
      <c r="B164" s="2">
        <v>1</v>
      </c>
      <c r="C164" s="2">
        <v>503</v>
      </c>
      <c r="D164" s="2"/>
      <c r="E164" s="2" t="s">
        <v>352</v>
      </c>
      <c r="F164" s="2" t="s">
        <v>353</v>
      </c>
      <c r="G164" s="2" t="s">
        <v>354</v>
      </c>
      <c r="H164" s="2" t="s">
        <v>277</v>
      </c>
      <c r="I164" s="2">
        <f>I162*J164</f>
        <v>28</v>
      </c>
      <c r="J164" s="2">
        <v>140</v>
      </c>
      <c r="K164" s="2"/>
      <c r="L164" s="2"/>
      <c r="M164" s="2"/>
      <c r="N164" s="2"/>
      <c r="O164" s="2">
        <f t="shared" si="150"/>
        <v>226.52</v>
      </c>
      <c r="P164" s="2">
        <f t="shared" si="151"/>
        <v>226.52</v>
      </c>
      <c r="Q164" s="2">
        <f t="shared" si="152"/>
        <v>0</v>
      </c>
      <c r="R164" s="2">
        <f t="shared" si="153"/>
        <v>0</v>
      </c>
      <c r="S164" s="2">
        <f t="shared" si="154"/>
        <v>0</v>
      </c>
      <c r="T164" s="2">
        <f t="shared" si="155"/>
        <v>0</v>
      </c>
      <c r="U164" s="2">
        <f t="shared" si="156"/>
        <v>0</v>
      </c>
      <c r="V164" s="2">
        <f t="shared" si="157"/>
        <v>0</v>
      </c>
      <c r="W164" s="2">
        <f t="shared" si="158"/>
        <v>0</v>
      </c>
      <c r="X164" s="2">
        <f t="shared" si="159"/>
        <v>0</v>
      </c>
      <c r="Y164" s="2">
        <f t="shared" si="160"/>
        <v>0</v>
      </c>
      <c r="Z164" s="2"/>
      <c r="AA164" s="2">
        <v>16784195</v>
      </c>
      <c r="AB164" s="2">
        <f t="shared" si="161"/>
        <v>8.09</v>
      </c>
      <c r="AC164" s="2">
        <f t="shared" si="162"/>
        <v>8.09</v>
      </c>
      <c r="AD164" s="2">
        <f>ROUND((((ET164)-(EU164))+AE164),2)</f>
        <v>0</v>
      </c>
      <c r="AE164" s="2">
        <f t="shared" ref="AE164:AF167" si="198">ROUND((EU164),2)</f>
        <v>0</v>
      </c>
      <c r="AF164" s="2">
        <f t="shared" si="198"/>
        <v>0</v>
      </c>
      <c r="AG164" s="2">
        <f t="shared" si="165"/>
        <v>0</v>
      </c>
      <c r="AH164" s="2">
        <f t="shared" ref="AH164:AI167" si="199">(EW164)</f>
        <v>0</v>
      </c>
      <c r="AI164" s="2">
        <f t="shared" si="199"/>
        <v>0</v>
      </c>
      <c r="AJ164" s="2">
        <f t="shared" si="167"/>
        <v>0</v>
      </c>
      <c r="AK164" s="2">
        <v>8.09</v>
      </c>
      <c r="AL164" s="2">
        <v>8.09</v>
      </c>
      <c r="AM164" s="2">
        <v>0</v>
      </c>
      <c r="AN164" s="2">
        <v>0</v>
      </c>
      <c r="AO164" s="2">
        <v>0</v>
      </c>
      <c r="AP164" s="2">
        <v>0</v>
      </c>
      <c r="AQ164" s="2">
        <v>0</v>
      </c>
      <c r="AR164" s="2">
        <v>0</v>
      </c>
      <c r="AS164" s="2">
        <v>0</v>
      </c>
      <c r="AT164" s="2">
        <v>115</v>
      </c>
      <c r="AU164" s="2">
        <v>71</v>
      </c>
      <c r="AV164" s="2">
        <v>1</v>
      </c>
      <c r="AW164" s="2">
        <v>1</v>
      </c>
      <c r="AX164" s="2"/>
      <c r="AY164" s="2"/>
      <c r="AZ164" s="2">
        <v>1</v>
      </c>
      <c r="BA164" s="2">
        <v>1</v>
      </c>
      <c r="BB164" s="2">
        <v>1</v>
      </c>
      <c r="BC164" s="2">
        <v>1</v>
      </c>
      <c r="BD164" s="2" t="s">
        <v>6</v>
      </c>
      <c r="BE164" s="2" t="s">
        <v>6</v>
      </c>
      <c r="BF164" s="2" t="s">
        <v>6</v>
      </c>
      <c r="BG164" s="2" t="s">
        <v>6</v>
      </c>
      <c r="BH164" s="2">
        <v>3</v>
      </c>
      <c r="BI164" s="2">
        <v>1</v>
      </c>
      <c r="BJ164" s="2" t="s">
        <v>355</v>
      </c>
      <c r="BK164" s="2"/>
      <c r="BL164" s="2"/>
      <c r="BM164" s="2">
        <v>16001</v>
      </c>
      <c r="BN164" s="2">
        <v>0</v>
      </c>
      <c r="BO164" s="2" t="s">
        <v>6</v>
      </c>
      <c r="BP164" s="2">
        <v>0</v>
      </c>
      <c r="BQ164" s="2">
        <v>2</v>
      </c>
      <c r="BR164" s="2">
        <v>0</v>
      </c>
      <c r="BS164" s="2">
        <v>1</v>
      </c>
      <c r="BT164" s="2">
        <v>1</v>
      </c>
      <c r="BU164" s="2">
        <v>1</v>
      </c>
      <c r="BV164" s="2">
        <v>1</v>
      </c>
      <c r="BW164" s="2">
        <v>1</v>
      </c>
      <c r="BX164" s="2">
        <v>1</v>
      </c>
      <c r="BY164" s="2" t="s">
        <v>6</v>
      </c>
      <c r="BZ164" s="2">
        <v>128</v>
      </c>
      <c r="CA164" s="2">
        <v>83</v>
      </c>
      <c r="CB164" s="2"/>
      <c r="CC164" s="2"/>
      <c r="CD164" s="2"/>
      <c r="CE164" s="2">
        <v>0</v>
      </c>
      <c r="CF164" s="2">
        <v>0</v>
      </c>
      <c r="CG164" s="2">
        <v>0</v>
      </c>
      <c r="CH164" s="2"/>
      <c r="CI164" s="2"/>
      <c r="CJ164" s="2"/>
      <c r="CK164" s="2"/>
      <c r="CL164" s="2"/>
      <c r="CM164" s="2">
        <v>0</v>
      </c>
      <c r="CN164" s="2" t="s">
        <v>6</v>
      </c>
      <c r="CO164" s="2">
        <v>0</v>
      </c>
      <c r="CP164" s="2">
        <f t="shared" si="168"/>
        <v>226.52</v>
      </c>
      <c r="CQ164" s="2">
        <f t="shared" si="169"/>
        <v>8.09</v>
      </c>
      <c r="CR164" s="2">
        <f t="shared" si="170"/>
        <v>0</v>
      </c>
      <c r="CS164" s="2">
        <f t="shared" si="171"/>
        <v>0</v>
      </c>
      <c r="CT164" s="2">
        <f t="shared" si="172"/>
        <v>0</v>
      </c>
      <c r="CU164" s="2">
        <f t="shared" si="173"/>
        <v>0</v>
      </c>
      <c r="CV164" s="2">
        <f t="shared" si="174"/>
        <v>0</v>
      </c>
      <c r="CW164" s="2">
        <f t="shared" si="175"/>
        <v>0</v>
      </c>
      <c r="CX164" s="2">
        <f t="shared" si="176"/>
        <v>0</v>
      </c>
      <c r="CY164" s="2">
        <f t="shared" si="177"/>
        <v>0</v>
      </c>
      <c r="CZ164" s="2">
        <f t="shared" si="178"/>
        <v>0</v>
      </c>
      <c r="DA164" s="2"/>
      <c r="DB164" s="2"/>
      <c r="DC164" s="2" t="s">
        <v>6</v>
      </c>
      <c r="DD164" s="2" t="s">
        <v>6</v>
      </c>
      <c r="DE164" s="2" t="s">
        <v>6</v>
      </c>
      <c r="DF164" s="2" t="s">
        <v>6</v>
      </c>
      <c r="DG164" s="2" t="s">
        <v>6</v>
      </c>
      <c r="DH164" s="2" t="s">
        <v>6</v>
      </c>
      <c r="DI164" s="2" t="s">
        <v>6</v>
      </c>
      <c r="DJ164" s="2" t="s">
        <v>6</v>
      </c>
      <c r="DK164" s="2" t="s">
        <v>6</v>
      </c>
      <c r="DL164" s="2" t="s">
        <v>6</v>
      </c>
      <c r="DM164" s="2" t="s">
        <v>6</v>
      </c>
      <c r="DN164" s="2">
        <v>0</v>
      </c>
      <c r="DO164" s="2">
        <v>0</v>
      </c>
      <c r="DP164" s="2">
        <v>1</v>
      </c>
      <c r="DQ164" s="2">
        <v>1</v>
      </c>
      <c r="DR164" s="2"/>
      <c r="DS164" s="2"/>
      <c r="DT164" s="2"/>
      <c r="DU164" s="2">
        <v>1010</v>
      </c>
      <c r="DV164" s="2" t="s">
        <v>277</v>
      </c>
      <c r="DW164" s="2" t="s">
        <v>277</v>
      </c>
      <c r="DX164" s="2">
        <v>1</v>
      </c>
      <c r="DY164" s="2"/>
      <c r="DZ164" s="2"/>
      <c r="EA164" s="2"/>
      <c r="EB164" s="2"/>
      <c r="EC164" s="2"/>
      <c r="ED164" s="2"/>
      <c r="EE164" s="2">
        <v>16510514</v>
      </c>
      <c r="EF164" s="2">
        <v>2</v>
      </c>
      <c r="EG164" s="2" t="s">
        <v>18</v>
      </c>
      <c r="EH164" s="2">
        <v>0</v>
      </c>
      <c r="EI164" s="2" t="s">
        <v>6</v>
      </c>
      <c r="EJ164" s="2">
        <v>1</v>
      </c>
      <c r="EK164" s="2">
        <v>16001</v>
      </c>
      <c r="EL164" s="2" t="s">
        <v>289</v>
      </c>
      <c r="EM164" s="2" t="s">
        <v>290</v>
      </c>
      <c r="EN164" s="2"/>
      <c r="EO164" s="2" t="s">
        <v>6</v>
      </c>
      <c r="EP164" s="2"/>
      <c r="EQ164" s="2">
        <v>0</v>
      </c>
      <c r="ER164" s="2">
        <v>8.09</v>
      </c>
      <c r="ES164" s="2">
        <v>8.09</v>
      </c>
      <c r="ET164" s="2">
        <v>0</v>
      </c>
      <c r="EU164" s="2">
        <v>0</v>
      </c>
      <c r="EV164" s="2">
        <v>0</v>
      </c>
      <c r="EW164" s="2">
        <v>0</v>
      </c>
      <c r="EX164" s="2">
        <v>0</v>
      </c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>
        <v>0</v>
      </c>
      <c r="FR164" s="2">
        <f t="shared" si="194"/>
        <v>0</v>
      </c>
      <c r="FS164" s="2">
        <v>0</v>
      </c>
      <c r="FT164" s="2" t="s">
        <v>21</v>
      </c>
      <c r="FU164" s="2" t="s">
        <v>22</v>
      </c>
      <c r="FV164" s="2"/>
      <c r="FW164" s="2"/>
      <c r="FX164" s="2">
        <v>115.2</v>
      </c>
      <c r="FY164" s="2">
        <v>70.55</v>
      </c>
      <c r="FZ164" s="2"/>
      <c r="GA164" s="2" t="s">
        <v>6</v>
      </c>
      <c r="GB164" s="2"/>
      <c r="GC164" s="2"/>
      <c r="GD164" s="2">
        <v>0</v>
      </c>
      <c r="GE164" s="2"/>
      <c r="GF164" s="2">
        <v>-697268462</v>
      </c>
      <c r="GG164" s="2">
        <v>2</v>
      </c>
      <c r="GH164" s="2">
        <v>1</v>
      </c>
      <c r="GI164" s="2">
        <v>-2</v>
      </c>
      <c r="GJ164" s="2">
        <v>0</v>
      </c>
      <c r="GK164" s="2">
        <f>ROUND(R164*(R12)/100,2)</f>
        <v>0</v>
      </c>
      <c r="GL164" s="2">
        <f t="shared" si="195"/>
        <v>0</v>
      </c>
      <c r="GM164" s="2">
        <f t="shared" si="179"/>
        <v>226.52</v>
      </c>
      <c r="GN164" s="2">
        <f t="shared" si="180"/>
        <v>226.52</v>
      </c>
      <c r="GO164" s="2">
        <f t="shared" si="181"/>
        <v>0</v>
      </c>
      <c r="GP164" s="2">
        <f t="shared" si="182"/>
        <v>0</v>
      </c>
      <c r="GQ164" s="2"/>
      <c r="GR164" s="2">
        <v>0</v>
      </c>
      <c r="GS164" s="2">
        <v>3</v>
      </c>
      <c r="GT164" s="2">
        <v>0</v>
      </c>
      <c r="GU164" s="2" t="s">
        <v>6</v>
      </c>
      <c r="GV164" s="2">
        <f t="shared" si="183"/>
        <v>0</v>
      </c>
      <c r="GW164" s="2">
        <v>1</v>
      </c>
      <c r="GX164" s="2">
        <f t="shared" si="184"/>
        <v>0</v>
      </c>
      <c r="GY164" s="2"/>
      <c r="GZ164" s="2"/>
      <c r="HA164" s="2">
        <v>0</v>
      </c>
      <c r="HB164" s="2">
        <v>0</v>
      </c>
      <c r="HC164" s="2">
        <f t="shared" si="185"/>
        <v>0</v>
      </c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>
        <v>0</v>
      </c>
      <c r="IL164" s="2"/>
      <c r="IM164" s="2"/>
      <c r="IN164" s="2"/>
      <c r="IO164" s="2"/>
      <c r="IP164" s="2"/>
      <c r="IQ164" s="2"/>
      <c r="IR164" s="2"/>
      <c r="IS164" s="2"/>
      <c r="IT164" s="2"/>
      <c r="IU164" s="2"/>
    </row>
    <row r="165" spans="1:255" x14ac:dyDescent="0.2">
      <c r="A165">
        <v>18</v>
      </c>
      <c r="B165">
        <v>1</v>
      </c>
      <c r="C165">
        <v>515</v>
      </c>
      <c r="E165" t="s">
        <v>352</v>
      </c>
      <c r="F165" t="s">
        <v>353</v>
      </c>
      <c r="G165" t="s">
        <v>354</v>
      </c>
      <c r="H165" t="s">
        <v>277</v>
      </c>
      <c r="I165">
        <f>I163*J165</f>
        <v>28</v>
      </c>
      <c r="J165">
        <v>140</v>
      </c>
      <c r="O165">
        <f t="shared" si="150"/>
        <v>1384.04</v>
      </c>
      <c r="P165">
        <f t="shared" si="151"/>
        <v>1384.04</v>
      </c>
      <c r="Q165">
        <f t="shared" si="152"/>
        <v>0</v>
      </c>
      <c r="R165">
        <f t="shared" si="153"/>
        <v>0</v>
      </c>
      <c r="S165">
        <f t="shared" si="154"/>
        <v>0</v>
      </c>
      <c r="T165">
        <f t="shared" si="155"/>
        <v>0</v>
      </c>
      <c r="U165">
        <f t="shared" si="156"/>
        <v>0</v>
      </c>
      <c r="V165">
        <f t="shared" si="157"/>
        <v>0</v>
      </c>
      <c r="W165">
        <f t="shared" si="158"/>
        <v>0</v>
      </c>
      <c r="X165">
        <f t="shared" si="159"/>
        <v>0</v>
      </c>
      <c r="Y165">
        <f t="shared" si="160"/>
        <v>0</v>
      </c>
      <c r="AA165">
        <v>16784196</v>
      </c>
      <c r="AB165">
        <f t="shared" si="161"/>
        <v>8.09</v>
      </c>
      <c r="AC165">
        <f t="shared" si="162"/>
        <v>8.09</v>
      </c>
      <c r="AD165">
        <f>ROUND((((ET165)-(EU165))+AE165),2)</f>
        <v>0</v>
      </c>
      <c r="AE165">
        <f t="shared" si="198"/>
        <v>0</v>
      </c>
      <c r="AF165">
        <f t="shared" si="198"/>
        <v>0</v>
      </c>
      <c r="AG165">
        <f t="shared" si="165"/>
        <v>0</v>
      </c>
      <c r="AH165">
        <f t="shared" si="199"/>
        <v>0</v>
      </c>
      <c r="AI165">
        <f t="shared" si="199"/>
        <v>0</v>
      </c>
      <c r="AJ165">
        <f t="shared" si="167"/>
        <v>0</v>
      </c>
      <c r="AK165">
        <v>8.09</v>
      </c>
      <c r="AL165">
        <v>8.09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115</v>
      </c>
      <c r="AU165">
        <v>71</v>
      </c>
      <c r="AV165">
        <v>1</v>
      </c>
      <c r="AW165">
        <v>1</v>
      </c>
      <c r="AZ165">
        <v>6.11</v>
      </c>
      <c r="BA165">
        <v>1</v>
      </c>
      <c r="BB165">
        <v>1</v>
      </c>
      <c r="BC165">
        <v>6.11</v>
      </c>
      <c r="BD165" t="s">
        <v>6</v>
      </c>
      <c r="BE165" t="s">
        <v>6</v>
      </c>
      <c r="BF165" t="s">
        <v>6</v>
      </c>
      <c r="BG165" t="s">
        <v>6</v>
      </c>
      <c r="BH165">
        <v>3</v>
      </c>
      <c r="BI165">
        <v>1</v>
      </c>
      <c r="BJ165" t="s">
        <v>355</v>
      </c>
      <c r="BM165">
        <v>16001</v>
      </c>
      <c r="BN165">
        <v>0</v>
      </c>
      <c r="BO165" t="s">
        <v>6</v>
      </c>
      <c r="BP165">
        <v>0</v>
      </c>
      <c r="BQ165">
        <v>2</v>
      </c>
      <c r="BR165">
        <v>0</v>
      </c>
      <c r="BS165">
        <v>1</v>
      </c>
      <c r="BT165">
        <v>1</v>
      </c>
      <c r="BU165">
        <v>1</v>
      </c>
      <c r="BV165">
        <v>1</v>
      </c>
      <c r="BW165">
        <v>1</v>
      </c>
      <c r="BX165">
        <v>1</v>
      </c>
      <c r="BY165" t="s">
        <v>6</v>
      </c>
      <c r="BZ165">
        <v>128</v>
      </c>
      <c r="CA165">
        <v>83</v>
      </c>
      <c r="CE165">
        <v>0</v>
      </c>
      <c r="CF165">
        <v>0</v>
      </c>
      <c r="CG165">
        <v>0</v>
      </c>
      <c r="CM165">
        <v>0</v>
      </c>
      <c r="CN165" t="s">
        <v>6</v>
      </c>
      <c r="CO165">
        <v>0</v>
      </c>
      <c r="CP165">
        <f t="shared" si="168"/>
        <v>1384.04</v>
      </c>
      <c r="CQ165">
        <f t="shared" si="169"/>
        <v>49.429900000000004</v>
      </c>
      <c r="CR165">
        <f t="shared" si="170"/>
        <v>0</v>
      </c>
      <c r="CS165">
        <f t="shared" si="171"/>
        <v>0</v>
      </c>
      <c r="CT165">
        <f t="shared" si="172"/>
        <v>0</v>
      </c>
      <c r="CU165">
        <f t="shared" si="173"/>
        <v>0</v>
      </c>
      <c r="CV165">
        <f t="shared" si="174"/>
        <v>0</v>
      </c>
      <c r="CW165">
        <f t="shared" si="175"/>
        <v>0</v>
      </c>
      <c r="CX165">
        <f t="shared" si="176"/>
        <v>0</v>
      </c>
      <c r="CY165">
        <f t="shared" si="177"/>
        <v>0</v>
      </c>
      <c r="CZ165">
        <f t="shared" si="178"/>
        <v>0</v>
      </c>
      <c r="DC165" t="s">
        <v>6</v>
      </c>
      <c r="DD165" t="s">
        <v>6</v>
      </c>
      <c r="DE165" t="s">
        <v>6</v>
      </c>
      <c r="DF165" t="s">
        <v>6</v>
      </c>
      <c r="DG165" t="s">
        <v>6</v>
      </c>
      <c r="DH165" t="s">
        <v>6</v>
      </c>
      <c r="DI165" t="s">
        <v>6</v>
      </c>
      <c r="DJ165" t="s">
        <v>6</v>
      </c>
      <c r="DK165" t="s">
        <v>6</v>
      </c>
      <c r="DL165" t="s">
        <v>6</v>
      </c>
      <c r="DM165" t="s">
        <v>6</v>
      </c>
      <c r="DN165">
        <v>0</v>
      </c>
      <c r="DO165">
        <v>0</v>
      </c>
      <c r="DP165">
        <v>1</v>
      </c>
      <c r="DQ165">
        <v>1</v>
      </c>
      <c r="DU165">
        <v>1010</v>
      </c>
      <c r="DV165" t="s">
        <v>277</v>
      </c>
      <c r="DW165" t="s">
        <v>277</v>
      </c>
      <c r="DX165">
        <v>1</v>
      </c>
      <c r="EE165">
        <v>16510514</v>
      </c>
      <c r="EF165">
        <v>2</v>
      </c>
      <c r="EG165" t="s">
        <v>18</v>
      </c>
      <c r="EH165">
        <v>0</v>
      </c>
      <c r="EI165" t="s">
        <v>6</v>
      </c>
      <c r="EJ165">
        <v>1</v>
      </c>
      <c r="EK165">
        <v>16001</v>
      </c>
      <c r="EL165" t="s">
        <v>289</v>
      </c>
      <c r="EM165" t="s">
        <v>290</v>
      </c>
      <c r="EO165" t="s">
        <v>6</v>
      </c>
      <c r="EQ165">
        <v>0</v>
      </c>
      <c r="ER165">
        <v>8.09</v>
      </c>
      <c r="ES165">
        <v>8.09</v>
      </c>
      <c r="ET165">
        <v>0</v>
      </c>
      <c r="EU165">
        <v>0</v>
      </c>
      <c r="EV165">
        <v>0</v>
      </c>
      <c r="EW165">
        <v>0</v>
      </c>
      <c r="EX165">
        <v>0</v>
      </c>
      <c r="FQ165">
        <v>0</v>
      </c>
      <c r="FR165">
        <f t="shared" si="194"/>
        <v>0</v>
      </c>
      <c r="FS165">
        <v>0</v>
      </c>
      <c r="FT165" t="s">
        <v>21</v>
      </c>
      <c r="FU165" t="s">
        <v>22</v>
      </c>
      <c r="FX165">
        <v>115.2</v>
      </c>
      <c r="FY165">
        <v>70.55</v>
      </c>
      <c r="GA165" t="s">
        <v>6</v>
      </c>
      <c r="GD165">
        <v>0</v>
      </c>
      <c r="GF165">
        <v>-697268462</v>
      </c>
      <c r="GG165">
        <v>1</v>
      </c>
      <c r="GH165">
        <v>1</v>
      </c>
      <c r="GI165">
        <v>4</v>
      </c>
      <c r="GJ165">
        <v>0</v>
      </c>
      <c r="GK165">
        <f>ROUND(R165*(S12)/100,2)</f>
        <v>0</v>
      </c>
      <c r="GL165">
        <f t="shared" si="195"/>
        <v>0</v>
      </c>
      <c r="GM165">
        <f t="shared" si="179"/>
        <v>1384.04</v>
      </c>
      <c r="GN165">
        <f t="shared" si="180"/>
        <v>1384.04</v>
      </c>
      <c r="GO165">
        <f t="shared" si="181"/>
        <v>0</v>
      </c>
      <c r="GP165">
        <f t="shared" si="182"/>
        <v>0</v>
      </c>
      <c r="GR165">
        <v>0</v>
      </c>
      <c r="GS165">
        <v>3</v>
      </c>
      <c r="GT165">
        <v>0</v>
      </c>
      <c r="GU165" t="s">
        <v>6</v>
      </c>
      <c r="GV165">
        <f t="shared" si="183"/>
        <v>0</v>
      </c>
      <c r="GW165">
        <v>1</v>
      </c>
      <c r="GX165">
        <f t="shared" si="184"/>
        <v>0</v>
      </c>
      <c r="HA165">
        <v>0</v>
      </c>
      <c r="HB165">
        <v>0</v>
      </c>
      <c r="HC165">
        <f t="shared" si="185"/>
        <v>0</v>
      </c>
      <c r="IK165">
        <v>0</v>
      </c>
    </row>
    <row r="166" spans="1:255" x14ac:dyDescent="0.2">
      <c r="A166" s="2">
        <v>18</v>
      </c>
      <c r="B166" s="2">
        <v>1</v>
      </c>
      <c r="C166" s="2">
        <v>504</v>
      </c>
      <c r="D166" s="2"/>
      <c r="E166" s="2" t="s">
        <v>356</v>
      </c>
      <c r="F166" s="2" t="s">
        <v>357</v>
      </c>
      <c r="G166" s="2" t="s">
        <v>358</v>
      </c>
      <c r="H166" s="2" t="s">
        <v>45</v>
      </c>
      <c r="I166" s="2">
        <f>I162*J166</f>
        <v>20.100000000000001</v>
      </c>
      <c r="J166" s="2">
        <v>100.5</v>
      </c>
      <c r="K166" s="2"/>
      <c r="L166" s="2"/>
      <c r="M166" s="2"/>
      <c r="N166" s="2"/>
      <c r="O166" s="2">
        <f t="shared" si="150"/>
        <v>92.46</v>
      </c>
      <c r="P166" s="2">
        <f t="shared" si="151"/>
        <v>92.46</v>
      </c>
      <c r="Q166" s="2">
        <f t="shared" si="152"/>
        <v>0</v>
      </c>
      <c r="R166" s="2">
        <f t="shared" si="153"/>
        <v>0</v>
      </c>
      <c r="S166" s="2">
        <f t="shared" si="154"/>
        <v>0</v>
      </c>
      <c r="T166" s="2">
        <f t="shared" si="155"/>
        <v>0</v>
      </c>
      <c r="U166" s="2">
        <f t="shared" si="156"/>
        <v>0</v>
      </c>
      <c r="V166" s="2">
        <f t="shared" si="157"/>
        <v>0</v>
      </c>
      <c r="W166" s="2">
        <f t="shared" si="158"/>
        <v>0</v>
      </c>
      <c r="X166" s="2">
        <f t="shared" si="159"/>
        <v>0</v>
      </c>
      <c r="Y166" s="2">
        <f t="shared" si="160"/>
        <v>0</v>
      </c>
      <c r="Z166" s="2"/>
      <c r="AA166" s="2">
        <v>16784195</v>
      </c>
      <c r="AB166" s="2">
        <f t="shared" si="161"/>
        <v>4.5999999999999996</v>
      </c>
      <c r="AC166" s="2">
        <f t="shared" si="162"/>
        <v>4.5999999999999996</v>
      </c>
      <c r="AD166" s="2">
        <f>ROUND((((ET166)-(EU166))+AE166),2)</f>
        <v>0</v>
      </c>
      <c r="AE166" s="2">
        <f t="shared" si="198"/>
        <v>0</v>
      </c>
      <c r="AF166" s="2">
        <f t="shared" si="198"/>
        <v>0</v>
      </c>
      <c r="AG166" s="2">
        <f t="shared" si="165"/>
        <v>0</v>
      </c>
      <c r="AH166" s="2">
        <f t="shared" si="199"/>
        <v>0</v>
      </c>
      <c r="AI166" s="2">
        <f t="shared" si="199"/>
        <v>0</v>
      </c>
      <c r="AJ166" s="2">
        <f t="shared" si="167"/>
        <v>0</v>
      </c>
      <c r="AK166" s="2">
        <v>4.5999999999999996</v>
      </c>
      <c r="AL166" s="2">
        <v>4.5999999999999996</v>
      </c>
      <c r="AM166" s="2">
        <v>0</v>
      </c>
      <c r="AN166" s="2">
        <v>0</v>
      </c>
      <c r="AO166" s="2">
        <v>0</v>
      </c>
      <c r="AP166" s="2">
        <v>0</v>
      </c>
      <c r="AQ166" s="2">
        <v>0</v>
      </c>
      <c r="AR166" s="2">
        <v>0</v>
      </c>
      <c r="AS166" s="2">
        <v>0</v>
      </c>
      <c r="AT166" s="2">
        <v>115</v>
      </c>
      <c r="AU166" s="2">
        <v>71</v>
      </c>
      <c r="AV166" s="2">
        <v>1</v>
      </c>
      <c r="AW166" s="2">
        <v>1</v>
      </c>
      <c r="AX166" s="2"/>
      <c r="AY166" s="2"/>
      <c r="AZ166" s="2">
        <v>1</v>
      </c>
      <c r="BA166" s="2">
        <v>1</v>
      </c>
      <c r="BB166" s="2">
        <v>1</v>
      </c>
      <c r="BC166" s="2">
        <v>1</v>
      </c>
      <c r="BD166" s="2" t="s">
        <v>6</v>
      </c>
      <c r="BE166" s="2" t="s">
        <v>6</v>
      </c>
      <c r="BF166" s="2" t="s">
        <v>6</v>
      </c>
      <c r="BG166" s="2" t="s">
        <v>6</v>
      </c>
      <c r="BH166" s="2">
        <v>3</v>
      </c>
      <c r="BI166" s="2">
        <v>1</v>
      </c>
      <c r="BJ166" s="2" t="s">
        <v>359</v>
      </c>
      <c r="BK166" s="2"/>
      <c r="BL166" s="2"/>
      <c r="BM166" s="2">
        <v>16001</v>
      </c>
      <c r="BN166" s="2">
        <v>0</v>
      </c>
      <c r="BO166" s="2" t="s">
        <v>6</v>
      </c>
      <c r="BP166" s="2">
        <v>0</v>
      </c>
      <c r="BQ166" s="2">
        <v>2</v>
      </c>
      <c r="BR166" s="2">
        <v>0</v>
      </c>
      <c r="BS166" s="2">
        <v>1</v>
      </c>
      <c r="BT166" s="2">
        <v>1</v>
      </c>
      <c r="BU166" s="2">
        <v>1</v>
      </c>
      <c r="BV166" s="2">
        <v>1</v>
      </c>
      <c r="BW166" s="2">
        <v>1</v>
      </c>
      <c r="BX166" s="2">
        <v>1</v>
      </c>
      <c r="BY166" s="2" t="s">
        <v>6</v>
      </c>
      <c r="BZ166" s="2">
        <v>128</v>
      </c>
      <c r="CA166" s="2">
        <v>83</v>
      </c>
      <c r="CB166" s="2"/>
      <c r="CC166" s="2"/>
      <c r="CD166" s="2"/>
      <c r="CE166" s="2">
        <v>0</v>
      </c>
      <c r="CF166" s="2">
        <v>0</v>
      </c>
      <c r="CG166" s="2">
        <v>0</v>
      </c>
      <c r="CH166" s="2"/>
      <c r="CI166" s="2"/>
      <c r="CJ166" s="2"/>
      <c r="CK166" s="2"/>
      <c r="CL166" s="2"/>
      <c r="CM166" s="2">
        <v>0</v>
      </c>
      <c r="CN166" s="2" t="s">
        <v>6</v>
      </c>
      <c r="CO166" s="2">
        <v>0</v>
      </c>
      <c r="CP166" s="2">
        <f t="shared" si="168"/>
        <v>92.46</v>
      </c>
      <c r="CQ166" s="2">
        <f t="shared" si="169"/>
        <v>4.5999999999999996</v>
      </c>
      <c r="CR166" s="2">
        <f t="shared" si="170"/>
        <v>0</v>
      </c>
      <c r="CS166" s="2">
        <f t="shared" si="171"/>
        <v>0</v>
      </c>
      <c r="CT166" s="2">
        <f t="shared" si="172"/>
        <v>0</v>
      </c>
      <c r="CU166" s="2">
        <f t="shared" si="173"/>
        <v>0</v>
      </c>
      <c r="CV166" s="2">
        <f t="shared" si="174"/>
        <v>0</v>
      </c>
      <c r="CW166" s="2">
        <f t="shared" si="175"/>
        <v>0</v>
      </c>
      <c r="CX166" s="2">
        <f t="shared" si="176"/>
        <v>0</v>
      </c>
      <c r="CY166" s="2">
        <f t="shared" si="177"/>
        <v>0</v>
      </c>
      <c r="CZ166" s="2">
        <f t="shared" si="178"/>
        <v>0</v>
      </c>
      <c r="DA166" s="2"/>
      <c r="DB166" s="2"/>
      <c r="DC166" s="2" t="s">
        <v>6</v>
      </c>
      <c r="DD166" s="2" t="s">
        <v>6</v>
      </c>
      <c r="DE166" s="2" t="s">
        <v>6</v>
      </c>
      <c r="DF166" s="2" t="s">
        <v>6</v>
      </c>
      <c r="DG166" s="2" t="s">
        <v>6</v>
      </c>
      <c r="DH166" s="2" t="s">
        <v>6</v>
      </c>
      <c r="DI166" s="2" t="s">
        <v>6</v>
      </c>
      <c r="DJ166" s="2" t="s">
        <v>6</v>
      </c>
      <c r="DK166" s="2" t="s">
        <v>6</v>
      </c>
      <c r="DL166" s="2" t="s">
        <v>6</v>
      </c>
      <c r="DM166" s="2" t="s">
        <v>6</v>
      </c>
      <c r="DN166" s="2">
        <v>0</v>
      </c>
      <c r="DO166" s="2">
        <v>0</v>
      </c>
      <c r="DP166" s="2">
        <v>1</v>
      </c>
      <c r="DQ166" s="2">
        <v>1</v>
      </c>
      <c r="DR166" s="2"/>
      <c r="DS166" s="2"/>
      <c r="DT166" s="2"/>
      <c r="DU166" s="2">
        <v>1003</v>
      </c>
      <c r="DV166" s="2" t="s">
        <v>45</v>
      </c>
      <c r="DW166" s="2" t="s">
        <v>45</v>
      </c>
      <c r="DX166" s="2">
        <v>1</v>
      </c>
      <c r="DY166" s="2"/>
      <c r="DZ166" s="2"/>
      <c r="EA166" s="2"/>
      <c r="EB166" s="2"/>
      <c r="EC166" s="2"/>
      <c r="ED166" s="2"/>
      <c r="EE166" s="2">
        <v>16510514</v>
      </c>
      <c r="EF166" s="2">
        <v>2</v>
      </c>
      <c r="EG166" s="2" t="s">
        <v>18</v>
      </c>
      <c r="EH166" s="2">
        <v>0</v>
      </c>
      <c r="EI166" s="2" t="s">
        <v>6</v>
      </c>
      <c r="EJ166" s="2">
        <v>1</v>
      </c>
      <c r="EK166" s="2">
        <v>16001</v>
      </c>
      <c r="EL166" s="2" t="s">
        <v>289</v>
      </c>
      <c r="EM166" s="2" t="s">
        <v>290</v>
      </c>
      <c r="EN166" s="2"/>
      <c r="EO166" s="2" t="s">
        <v>6</v>
      </c>
      <c r="EP166" s="2"/>
      <c r="EQ166" s="2">
        <v>0</v>
      </c>
      <c r="ER166" s="2">
        <v>4.5999999999999996</v>
      </c>
      <c r="ES166" s="2">
        <v>4.5999999999999996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>
        <v>0</v>
      </c>
      <c r="FR166" s="2">
        <f t="shared" si="194"/>
        <v>0</v>
      </c>
      <c r="FS166" s="2">
        <v>0</v>
      </c>
      <c r="FT166" s="2" t="s">
        <v>21</v>
      </c>
      <c r="FU166" s="2" t="s">
        <v>22</v>
      </c>
      <c r="FV166" s="2"/>
      <c r="FW166" s="2"/>
      <c r="FX166" s="2">
        <v>115.2</v>
      </c>
      <c r="FY166" s="2">
        <v>70.55</v>
      </c>
      <c r="FZ166" s="2"/>
      <c r="GA166" s="2" t="s">
        <v>6</v>
      </c>
      <c r="GB166" s="2"/>
      <c r="GC166" s="2"/>
      <c r="GD166" s="2">
        <v>0</v>
      </c>
      <c r="GE166" s="2"/>
      <c r="GF166" s="2">
        <v>-2002545417</v>
      </c>
      <c r="GG166" s="2">
        <v>2</v>
      </c>
      <c r="GH166" s="2">
        <v>1</v>
      </c>
      <c r="GI166" s="2">
        <v>-2</v>
      </c>
      <c r="GJ166" s="2">
        <v>0</v>
      </c>
      <c r="GK166" s="2">
        <f>ROUND(R166*(R12)/100,2)</f>
        <v>0</v>
      </c>
      <c r="GL166" s="2">
        <f t="shared" si="195"/>
        <v>0</v>
      </c>
      <c r="GM166" s="2">
        <f t="shared" si="179"/>
        <v>92.46</v>
      </c>
      <c r="GN166" s="2">
        <f t="shared" si="180"/>
        <v>92.46</v>
      </c>
      <c r="GO166" s="2">
        <f t="shared" si="181"/>
        <v>0</v>
      </c>
      <c r="GP166" s="2">
        <f t="shared" si="182"/>
        <v>0</v>
      </c>
      <c r="GQ166" s="2"/>
      <c r="GR166" s="2">
        <v>0</v>
      </c>
      <c r="GS166" s="2">
        <v>3</v>
      </c>
      <c r="GT166" s="2">
        <v>0</v>
      </c>
      <c r="GU166" s="2" t="s">
        <v>6</v>
      </c>
      <c r="GV166" s="2">
        <f t="shared" si="183"/>
        <v>0</v>
      </c>
      <c r="GW166" s="2">
        <v>1</v>
      </c>
      <c r="GX166" s="2">
        <f t="shared" si="184"/>
        <v>0</v>
      </c>
      <c r="GY166" s="2"/>
      <c r="GZ166" s="2"/>
      <c r="HA166" s="2">
        <v>0</v>
      </c>
      <c r="HB166" s="2">
        <v>0</v>
      </c>
      <c r="HC166" s="2">
        <f t="shared" si="185"/>
        <v>0</v>
      </c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>
        <v>0</v>
      </c>
      <c r="IL166" s="2"/>
      <c r="IM166" s="2"/>
      <c r="IN166" s="2"/>
      <c r="IO166" s="2"/>
      <c r="IP166" s="2"/>
      <c r="IQ166" s="2"/>
      <c r="IR166" s="2"/>
      <c r="IS166" s="2"/>
      <c r="IT166" s="2"/>
      <c r="IU166" s="2"/>
    </row>
    <row r="167" spans="1:255" x14ac:dyDescent="0.2">
      <c r="A167">
        <v>18</v>
      </c>
      <c r="B167">
        <v>1</v>
      </c>
      <c r="C167">
        <v>516</v>
      </c>
      <c r="E167" t="s">
        <v>356</v>
      </c>
      <c r="F167" t="s">
        <v>357</v>
      </c>
      <c r="G167" t="s">
        <v>358</v>
      </c>
      <c r="H167" t="s">
        <v>45</v>
      </c>
      <c r="I167">
        <f>I163*J167</f>
        <v>20.100000000000001</v>
      </c>
      <c r="J167">
        <v>100.5</v>
      </c>
      <c r="O167">
        <f t="shared" si="150"/>
        <v>564.92999999999995</v>
      </c>
      <c r="P167">
        <f t="shared" si="151"/>
        <v>564.92999999999995</v>
      </c>
      <c r="Q167">
        <f t="shared" si="152"/>
        <v>0</v>
      </c>
      <c r="R167">
        <f t="shared" si="153"/>
        <v>0</v>
      </c>
      <c r="S167">
        <f t="shared" si="154"/>
        <v>0</v>
      </c>
      <c r="T167">
        <f t="shared" si="155"/>
        <v>0</v>
      </c>
      <c r="U167">
        <f t="shared" si="156"/>
        <v>0</v>
      </c>
      <c r="V167">
        <f t="shared" si="157"/>
        <v>0</v>
      </c>
      <c r="W167">
        <f t="shared" si="158"/>
        <v>0</v>
      </c>
      <c r="X167">
        <f t="shared" si="159"/>
        <v>0</v>
      </c>
      <c r="Y167">
        <f t="shared" si="160"/>
        <v>0</v>
      </c>
      <c r="AA167">
        <v>16784196</v>
      </c>
      <c r="AB167">
        <f t="shared" si="161"/>
        <v>4.5999999999999996</v>
      </c>
      <c r="AC167">
        <f t="shared" si="162"/>
        <v>4.5999999999999996</v>
      </c>
      <c r="AD167">
        <f>ROUND((((ET167)-(EU167))+AE167),2)</f>
        <v>0</v>
      </c>
      <c r="AE167">
        <f t="shared" si="198"/>
        <v>0</v>
      </c>
      <c r="AF167">
        <f t="shared" si="198"/>
        <v>0</v>
      </c>
      <c r="AG167">
        <f t="shared" si="165"/>
        <v>0</v>
      </c>
      <c r="AH167">
        <f t="shared" si="199"/>
        <v>0</v>
      </c>
      <c r="AI167">
        <f t="shared" si="199"/>
        <v>0</v>
      </c>
      <c r="AJ167">
        <f t="shared" si="167"/>
        <v>0</v>
      </c>
      <c r="AK167">
        <v>4.5999999999999996</v>
      </c>
      <c r="AL167">
        <v>4.5999999999999996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115</v>
      </c>
      <c r="AU167">
        <v>71</v>
      </c>
      <c r="AV167">
        <v>1</v>
      </c>
      <c r="AW167">
        <v>1</v>
      </c>
      <c r="AZ167">
        <v>6.11</v>
      </c>
      <c r="BA167">
        <v>1</v>
      </c>
      <c r="BB167">
        <v>1</v>
      </c>
      <c r="BC167">
        <v>6.11</v>
      </c>
      <c r="BD167" t="s">
        <v>6</v>
      </c>
      <c r="BE167" t="s">
        <v>6</v>
      </c>
      <c r="BF167" t="s">
        <v>6</v>
      </c>
      <c r="BG167" t="s">
        <v>6</v>
      </c>
      <c r="BH167">
        <v>3</v>
      </c>
      <c r="BI167">
        <v>1</v>
      </c>
      <c r="BJ167" t="s">
        <v>359</v>
      </c>
      <c r="BM167">
        <v>16001</v>
      </c>
      <c r="BN167">
        <v>0</v>
      </c>
      <c r="BO167" t="s">
        <v>6</v>
      </c>
      <c r="BP167">
        <v>0</v>
      </c>
      <c r="BQ167">
        <v>2</v>
      </c>
      <c r="BR167">
        <v>0</v>
      </c>
      <c r="BS167">
        <v>1</v>
      </c>
      <c r="BT167">
        <v>1</v>
      </c>
      <c r="BU167">
        <v>1</v>
      </c>
      <c r="BV167">
        <v>1</v>
      </c>
      <c r="BW167">
        <v>1</v>
      </c>
      <c r="BX167">
        <v>1</v>
      </c>
      <c r="BY167" t="s">
        <v>6</v>
      </c>
      <c r="BZ167">
        <v>128</v>
      </c>
      <c r="CA167">
        <v>83</v>
      </c>
      <c r="CE167">
        <v>0</v>
      </c>
      <c r="CF167">
        <v>0</v>
      </c>
      <c r="CG167">
        <v>0</v>
      </c>
      <c r="CM167">
        <v>0</v>
      </c>
      <c r="CN167" t="s">
        <v>6</v>
      </c>
      <c r="CO167">
        <v>0</v>
      </c>
      <c r="CP167">
        <f t="shared" si="168"/>
        <v>564.92999999999995</v>
      </c>
      <c r="CQ167">
        <f t="shared" si="169"/>
        <v>28.105999999999998</v>
      </c>
      <c r="CR167">
        <f t="shared" si="170"/>
        <v>0</v>
      </c>
      <c r="CS167">
        <f t="shared" si="171"/>
        <v>0</v>
      </c>
      <c r="CT167">
        <f t="shared" si="172"/>
        <v>0</v>
      </c>
      <c r="CU167">
        <f t="shared" si="173"/>
        <v>0</v>
      </c>
      <c r="CV167">
        <f t="shared" si="174"/>
        <v>0</v>
      </c>
      <c r="CW167">
        <f t="shared" si="175"/>
        <v>0</v>
      </c>
      <c r="CX167">
        <f t="shared" si="176"/>
        <v>0</v>
      </c>
      <c r="CY167">
        <f t="shared" si="177"/>
        <v>0</v>
      </c>
      <c r="CZ167">
        <f t="shared" si="178"/>
        <v>0</v>
      </c>
      <c r="DC167" t="s">
        <v>6</v>
      </c>
      <c r="DD167" t="s">
        <v>6</v>
      </c>
      <c r="DE167" t="s">
        <v>6</v>
      </c>
      <c r="DF167" t="s">
        <v>6</v>
      </c>
      <c r="DG167" t="s">
        <v>6</v>
      </c>
      <c r="DH167" t="s">
        <v>6</v>
      </c>
      <c r="DI167" t="s">
        <v>6</v>
      </c>
      <c r="DJ167" t="s">
        <v>6</v>
      </c>
      <c r="DK167" t="s">
        <v>6</v>
      </c>
      <c r="DL167" t="s">
        <v>6</v>
      </c>
      <c r="DM167" t="s">
        <v>6</v>
      </c>
      <c r="DN167">
        <v>0</v>
      </c>
      <c r="DO167">
        <v>0</v>
      </c>
      <c r="DP167">
        <v>1</v>
      </c>
      <c r="DQ167">
        <v>1</v>
      </c>
      <c r="DU167">
        <v>1003</v>
      </c>
      <c r="DV167" t="s">
        <v>45</v>
      </c>
      <c r="DW167" t="s">
        <v>45</v>
      </c>
      <c r="DX167">
        <v>1</v>
      </c>
      <c r="EE167">
        <v>16510514</v>
      </c>
      <c r="EF167">
        <v>2</v>
      </c>
      <c r="EG167" t="s">
        <v>18</v>
      </c>
      <c r="EH167">
        <v>0</v>
      </c>
      <c r="EI167" t="s">
        <v>6</v>
      </c>
      <c r="EJ167">
        <v>1</v>
      </c>
      <c r="EK167">
        <v>16001</v>
      </c>
      <c r="EL167" t="s">
        <v>289</v>
      </c>
      <c r="EM167" t="s">
        <v>290</v>
      </c>
      <c r="EO167" t="s">
        <v>6</v>
      </c>
      <c r="EQ167">
        <v>0</v>
      </c>
      <c r="ER167">
        <v>4.5999999999999996</v>
      </c>
      <c r="ES167">
        <v>4.5999999999999996</v>
      </c>
      <c r="ET167">
        <v>0</v>
      </c>
      <c r="EU167">
        <v>0</v>
      </c>
      <c r="EV167">
        <v>0</v>
      </c>
      <c r="EW167">
        <v>0</v>
      </c>
      <c r="EX167">
        <v>0</v>
      </c>
      <c r="FQ167">
        <v>0</v>
      </c>
      <c r="FR167">
        <f t="shared" si="194"/>
        <v>0</v>
      </c>
      <c r="FS167">
        <v>0</v>
      </c>
      <c r="FT167" t="s">
        <v>21</v>
      </c>
      <c r="FU167" t="s">
        <v>22</v>
      </c>
      <c r="FX167">
        <v>115.2</v>
      </c>
      <c r="FY167">
        <v>70.55</v>
      </c>
      <c r="GA167" t="s">
        <v>6</v>
      </c>
      <c r="GD167">
        <v>0</v>
      </c>
      <c r="GF167">
        <v>-2002545417</v>
      </c>
      <c r="GG167">
        <v>1</v>
      </c>
      <c r="GH167">
        <v>1</v>
      </c>
      <c r="GI167">
        <v>4</v>
      </c>
      <c r="GJ167">
        <v>0</v>
      </c>
      <c r="GK167">
        <f>ROUND(R167*(S12)/100,2)</f>
        <v>0</v>
      </c>
      <c r="GL167">
        <f t="shared" si="195"/>
        <v>0</v>
      </c>
      <c r="GM167">
        <f t="shared" si="179"/>
        <v>564.92999999999995</v>
      </c>
      <c r="GN167">
        <f t="shared" si="180"/>
        <v>564.92999999999995</v>
      </c>
      <c r="GO167">
        <f t="shared" si="181"/>
        <v>0</v>
      </c>
      <c r="GP167">
        <f t="shared" si="182"/>
        <v>0</v>
      </c>
      <c r="GR167">
        <v>0</v>
      </c>
      <c r="GS167">
        <v>3</v>
      </c>
      <c r="GT167">
        <v>0</v>
      </c>
      <c r="GU167" t="s">
        <v>6</v>
      </c>
      <c r="GV167">
        <f t="shared" si="183"/>
        <v>0</v>
      </c>
      <c r="GW167">
        <v>1</v>
      </c>
      <c r="GX167">
        <f t="shared" si="184"/>
        <v>0</v>
      </c>
      <c r="HA167">
        <v>0</v>
      </c>
      <c r="HB167">
        <v>0</v>
      </c>
      <c r="HC167">
        <f t="shared" si="185"/>
        <v>0</v>
      </c>
      <c r="IK167">
        <v>0</v>
      </c>
    </row>
    <row r="168" spans="1:255" x14ac:dyDescent="0.2">
      <c r="A168" s="2">
        <v>17</v>
      </c>
      <c r="B168" s="2">
        <v>1</v>
      </c>
      <c r="C168" s="2">
        <f>ROW(SmtRes!A525)</f>
        <v>525</v>
      </c>
      <c r="D168" s="2">
        <f>ROW(EtalonRes!A558)</f>
        <v>558</v>
      </c>
      <c r="E168" s="2" t="s">
        <v>360</v>
      </c>
      <c r="F168" s="2" t="s">
        <v>361</v>
      </c>
      <c r="G168" s="2" t="s">
        <v>362</v>
      </c>
      <c r="H168" s="2" t="s">
        <v>40</v>
      </c>
      <c r="I168" s="2">
        <f>ROUND(12/100,9)</f>
        <v>0.12</v>
      </c>
      <c r="J168" s="2">
        <v>0</v>
      </c>
      <c r="K168" s="2"/>
      <c r="L168" s="2"/>
      <c r="M168" s="2"/>
      <c r="N168" s="2"/>
      <c r="O168" s="2">
        <f t="shared" si="150"/>
        <v>82.83</v>
      </c>
      <c r="P168" s="2">
        <f t="shared" si="151"/>
        <v>4.96</v>
      </c>
      <c r="Q168" s="2">
        <f t="shared" si="152"/>
        <v>5.45</v>
      </c>
      <c r="R168" s="2">
        <f t="shared" si="153"/>
        <v>0.83</v>
      </c>
      <c r="S168" s="2">
        <f t="shared" si="154"/>
        <v>72.42</v>
      </c>
      <c r="T168" s="2">
        <f t="shared" si="155"/>
        <v>0</v>
      </c>
      <c r="U168" s="2">
        <f t="shared" si="156"/>
        <v>7.7045399999999988</v>
      </c>
      <c r="V168" s="2">
        <f t="shared" si="157"/>
        <v>6.9000000000000006E-2</v>
      </c>
      <c r="W168" s="2">
        <f t="shared" si="158"/>
        <v>0</v>
      </c>
      <c r="X168" s="2">
        <f t="shared" si="159"/>
        <v>84.24</v>
      </c>
      <c r="Y168" s="2">
        <f t="shared" si="160"/>
        <v>52.01</v>
      </c>
      <c r="Z168" s="2"/>
      <c r="AA168" s="2">
        <v>16784195</v>
      </c>
      <c r="AB168" s="2">
        <f t="shared" si="161"/>
        <v>690.28</v>
      </c>
      <c r="AC168" s="2">
        <f t="shared" si="162"/>
        <v>41.37</v>
      </c>
      <c r="AD168" s="2">
        <f>ROUND(((((ET168*1.25))-((EU168*1.25)))+AE168),2)</f>
        <v>45.39</v>
      </c>
      <c r="AE168" s="2">
        <f>ROUND(((EU168*1.25)),2)</f>
        <v>6.91</v>
      </c>
      <c r="AF168" s="2">
        <f>ROUND(((EV168*1.15)),2)</f>
        <v>603.52</v>
      </c>
      <c r="AG168" s="2">
        <f t="shared" si="165"/>
        <v>0</v>
      </c>
      <c r="AH168" s="2">
        <f>((EW168*1.15))</f>
        <v>64.204499999999996</v>
      </c>
      <c r="AI168" s="2">
        <f>((EX168*1.25))</f>
        <v>0.57500000000000007</v>
      </c>
      <c r="AJ168" s="2">
        <f t="shared" si="167"/>
        <v>0</v>
      </c>
      <c r="AK168" s="2">
        <v>602.48</v>
      </c>
      <c r="AL168" s="2">
        <v>41.37</v>
      </c>
      <c r="AM168" s="2">
        <v>36.31</v>
      </c>
      <c r="AN168" s="2">
        <v>5.53</v>
      </c>
      <c r="AO168" s="2">
        <v>524.79999999999995</v>
      </c>
      <c r="AP168" s="2">
        <v>0</v>
      </c>
      <c r="AQ168" s="2">
        <v>55.83</v>
      </c>
      <c r="AR168" s="2">
        <v>0.46</v>
      </c>
      <c r="AS168" s="2">
        <v>0</v>
      </c>
      <c r="AT168" s="2">
        <v>115</v>
      </c>
      <c r="AU168" s="2">
        <v>71</v>
      </c>
      <c r="AV168" s="2">
        <v>1</v>
      </c>
      <c r="AW168" s="2">
        <v>1</v>
      </c>
      <c r="AX168" s="2"/>
      <c r="AY168" s="2"/>
      <c r="AZ168" s="2">
        <v>1</v>
      </c>
      <c r="BA168" s="2">
        <v>1</v>
      </c>
      <c r="BB168" s="2">
        <v>1</v>
      </c>
      <c r="BC168" s="2">
        <v>1</v>
      </c>
      <c r="BD168" s="2" t="s">
        <v>6</v>
      </c>
      <c r="BE168" s="2" t="s">
        <v>6</v>
      </c>
      <c r="BF168" s="2" t="s">
        <v>6</v>
      </c>
      <c r="BG168" s="2" t="s">
        <v>6</v>
      </c>
      <c r="BH168" s="2">
        <v>0</v>
      </c>
      <c r="BI168" s="2">
        <v>1</v>
      </c>
      <c r="BJ168" s="2" t="s">
        <v>363</v>
      </c>
      <c r="BK168" s="2"/>
      <c r="BL168" s="2"/>
      <c r="BM168" s="2">
        <v>16001</v>
      </c>
      <c r="BN168" s="2">
        <v>0</v>
      </c>
      <c r="BO168" s="2" t="s">
        <v>6</v>
      </c>
      <c r="BP168" s="2">
        <v>0</v>
      </c>
      <c r="BQ168" s="2">
        <v>2</v>
      </c>
      <c r="BR168" s="2">
        <v>0</v>
      </c>
      <c r="BS168" s="2">
        <v>1</v>
      </c>
      <c r="BT168" s="2">
        <v>1</v>
      </c>
      <c r="BU168" s="2">
        <v>1</v>
      </c>
      <c r="BV168" s="2">
        <v>1</v>
      </c>
      <c r="BW168" s="2">
        <v>1</v>
      </c>
      <c r="BX168" s="2">
        <v>1</v>
      </c>
      <c r="BY168" s="2" t="s">
        <v>6</v>
      </c>
      <c r="BZ168" s="2">
        <v>128</v>
      </c>
      <c r="CA168" s="2">
        <v>83</v>
      </c>
      <c r="CB168" s="2"/>
      <c r="CC168" s="2"/>
      <c r="CD168" s="2"/>
      <c r="CE168" s="2">
        <v>0</v>
      </c>
      <c r="CF168" s="2">
        <v>0</v>
      </c>
      <c r="CG168" s="2">
        <v>0</v>
      </c>
      <c r="CH168" s="2"/>
      <c r="CI168" s="2"/>
      <c r="CJ168" s="2"/>
      <c r="CK168" s="2"/>
      <c r="CL168" s="2"/>
      <c r="CM168" s="2">
        <v>0</v>
      </c>
      <c r="CN168" s="2" t="s">
        <v>824</v>
      </c>
      <c r="CO168" s="2">
        <v>0</v>
      </c>
      <c r="CP168" s="2">
        <f t="shared" si="168"/>
        <v>82.83</v>
      </c>
      <c r="CQ168" s="2">
        <f t="shared" si="169"/>
        <v>41.37</v>
      </c>
      <c r="CR168" s="2">
        <f t="shared" si="170"/>
        <v>45.39</v>
      </c>
      <c r="CS168" s="2">
        <f t="shared" si="171"/>
        <v>6.91</v>
      </c>
      <c r="CT168" s="2">
        <f t="shared" si="172"/>
        <v>603.52</v>
      </c>
      <c r="CU168" s="2">
        <f t="shared" si="173"/>
        <v>0</v>
      </c>
      <c r="CV168" s="2">
        <f t="shared" si="174"/>
        <v>64.204499999999996</v>
      </c>
      <c r="CW168" s="2">
        <f t="shared" si="175"/>
        <v>0.57500000000000007</v>
      </c>
      <c r="CX168" s="2">
        <f t="shared" si="176"/>
        <v>0</v>
      </c>
      <c r="CY168" s="2">
        <f t="shared" si="177"/>
        <v>84.237499999999997</v>
      </c>
      <c r="CZ168" s="2">
        <f t="shared" si="178"/>
        <v>52.0075</v>
      </c>
      <c r="DA168" s="2"/>
      <c r="DB168" s="2"/>
      <c r="DC168" s="2" t="s">
        <v>6</v>
      </c>
      <c r="DD168" s="2" t="s">
        <v>6</v>
      </c>
      <c r="DE168" s="2" t="s">
        <v>27</v>
      </c>
      <c r="DF168" s="2" t="s">
        <v>27</v>
      </c>
      <c r="DG168" s="2" t="s">
        <v>28</v>
      </c>
      <c r="DH168" s="2" t="s">
        <v>6</v>
      </c>
      <c r="DI168" s="2" t="s">
        <v>28</v>
      </c>
      <c r="DJ168" s="2" t="s">
        <v>27</v>
      </c>
      <c r="DK168" s="2" t="s">
        <v>6</v>
      </c>
      <c r="DL168" s="2" t="s">
        <v>6</v>
      </c>
      <c r="DM168" s="2" t="s">
        <v>6</v>
      </c>
      <c r="DN168" s="2">
        <v>0</v>
      </c>
      <c r="DO168" s="2">
        <v>0</v>
      </c>
      <c r="DP168" s="2">
        <v>1</v>
      </c>
      <c r="DQ168" s="2">
        <v>1</v>
      </c>
      <c r="DR168" s="2"/>
      <c r="DS168" s="2"/>
      <c r="DT168" s="2"/>
      <c r="DU168" s="2">
        <v>1003</v>
      </c>
      <c r="DV168" s="2" t="s">
        <v>40</v>
      </c>
      <c r="DW168" s="2" t="s">
        <v>40</v>
      </c>
      <c r="DX168" s="2">
        <v>100</v>
      </c>
      <c r="DY168" s="2"/>
      <c r="DZ168" s="2"/>
      <c r="EA168" s="2"/>
      <c r="EB168" s="2"/>
      <c r="EC168" s="2"/>
      <c r="ED168" s="2"/>
      <c r="EE168" s="2">
        <v>16510514</v>
      </c>
      <c r="EF168" s="2">
        <v>2</v>
      </c>
      <c r="EG168" s="2" t="s">
        <v>18</v>
      </c>
      <c r="EH168" s="2">
        <v>0</v>
      </c>
      <c r="EI168" s="2" t="s">
        <v>6</v>
      </c>
      <c r="EJ168" s="2">
        <v>1</v>
      </c>
      <c r="EK168" s="2">
        <v>16001</v>
      </c>
      <c r="EL168" s="2" t="s">
        <v>289</v>
      </c>
      <c r="EM168" s="2" t="s">
        <v>290</v>
      </c>
      <c r="EN168" s="2"/>
      <c r="EO168" s="2" t="s">
        <v>31</v>
      </c>
      <c r="EP168" s="2"/>
      <c r="EQ168" s="2">
        <v>0</v>
      </c>
      <c r="ER168" s="2">
        <v>602.48</v>
      </c>
      <c r="ES168" s="2">
        <v>41.37</v>
      </c>
      <c r="ET168" s="2">
        <v>36.31</v>
      </c>
      <c r="EU168" s="2">
        <v>5.53</v>
      </c>
      <c r="EV168" s="2">
        <v>524.79999999999995</v>
      </c>
      <c r="EW168" s="2">
        <v>55.83</v>
      </c>
      <c r="EX168" s="2">
        <v>0.46</v>
      </c>
      <c r="EY168" s="2">
        <v>0</v>
      </c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>
        <v>0</v>
      </c>
      <c r="FR168" s="2">
        <f t="shared" si="194"/>
        <v>0</v>
      </c>
      <c r="FS168" s="2">
        <v>0</v>
      </c>
      <c r="FT168" s="2" t="s">
        <v>21</v>
      </c>
      <c r="FU168" s="2" t="s">
        <v>22</v>
      </c>
      <c r="FV168" s="2"/>
      <c r="FW168" s="2"/>
      <c r="FX168" s="2">
        <v>115.2</v>
      </c>
      <c r="FY168" s="2">
        <v>70.55</v>
      </c>
      <c r="FZ168" s="2"/>
      <c r="GA168" s="2" t="s">
        <v>6</v>
      </c>
      <c r="GB168" s="2"/>
      <c r="GC168" s="2"/>
      <c r="GD168" s="2">
        <v>0</v>
      </c>
      <c r="GE168" s="2"/>
      <c r="GF168" s="2">
        <v>1590740472</v>
      </c>
      <c r="GG168" s="2">
        <v>2</v>
      </c>
      <c r="GH168" s="2">
        <v>1</v>
      </c>
      <c r="GI168" s="2">
        <v>-2</v>
      </c>
      <c r="GJ168" s="2">
        <v>0</v>
      </c>
      <c r="GK168" s="2">
        <f>ROUND(R168*(R12)/100,2)</f>
        <v>0</v>
      </c>
      <c r="GL168" s="2">
        <f t="shared" si="195"/>
        <v>0</v>
      </c>
      <c r="GM168" s="2">
        <f t="shared" si="179"/>
        <v>219.08</v>
      </c>
      <c r="GN168" s="2">
        <f t="shared" si="180"/>
        <v>219.08</v>
      </c>
      <c r="GO168" s="2">
        <f t="shared" si="181"/>
        <v>0</v>
      </c>
      <c r="GP168" s="2">
        <f t="shared" si="182"/>
        <v>0</v>
      </c>
      <c r="GQ168" s="2"/>
      <c r="GR168" s="2">
        <v>0</v>
      </c>
      <c r="GS168" s="2">
        <v>3</v>
      </c>
      <c r="GT168" s="2">
        <v>0</v>
      </c>
      <c r="GU168" s="2" t="s">
        <v>6</v>
      </c>
      <c r="GV168" s="2">
        <f t="shared" si="183"/>
        <v>0</v>
      </c>
      <c r="GW168" s="2">
        <v>1</v>
      </c>
      <c r="GX168" s="2">
        <f t="shared" si="184"/>
        <v>0</v>
      </c>
      <c r="GY168" s="2"/>
      <c r="GZ168" s="2"/>
      <c r="HA168" s="2">
        <v>0</v>
      </c>
      <c r="HB168" s="2">
        <v>0</v>
      </c>
      <c r="HC168" s="2">
        <f t="shared" si="185"/>
        <v>0</v>
      </c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>
        <v>0</v>
      </c>
      <c r="IL168" s="2"/>
      <c r="IM168" s="2"/>
      <c r="IN168" s="2"/>
      <c r="IO168" s="2"/>
      <c r="IP168" s="2"/>
      <c r="IQ168" s="2"/>
      <c r="IR168" s="2"/>
      <c r="IS168" s="2"/>
      <c r="IT168" s="2"/>
      <c r="IU168" s="2"/>
    </row>
    <row r="169" spans="1:255" x14ac:dyDescent="0.2">
      <c r="A169">
        <v>17</v>
      </c>
      <c r="B169">
        <v>1</v>
      </c>
      <c r="C169">
        <f>ROW(SmtRes!A534)</f>
        <v>534</v>
      </c>
      <c r="D169">
        <f>ROW(EtalonRes!A570)</f>
        <v>570</v>
      </c>
      <c r="E169" t="s">
        <v>360</v>
      </c>
      <c r="F169" t="s">
        <v>361</v>
      </c>
      <c r="G169" t="s">
        <v>362</v>
      </c>
      <c r="H169" t="s">
        <v>40</v>
      </c>
      <c r="I169">
        <f>ROUND(12/100,9)</f>
        <v>0.12</v>
      </c>
      <c r="J169">
        <v>0</v>
      </c>
      <c r="O169">
        <f t="shared" si="150"/>
        <v>506.11</v>
      </c>
      <c r="P169">
        <f t="shared" si="151"/>
        <v>30.33</v>
      </c>
      <c r="Q169">
        <f t="shared" si="152"/>
        <v>33.28</v>
      </c>
      <c r="R169">
        <f t="shared" si="153"/>
        <v>5.07</v>
      </c>
      <c r="S169">
        <f t="shared" si="154"/>
        <v>442.5</v>
      </c>
      <c r="T169">
        <f t="shared" si="155"/>
        <v>0</v>
      </c>
      <c r="U169">
        <f t="shared" si="156"/>
        <v>7.7045399999999988</v>
      </c>
      <c r="V169">
        <f t="shared" si="157"/>
        <v>6.9000000000000006E-2</v>
      </c>
      <c r="W169">
        <f t="shared" si="158"/>
        <v>0</v>
      </c>
      <c r="X169">
        <f t="shared" si="159"/>
        <v>514.71</v>
      </c>
      <c r="Y169">
        <f t="shared" si="160"/>
        <v>317.77</v>
      </c>
      <c r="AA169">
        <v>16784196</v>
      </c>
      <c r="AB169">
        <f t="shared" si="161"/>
        <v>690.28</v>
      </c>
      <c r="AC169">
        <f t="shared" si="162"/>
        <v>41.37</v>
      </c>
      <c r="AD169">
        <f>ROUND(((((ET169*1.25))-((EU169*1.25)))+AE169),2)</f>
        <v>45.39</v>
      </c>
      <c r="AE169">
        <f>ROUND(((EU169*1.25)),2)</f>
        <v>6.91</v>
      </c>
      <c r="AF169">
        <f>ROUND(((EV169*1.15)),2)</f>
        <v>603.52</v>
      </c>
      <c r="AG169">
        <f t="shared" si="165"/>
        <v>0</v>
      </c>
      <c r="AH169">
        <f>((EW169*1.15))</f>
        <v>64.204499999999996</v>
      </c>
      <c r="AI169">
        <f>((EX169*1.25))</f>
        <v>0.57500000000000007</v>
      </c>
      <c r="AJ169">
        <f t="shared" si="167"/>
        <v>0</v>
      </c>
      <c r="AK169">
        <v>602.48</v>
      </c>
      <c r="AL169">
        <v>41.37</v>
      </c>
      <c r="AM169">
        <v>36.31</v>
      </c>
      <c r="AN169">
        <v>5.53</v>
      </c>
      <c r="AO169">
        <v>524.79999999999995</v>
      </c>
      <c r="AP169">
        <v>0</v>
      </c>
      <c r="AQ169">
        <v>55.83</v>
      </c>
      <c r="AR169">
        <v>0.46</v>
      </c>
      <c r="AS169">
        <v>0</v>
      </c>
      <c r="AT169">
        <v>115</v>
      </c>
      <c r="AU169">
        <v>71</v>
      </c>
      <c r="AV169">
        <v>1</v>
      </c>
      <c r="AW169">
        <v>1</v>
      </c>
      <c r="AZ169">
        <v>6.11</v>
      </c>
      <c r="BA169">
        <v>6.11</v>
      </c>
      <c r="BB169">
        <v>6.11</v>
      </c>
      <c r="BC169">
        <v>6.11</v>
      </c>
      <c r="BD169" t="s">
        <v>6</v>
      </c>
      <c r="BE169" t="s">
        <v>6</v>
      </c>
      <c r="BF169" t="s">
        <v>6</v>
      </c>
      <c r="BG169" t="s">
        <v>6</v>
      </c>
      <c r="BH169">
        <v>0</v>
      </c>
      <c r="BI169">
        <v>1</v>
      </c>
      <c r="BJ169" t="s">
        <v>363</v>
      </c>
      <c r="BM169">
        <v>16001</v>
      </c>
      <c r="BN169">
        <v>0</v>
      </c>
      <c r="BO169" t="s">
        <v>6</v>
      </c>
      <c r="BP169">
        <v>0</v>
      </c>
      <c r="BQ169">
        <v>2</v>
      </c>
      <c r="BR169">
        <v>0</v>
      </c>
      <c r="BS169">
        <v>6.11</v>
      </c>
      <c r="BT169">
        <v>1</v>
      </c>
      <c r="BU169">
        <v>1</v>
      </c>
      <c r="BV169">
        <v>1</v>
      </c>
      <c r="BW169">
        <v>1</v>
      </c>
      <c r="BX169">
        <v>1</v>
      </c>
      <c r="BY169" t="s">
        <v>6</v>
      </c>
      <c r="BZ169">
        <v>128</v>
      </c>
      <c r="CA169">
        <v>83</v>
      </c>
      <c r="CE169">
        <v>0</v>
      </c>
      <c r="CF169">
        <v>0</v>
      </c>
      <c r="CG169">
        <v>0</v>
      </c>
      <c r="CM169">
        <v>0</v>
      </c>
      <c r="CN169" t="s">
        <v>824</v>
      </c>
      <c r="CO169">
        <v>0</v>
      </c>
      <c r="CP169">
        <f t="shared" si="168"/>
        <v>506.11</v>
      </c>
      <c r="CQ169">
        <f t="shared" si="169"/>
        <v>252.77070000000001</v>
      </c>
      <c r="CR169">
        <f t="shared" si="170"/>
        <v>277.3329</v>
      </c>
      <c r="CS169">
        <f t="shared" si="171"/>
        <v>42.220100000000002</v>
      </c>
      <c r="CT169">
        <f t="shared" si="172"/>
        <v>3687.5072</v>
      </c>
      <c r="CU169">
        <f t="shared" si="173"/>
        <v>0</v>
      </c>
      <c r="CV169">
        <f t="shared" si="174"/>
        <v>64.204499999999996</v>
      </c>
      <c r="CW169">
        <f t="shared" si="175"/>
        <v>0.57500000000000007</v>
      </c>
      <c r="CX169">
        <f t="shared" si="176"/>
        <v>0</v>
      </c>
      <c r="CY169">
        <f t="shared" si="177"/>
        <v>514.70549999999992</v>
      </c>
      <c r="CZ169">
        <f t="shared" si="178"/>
        <v>317.7747</v>
      </c>
      <c r="DC169" t="s">
        <v>6</v>
      </c>
      <c r="DD169" t="s">
        <v>6</v>
      </c>
      <c r="DE169" t="s">
        <v>27</v>
      </c>
      <c r="DF169" t="s">
        <v>27</v>
      </c>
      <c r="DG169" t="s">
        <v>28</v>
      </c>
      <c r="DH169" t="s">
        <v>6</v>
      </c>
      <c r="DI169" t="s">
        <v>28</v>
      </c>
      <c r="DJ169" t="s">
        <v>27</v>
      </c>
      <c r="DK169" t="s">
        <v>6</v>
      </c>
      <c r="DL169" t="s">
        <v>6</v>
      </c>
      <c r="DM169" t="s">
        <v>6</v>
      </c>
      <c r="DN169">
        <v>0</v>
      </c>
      <c r="DO169">
        <v>0</v>
      </c>
      <c r="DP169">
        <v>1</v>
      </c>
      <c r="DQ169">
        <v>1</v>
      </c>
      <c r="DU169">
        <v>1003</v>
      </c>
      <c r="DV169" t="s">
        <v>40</v>
      </c>
      <c r="DW169" t="s">
        <v>40</v>
      </c>
      <c r="DX169">
        <v>100</v>
      </c>
      <c r="EE169">
        <v>16510514</v>
      </c>
      <c r="EF169">
        <v>2</v>
      </c>
      <c r="EG169" t="s">
        <v>18</v>
      </c>
      <c r="EH169">
        <v>0</v>
      </c>
      <c r="EI169" t="s">
        <v>6</v>
      </c>
      <c r="EJ169">
        <v>1</v>
      </c>
      <c r="EK169">
        <v>16001</v>
      </c>
      <c r="EL169" t="s">
        <v>289</v>
      </c>
      <c r="EM169" t="s">
        <v>290</v>
      </c>
      <c r="EO169" t="s">
        <v>31</v>
      </c>
      <c r="EQ169">
        <v>0</v>
      </c>
      <c r="ER169">
        <v>602.48</v>
      </c>
      <c r="ES169">
        <v>41.37</v>
      </c>
      <c r="ET169">
        <v>36.31</v>
      </c>
      <c r="EU169">
        <v>5.53</v>
      </c>
      <c r="EV169">
        <v>524.79999999999995</v>
      </c>
      <c r="EW169">
        <v>55.83</v>
      </c>
      <c r="EX169">
        <v>0.46</v>
      </c>
      <c r="EY169">
        <v>0</v>
      </c>
      <c r="FQ169">
        <v>0</v>
      </c>
      <c r="FR169">
        <f t="shared" si="194"/>
        <v>0</v>
      </c>
      <c r="FS169">
        <v>0</v>
      </c>
      <c r="FT169" t="s">
        <v>21</v>
      </c>
      <c r="FU169" t="s">
        <v>22</v>
      </c>
      <c r="FX169">
        <v>115.2</v>
      </c>
      <c r="FY169">
        <v>70.55</v>
      </c>
      <c r="GA169" t="s">
        <v>6</v>
      </c>
      <c r="GD169">
        <v>0</v>
      </c>
      <c r="GF169">
        <v>1590740472</v>
      </c>
      <c r="GG169">
        <v>1</v>
      </c>
      <c r="GH169">
        <v>1</v>
      </c>
      <c r="GI169">
        <v>4</v>
      </c>
      <c r="GJ169">
        <v>0</v>
      </c>
      <c r="GK169">
        <f>ROUND(R169*(S12)/100,2)</f>
        <v>0</v>
      </c>
      <c r="GL169">
        <f t="shared" si="195"/>
        <v>0</v>
      </c>
      <c r="GM169">
        <f t="shared" si="179"/>
        <v>1338.59</v>
      </c>
      <c r="GN169">
        <f t="shared" si="180"/>
        <v>1338.59</v>
      </c>
      <c r="GO169">
        <f t="shared" si="181"/>
        <v>0</v>
      </c>
      <c r="GP169">
        <f t="shared" si="182"/>
        <v>0</v>
      </c>
      <c r="GR169">
        <v>0</v>
      </c>
      <c r="GS169">
        <v>3</v>
      </c>
      <c r="GT169">
        <v>0</v>
      </c>
      <c r="GU169" t="s">
        <v>6</v>
      </c>
      <c r="GV169">
        <f t="shared" si="183"/>
        <v>0</v>
      </c>
      <c r="GW169">
        <v>1</v>
      </c>
      <c r="GX169">
        <f t="shared" si="184"/>
        <v>0</v>
      </c>
      <c r="HA169">
        <v>0</v>
      </c>
      <c r="HB169">
        <v>0</v>
      </c>
      <c r="HC169">
        <f t="shared" si="185"/>
        <v>0</v>
      </c>
      <c r="IK169">
        <v>0</v>
      </c>
    </row>
    <row r="170" spans="1:255" x14ac:dyDescent="0.2">
      <c r="A170" s="2">
        <v>18</v>
      </c>
      <c r="B170" s="2">
        <v>1</v>
      </c>
      <c r="C170" s="2">
        <v>525</v>
      </c>
      <c r="D170" s="2"/>
      <c r="E170" s="2" t="s">
        <v>364</v>
      </c>
      <c r="F170" s="2" t="s">
        <v>365</v>
      </c>
      <c r="G170" s="2" t="s">
        <v>366</v>
      </c>
      <c r="H170" s="2" t="s">
        <v>45</v>
      </c>
      <c r="I170" s="2">
        <f>I168*J170</f>
        <v>11.976000000000001</v>
      </c>
      <c r="J170" s="2">
        <v>99.800000000000011</v>
      </c>
      <c r="K170" s="2"/>
      <c r="L170" s="2"/>
      <c r="M170" s="2"/>
      <c r="N170" s="2"/>
      <c r="O170" s="2">
        <f t="shared" si="150"/>
        <v>521.20000000000005</v>
      </c>
      <c r="P170" s="2">
        <f t="shared" si="151"/>
        <v>521.20000000000005</v>
      </c>
      <c r="Q170" s="2">
        <f t="shared" si="152"/>
        <v>0</v>
      </c>
      <c r="R170" s="2">
        <f t="shared" si="153"/>
        <v>0</v>
      </c>
      <c r="S170" s="2">
        <f t="shared" si="154"/>
        <v>0</v>
      </c>
      <c r="T170" s="2">
        <f t="shared" si="155"/>
        <v>0</v>
      </c>
      <c r="U170" s="2">
        <f t="shared" si="156"/>
        <v>0</v>
      </c>
      <c r="V170" s="2">
        <f t="shared" si="157"/>
        <v>0</v>
      </c>
      <c r="W170" s="2">
        <f t="shared" si="158"/>
        <v>0</v>
      </c>
      <c r="X170" s="2">
        <f t="shared" si="159"/>
        <v>0</v>
      </c>
      <c r="Y170" s="2">
        <f t="shared" si="160"/>
        <v>0</v>
      </c>
      <c r="Z170" s="2"/>
      <c r="AA170" s="2">
        <v>16784195</v>
      </c>
      <c r="AB170" s="2">
        <f t="shared" si="161"/>
        <v>43.52</v>
      </c>
      <c r="AC170" s="2">
        <f t="shared" si="162"/>
        <v>43.52</v>
      </c>
      <c r="AD170" s="2">
        <f>ROUND((((ET170)-(EU170))+AE170),2)</f>
        <v>0</v>
      </c>
      <c r="AE170" s="2">
        <f t="shared" ref="AE170:AF173" si="200">ROUND((EU170),2)</f>
        <v>0</v>
      </c>
      <c r="AF170" s="2">
        <f t="shared" si="200"/>
        <v>0</v>
      </c>
      <c r="AG170" s="2">
        <f t="shared" si="165"/>
        <v>0</v>
      </c>
      <c r="AH170" s="2">
        <f t="shared" ref="AH170:AI173" si="201">(EW170)</f>
        <v>0</v>
      </c>
      <c r="AI170" s="2">
        <f t="shared" si="201"/>
        <v>0</v>
      </c>
      <c r="AJ170" s="2">
        <f t="shared" si="167"/>
        <v>0</v>
      </c>
      <c r="AK170" s="2">
        <v>43.52</v>
      </c>
      <c r="AL170" s="2">
        <v>43.52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115</v>
      </c>
      <c r="AU170" s="2">
        <v>71</v>
      </c>
      <c r="AV170" s="2">
        <v>1</v>
      </c>
      <c r="AW170" s="2">
        <v>1</v>
      </c>
      <c r="AX170" s="2"/>
      <c r="AY170" s="2"/>
      <c r="AZ170" s="2">
        <v>1</v>
      </c>
      <c r="BA170" s="2">
        <v>1</v>
      </c>
      <c r="BB170" s="2">
        <v>1</v>
      </c>
      <c r="BC170" s="2">
        <v>1</v>
      </c>
      <c r="BD170" s="2" t="s">
        <v>6</v>
      </c>
      <c r="BE170" s="2" t="s">
        <v>6</v>
      </c>
      <c r="BF170" s="2" t="s">
        <v>6</v>
      </c>
      <c r="BG170" s="2" t="s">
        <v>6</v>
      </c>
      <c r="BH170" s="2">
        <v>3</v>
      </c>
      <c r="BI170" s="2">
        <v>1</v>
      </c>
      <c r="BJ170" s="2" t="s">
        <v>367</v>
      </c>
      <c r="BK170" s="2"/>
      <c r="BL170" s="2"/>
      <c r="BM170" s="2">
        <v>16001</v>
      </c>
      <c r="BN170" s="2">
        <v>0</v>
      </c>
      <c r="BO170" s="2" t="s">
        <v>6</v>
      </c>
      <c r="BP170" s="2">
        <v>0</v>
      </c>
      <c r="BQ170" s="2">
        <v>2</v>
      </c>
      <c r="BR170" s="2">
        <v>0</v>
      </c>
      <c r="BS170" s="2">
        <v>1</v>
      </c>
      <c r="BT170" s="2">
        <v>1</v>
      </c>
      <c r="BU170" s="2">
        <v>1</v>
      </c>
      <c r="BV170" s="2">
        <v>1</v>
      </c>
      <c r="BW170" s="2">
        <v>1</v>
      </c>
      <c r="BX170" s="2">
        <v>1</v>
      </c>
      <c r="BY170" s="2" t="s">
        <v>6</v>
      </c>
      <c r="BZ170" s="2">
        <v>128</v>
      </c>
      <c r="CA170" s="2">
        <v>83</v>
      </c>
      <c r="CB170" s="2"/>
      <c r="CC170" s="2"/>
      <c r="CD170" s="2"/>
      <c r="CE170" s="2">
        <v>0</v>
      </c>
      <c r="CF170" s="2">
        <v>0</v>
      </c>
      <c r="CG170" s="2">
        <v>0</v>
      </c>
      <c r="CH170" s="2"/>
      <c r="CI170" s="2"/>
      <c r="CJ170" s="2"/>
      <c r="CK170" s="2"/>
      <c r="CL170" s="2"/>
      <c r="CM170" s="2">
        <v>0</v>
      </c>
      <c r="CN170" s="2" t="s">
        <v>6</v>
      </c>
      <c r="CO170" s="2">
        <v>0</v>
      </c>
      <c r="CP170" s="2">
        <f t="shared" si="168"/>
        <v>521.20000000000005</v>
      </c>
      <c r="CQ170" s="2">
        <f t="shared" si="169"/>
        <v>43.52</v>
      </c>
      <c r="CR170" s="2">
        <f t="shared" si="170"/>
        <v>0</v>
      </c>
      <c r="CS170" s="2">
        <f t="shared" si="171"/>
        <v>0</v>
      </c>
      <c r="CT170" s="2">
        <f t="shared" si="172"/>
        <v>0</v>
      </c>
      <c r="CU170" s="2">
        <f t="shared" si="173"/>
        <v>0</v>
      </c>
      <c r="CV170" s="2">
        <f t="shared" si="174"/>
        <v>0</v>
      </c>
      <c r="CW170" s="2">
        <f t="shared" si="175"/>
        <v>0</v>
      </c>
      <c r="CX170" s="2">
        <f t="shared" si="176"/>
        <v>0</v>
      </c>
      <c r="CY170" s="2">
        <f t="shared" si="177"/>
        <v>0</v>
      </c>
      <c r="CZ170" s="2">
        <f t="shared" si="178"/>
        <v>0</v>
      </c>
      <c r="DA170" s="2"/>
      <c r="DB170" s="2"/>
      <c r="DC170" s="2" t="s">
        <v>6</v>
      </c>
      <c r="DD170" s="2" t="s">
        <v>6</v>
      </c>
      <c r="DE170" s="2" t="s">
        <v>6</v>
      </c>
      <c r="DF170" s="2" t="s">
        <v>6</v>
      </c>
      <c r="DG170" s="2" t="s">
        <v>6</v>
      </c>
      <c r="DH170" s="2" t="s">
        <v>6</v>
      </c>
      <c r="DI170" s="2" t="s">
        <v>6</v>
      </c>
      <c r="DJ170" s="2" t="s">
        <v>6</v>
      </c>
      <c r="DK170" s="2" t="s">
        <v>6</v>
      </c>
      <c r="DL170" s="2" t="s">
        <v>6</v>
      </c>
      <c r="DM170" s="2" t="s">
        <v>6</v>
      </c>
      <c r="DN170" s="2">
        <v>0</v>
      </c>
      <c r="DO170" s="2">
        <v>0</v>
      </c>
      <c r="DP170" s="2">
        <v>1</v>
      </c>
      <c r="DQ170" s="2">
        <v>1</v>
      </c>
      <c r="DR170" s="2"/>
      <c r="DS170" s="2"/>
      <c r="DT170" s="2"/>
      <c r="DU170" s="2">
        <v>1003</v>
      </c>
      <c r="DV170" s="2" t="s">
        <v>45</v>
      </c>
      <c r="DW170" s="2" t="s">
        <v>45</v>
      </c>
      <c r="DX170" s="2">
        <v>1</v>
      </c>
      <c r="DY170" s="2"/>
      <c r="DZ170" s="2"/>
      <c r="EA170" s="2"/>
      <c r="EB170" s="2"/>
      <c r="EC170" s="2"/>
      <c r="ED170" s="2"/>
      <c r="EE170" s="2">
        <v>16510514</v>
      </c>
      <c r="EF170" s="2">
        <v>2</v>
      </c>
      <c r="EG170" s="2" t="s">
        <v>18</v>
      </c>
      <c r="EH170" s="2">
        <v>0</v>
      </c>
      <c r="EI170" s="2" t="s">
        <v>6</v>
      </c>
      <c r="EJ170" s="2">
        <v>1</v>
      </c>
      <c r="EK170" s="2">
        <v>16001</v>
      </c>
      <c r="EL170" s="2" t="s">
        <v>289</v>
      </c>
      <c r="EM170" s="2" t="s">
        <v>290</v>
      </c>
      <c r="EN170" s="2"/>
      <c r="EO170" s="2" t="s">
        <v>6</v>
      </c>
      <c r="EP170" s="2"/>
      <c r="EQ170" s="2">
        <v>0</v>
      </c>
      <c r="ER170" s="2">
        <v>43.52</v>
      </c>
      <c r="ES170" s="2">
        <v>43.52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>
        <v>0</v>
      </c>
      <c r="FR170" s="2">
        <f t="shared" si="194"/>
        <v>0</v>
      </c>
      <c r="FS170" s="2">
        <v>0</v>
      </c>
      <c r="FT170" s="2" t="s">
        <v>21</v>
      </c>
      <c r="FU170" s="2" t="s">
        <v>22</v>
      </c>
      <c r="FV170" s="2"/>
      <c r="FW170" s="2"/>
      <c r="FX170" s="2">
        <v>115.2</v>
      </c>
      <c r="FY170" s="2">
        <v>70.55</v>
      </c>
      <c r="FZ170" s="2"/>
      <c r="GA170" s="2" t="s">
        <v>6</v>
      </c>
      <c r="GB170" s="2"/>
      <c r="GC170" s="2"/>
      <c r="GD170" s="2">
        <v>0</v>
      </c>
      <c r="GE170" s="2"/>
      <c r="GF170" s="2">
        <v>1231130266</v>
      </c>
      <c r="GG170" s="2">
        <v>2</v>
      </c>
      <c r="GH170" s="2">
        <v>1</v>
      </c>
      <c r="GI170" s="2">
        <v>-2</v>
      </c>
      <c r="GJ170" s="2">
        <v>0</v>
      </c>
      <c r="GK170" s="2">
        <f>ROUND(R170*(R12)/100,2)</f>
        <v>0</v>
      </c>
      <c r="GL170" s="2">
        <f t="shared" si="195"/>
        <v>0</v>
      </c>
      <c r="GM170" s="2">
        <f t="shared" si="179"/>
        <v>521.20000000000005</v>
      </c>
      <c r="GN170" s="2">
        <f t="shared" si="180"/>
        <v>521.20000000000005</v>
      </c>
      <c r="GO170" s="2">
        <f t="shared" si="181"/>
        <v>0</v>
      </c>
      <c r="GP170" s="2">
        <f t="shared" si="182"/>
        <v>0</v>
      </c>
      <c r="GQ170" s="2"/>
      <c r="GR170" s="2">
        <v>0</v>
      </c>
      <c r="GS170" s="2">
        <v>3</v>
      </c>
      <c r="GT170" s="2">
        <v>0</v>
      </c>
      <c r="GU170" s="2" t="s">
        <v>6</v>
      </c>
      <c r="GV170" s="2">
        <f t="shared" si="183"/>
        <v>0</v>
      </c>
      <c r="GW170" s="2">
        <v>1</v>
      </c>
      <c r="GX170" s="2">
        <f t="shared" si="184"/>
        <v>0</v>
      </c>
      <c r="GY170" s="2"/>
      <c r="GZ170" s="2"/>
      <c r="HA170" s="2">
        <v>0</v>
      </c>
      <c r="HB170" s="2">
        <v>0</v>
      </c>
      <c r="HC170" s="2">
        <f t="shared" si="185"/>
        <v>0</v>
      </c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>
        <v>0</v>
      </c>
      <c r="IL170" s="2"/>
      <c r="IM170" s="2"/>
      <c r="IN170" s="2"/>
      <c r="IO170" s="2"/>
      <c r="IP170" s="2"/>
      <c r="IQ170" s="2"/>
      <c r="IR170" s="2"/>
      <c r="IS170" s="2"/>
      <c r="IT170" s="2"/>
      <c r="IU170" s="2"/>
    </row>
    <row r="171" spans="1:255" x14ac:dyDescent="0.2">
      <c r="A171">
        <v>18</v>
      </c>
      <c r="B171">
        <v>1</v>
      </c>
      <c r="C171">
        <v>534</v>
      </c>
      <c r="E171" t="s">
        <v>364</v>
      </c>
      <c r="F171" t="s">
        <v>365</v>
      </c>
      <c r="G171" t="s">
        <v>366</v>
      </c>
      <c r="H171" t="s">
        <v>45</v>
      </c>
      <c r="I171">
        <f>I169*J171</f>
        <v>11.976000000000001</v>
      </c>
      <c r="J171">
        <v>99.800000000000011</v>
      </c>
      <c r="O171">
        <f t="shared" si="150"/>
        <v>3184.5</v>
      </c>
      <c r="P171">
        <f t="shared" si="151"/>
        <v>3184.5</v>
      </c>
      <c r="Q171">
        <f t="shared" si="152"/>
        <v>0</v>
      </c>
      <c r="R171">
        <f t="shared" si="153"/>
        <v>0</v>
      </c>
      <c r="S171">
        <f t="shared" si="154"/>
        <v>0</v>
      </c>
      <c r="T171">
        <f t="shared" si="155"/>
        <v>0</v>
      </c>
      <c r="U171">
        <f t="shared" si="156"/>
        <v>0</v>
      </c>
      <c r="V171">
        <f t="shared" si="157"/>
        <v>0</v>
      </c>
      <c r="W171">
        <f t="shared" si="158"/>
        <v>0</v>
      </c>
      <c r="X171">
        <f t="shared" si="159"/>
        <v>0</v>
      </c>
      <c r="Y171">
        <f t="shared" si="160"/>
        <v>0</v>
      </c>
      <c r="AA171">
        <v>16784196</v>
      </c>
      <c r="AB171">
        <f t="shared" si="161"/>
        <v>43.52</v>
      </c>
      <c r="AC171">
        <f t="shared" si="162"/>
        <v>43.52</v>
      </c>
      <c r="AD171">
        <f>ROUND((((ET171)-(EU171))+AE171),2)</f>
        <v>0</v>
      </c>
      <c r="AE171">
        <f t="shared" si="200"/>
        <v>0</v>
      </c>
      <c r="AF171">
        <f t="shared" si="200"/>
        <v>0</v>
      </c>
      <c r="AG171">
        <f t="shared" si="165"/>
        <v>0</v>
      </c>
      <c r="AH171">
        <f t="shared" si="201"/>
        <v>0</v>
      </c>
      <c r="AI171">
        <f t="shared" si="201"/>
        <v>0</v>
      </c>
      <c r="AJ171">
        <f t="shared" si="167"/>
        <v>0</v>
      </c>
      <c r="AK171">
        <v>43.52</v>
      </c>
      <c r="AL171">
        <v>43.52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115</v>
      </c>
      <c r="AU171">
        <v>71</v>
      </c>
      <c r="AV171">
        <v>1</v>
      </c>
      <c r="AW171">
        <v>1</v>
      </c>
      <c r="AZ171">
        <v>6.11</v>
      </c>
      <c r="BA171">
        <v>1</v>
      </c>
      <c r="BB171">
        <v>1</v>
      </c>
      <c r="BC171">
        <v>6.11</v>
      </c>
      <c r="BD171" t="s">
        <v>6</v>
      </c>
      <c r="BE171" t="s">
        <v>6</v>
      </c>
      <c r="BF171" t="s">
        <v>6</v>
      </c>
      <c r="BG171" t="s">
        <v>6</v>
      </c>
      <c r="BH171">
        <v>3</v>
      </c>
      <c r="BI171">
        <v>1</v>
      </c>
      <c r="BJ171" t="s">
        <v>367</v>
      </c>
      <c r="BM171">
        <v>16001</v>
      </c>
      <c r="BN171">
        <v>0</v>
      </c>
      <c r="BO171" t="s">
        <v>6</v>
      </c>
      <c r="BP171">
        <v>0</v>
      </c>
      <c r="BQ171">
        <v>2</v>
      </c>
      <c r="BR171">
        <v>0</v>
      </c>
      <c r="BS171">
        <v>1</v>
      </c>
      <c r="BT171">
        <v>1</v>
      </c>
      <c r="BU171">
        <v>1</v>
      </c>
      <c r="BV171">
        <v>1</v>
      </c>
      <c r="BW171">
        <v>1</v>
      </c>
      <c r="BX171">
        <v>1</v>
      </c>
      <c r="BY171" t="s">
        <v>6</v>
      </c>
      <c r="BZ171">
        <v>128</v>
      </c>
      <c r="CA171">
        <v>83</v>
      </c>
      <c r="CE171">
        <v>0</v>
      </c>
      <c r="CF171">
        <v>0</v>
      </c>
      <c r="CG171">
        <v>0</v>
      </c>
      <c r="CM171">
        <v>0</v>
      </c>
      <c r="CN171" t="s">
        <v>6</v>
      </c>
      <c r="CO171">
        <v>0</v>
      </c>
      <c r="CP171">
        <f t="shared" si="168"/>
        <v>3184.5</v>
      </c>
      <c r="CQ171">
        <f t="shared" si="169"/>
        <v>265.90720000000005</v>
      </c>
      <c r="CR171">
        <f t="shared" si="170"/>
        <v>0</v>
      </c>
      <c r="CS171">
        <f t="shared" si="171"/>
        <v>0</v>
      </c>
      <c r="CT171">
        <f t="shared" si="172"/>
        <v>0</v>
      </c>
      <c r="CU171">
        <f t="shared" si="173"/>
        <v>0</v>
      </c>
      <c r="CV171">
        <f t="shared" si="174"/>
        <v>0</v>
      </c>
      <c r="CW171">
        <f t="shared" si="175"/>
        <v>0</v>
      </c>
      <c r="CX171">
        <f t="shared" si="176"/>
        <v>0</v>
      </c>
      <c r="CY171">
        <f t="shared" si="177"/>
        <v>0</v>
      </c>
      <c r="CZ171">
        <f t="shared" si="178"/>
        <v>0</v>
      </c>
      <c r="DC171" t="s">
        <v>6</v>
      </c>
      <c r="DD171" t="s">
        <v>6</v>
      </c>
      <c r="DE171" t="s">
        <v>6</v>
      </c>
      <c r="DF171" t="s">
        <v>6</v>
      </c>
      <c r="DG171" t="s">
        <v>6</v>
      </c>
      <c r="DH171" t="s">
        <v>6</v>
      </c>
      <c r="DI171" t="s">
        <v>6</v>
      </c>
      <c r="DJ171" t="s">
        <v>6</v>
      </c>
      <c r="DK171" t="s">
        <v>6</v>
      </c>
      <c r="DL171" t="s">
        <v>6</v>
      </c>
      <c r="DM171" t="s">
        <v>6</v>
      </c>
      <c r="DN171">
        <v>0</v>
      </c>
      <c r="DO171">
        <v>0</v>
      </c>
      <c r="DP171">
        <v>1</v>
      </c>
      <c r="DQ171">
        <v>1</v>
      </c>
      <c r="DU171">
        <v>1003</v>
      </c>
      <c r="DV171" t="s">
        <v>45</v>
      </c>
      <c r="DW171" t="s">
        <v>45</v>
      </c>
      <c r="DX171">
        <v>1</v>
      </c>
      <c r="EE171">
        <v>16510514</v>
      </c>
      <c r="EF171">
        <v>2</v>
      </c>
      <c r="EG171" t="s">
        <v>18</v>
      </c>
      <c r="EH171">
        <v>0</v>
      </c>
      <c r="EI171" t="s">
        <v>6</v>
      </c>
      <c r="EJ171">
        <v>1</v>
      </c>
      <c r="EK171">
        <v>16001</v>
      </c>
      <c r="EL171" t="s">
        <v>289</v>
      </c>
      <c r="EM171" t="s">
        <v>290</v>
      </c>
      <c r="EO171" t="s">
        <v>6</v>
      </c>
      <c r="EQ171">
        <v>0</v>
      </c>
      <c r="ER171">
        <v>43.52</v>
      </c>
      <c r="ES171">
        <v>43.52</v>
      </c>
      <c r="ET171">
        <v>0</v>
      </c>
      <c r="EU171">
        <v>0</v>
      </c>
      <c r="EV171">
        <v>0</v>
      </c>
      <c r="EW171">
        <v>0</v>
      </c>
      <c r="EX171">
        <v>0</v>
      </c>
      <c r="FQ171">
        <v>0</v>
      </c>
      <c r="FR171">
        <f t="shared" si="194"/>
        <v>0</v>
      </c>
      <c r="FS171">
        <v>0</v>
      </c>
      <c r="FT171" t="s">
        <v>21</v>
      </c>
      <c r="FU171" t="s">
        <v>22</v>
      </c>
      <c r="FX171">
        <v>115.2</v>
      </c>
      <c r="FY171">
        <v>70.55</v>
      </c>
      <c r="GA171" t="s">
        <v>6</v>
      </c>
      <c r="GD171">
        <v>0</v>
      </c>
      <c r="GF171">
        <v>1231130266</v>
      </c>
      <c r="GG171">
        <v>1</v>
      </c>
      <c r="GH171">
        <v>1</v>
      </c>
      <c r="GI171">
        <v>4</v>
      </c>
      <c r="GJ171">
        <v>0</v>
      </c>
      <c r="GK171">
        <f>ROUND(R171*(S12)/100,2)</f>
        <v>0</v>
      </c>
      <c r="GL171">
        <f t="shared" si="195"/>
        <v>0</v>
      </c>
      <c r="GM171">
        <f t="shared" si="179"/>
        <v>3184.5</v>
      </c>
      <c r="GN171">
        <f t="shared" si="180"/>
        <v>3184.5</v>
      </c>
      <c r="GO171">
        <f t="shared" si="181"/>
        <v>0</v>
      </c>
      <c r="GP171">
        <f t="shared" si="182"/>
        <v>0</v>
      </c>
      <c r="GR171">
        <v>0</v>
      </c>
      <c r="GS171">
        <v>3</v>
      </c>
      <c r="GT171">
        <v>0</v>
      </c>
      <c r="GU171" t="s">
        <v>6</v>
      </c>
      <c r="GV171">
        <f t="shared" si="183"/>
        <v>0</v>
      </c>
      <c r="GW171">
        <v>1</v>
      </c>
      <c r="GX171">
        <f t="shared" si="184"/>
        <v>0</v>
      </c>
      <c r="HA171">
        <v>0</v>
      </c>
      <c r="HB171">
        <v>0</v>
      </c>
      <c r="HC171">
        <f t="shared" si="185"/>
        <v>0</v>
      </c>
      <c r="IK171">
        <v>0</v>
      </c>
    </row>
    <row r="172" spans="1:255" x14ac:dyDescent="0.2">
      <c r="A172" s="2">
        <v>18</v>
      </c>
      <c r="B172" s="2">
        <v>1</v>
      </c>
      <c r="C172" s="2">
        <v>524</v>
      </c>
      <c r="D172" s="2"/>
      <c r="E172" s="2" t="s">
        <v>368</v>
      </c>
      <c r="F172" s="2" t="s">
        <v>369</v>
      </c>
      <c r="G172" s="2" t="s">
        <v>370</v>
      </c>
      <c r="H172" s="2" t="s">
        <v>45</v>
      </c>
      <c r="I172" s="2">
        <f>I168*J172</f>
        <v>11.976000000000001</v>
      </c>
      <c r="J172" s="2">
        <v>99.800000000000011</v>
      </c>
      <c r="K172" s="2"/>
      <c r="L172" s="2"/>
      <c r="M172" s="2"/>
      <c r="N172" s="2"/>
      <c r="O172" s="2">
        <f t="shared" si="150"/>
        <v>0</v>
      </c>
      <c r="P172" s="2">
        <f t="shared" si="151"/>
        <v>0</v>
      </c>
      <c r="Q172" s="2">
        <f t="shared" si="152"/>
        <v>0</v>
      </c>
      <c r="R172" s="2">
        <f t="shared" si="153"/>
        <v>0</v>
      </c>
      <c r="S172" s="2">
        <f t="shared" si="154"/>
        <v>0</v>
      </c>
      <c r="T172" s="2">
        <f t="shared" si="155"/>
        <v>0</v>
      </c>
      <c r="U172" s="2">
        <f t="shared" si="156"/>
        <v>0</v>
      </c>
      <c r="V172" s="2">
        <f t="shared" si="157"/>
        <v>0</v>
      </c>
      <c r="W172" s="2">
        <f t="shared" si="158"/>
        <v>0</v>
      </c>
      <c r="X172" s="2">
        <f t="shared" si="159"/>
        <v>0</v>
      </c>
      <c r="Y172" s="2">
        <f t="shared" si="160"/>
        <v>0</v>
      </c>
      <c r="Z172" s="2"/>
      <c r="AA172" s="2">
        <v>16784195</v>
      </c>
      <c r="AB172" s="2">
        <f t="shared" si="161"/>
        <v>0</v>
      </c>
      <c r="AC172" s="2">
        <f t="shared" si="162"/>
        <v>0</v>
      </c>
      <c r="AD172" s="2">
        <f>ROUND((((ET172)-(EU172))+AE172),2)</f>
        <v>0</v>
      </c>
      <c r="AE172" s="2">
        <f t="shared" si="200"/>
        <v>0</v>
      </c>
      <c r="AF172" s="2">
        <f t="shared" si="200"/>
        <v>0</v>
      </c>
      <c r="AG172" s="2">
        <f t="shared" si="165"/>
        <v>0</v>
      </c>
      <c r="AH172" s="2">
        <f t="shared" si="201"/>
        <v>0</v>
      </c>
      <c r="AI172" s="2">
        <f t="shared" si="201"/>
        <v>0</v>
      </c>
      <c r="AJ172" s="2">
        <f t="shared" si="167"/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115</v>
      </c>
      <c r="AU172" s="2">
        <v>71</v>
      </c>
      <c r="AV172" s="2">
        <v>1</v>
      </c>
      <c r="AW172" s="2">
        <v>1</v>
      </c>
      <c r="AX172" s="2"/>
      <c r="AY172" s="2"/>
      <c r="AZ172" s="2">
        <v>1</v>
      </c>
      <c r="BA172" s="2">
        <v>1</v>
      </c>
      <c r="BB172" s="2">
        <v>1</v>
      </c>
      <c r="BC172" s="2">
        <v>1</v>
      </c>
      <c r="BD172" s="2" t="s">
        <v>6</v>
      </c>
      <c r="BE172" s="2" t="s">
        <v>6</v>
      </c>
      <c r="BF172" s="2" t="s">
        <v>6</v>
      </c>
      <c r="BG172" s="2" t="s">
        <v>6</v>
      </c>
      <c r="BH172" s="2">
        <v>3</v>
      </c>
      <c r="BI172" s="2">
        <v>1</v>
      </c>
      <c r="BJ172" s="2" t="s">
        <v>6</v>
      </c>
      <c r="BK172" s="2"/>
      <c r="BL172" s="2"/>
      <c r="BM172" s="2">
        <v>16001</v>
      </c>
      <c r="BN172" s="2">
        <v>0</v>
      </c>
      <c r="BO172" s="2" t="s">
        <v>6</v>
      </c>
      <c r="BP172" s="2">
        <v>0</v>
      </c>
      <c r="BQ172" s="2">
        <v>2</v>
      </c>
      <c r="BR172" s="2">
        <v>0</v>
      </c>
      <c r="BS172" s="2">
        <v>1</v>
      </c>
      <c r="BT172" s="2">
        <v>1</v>
      </c>
      <c r="BU172" s="2">
        <v>1</v>
      </c>
      <c r="BV172" s="2">
        <v>1</v>
      </c>
      <c r="BW172" s="2">
        <v>1</v>
      </c>
      <c r="BX172" s="2">
        <v>1</v>
      </c>
      <c r="BY172" s="2" t="s">
        <v>6</v>
      </c>
      <c r="BZ172" s="2">
        <v>128</v>
      </c>
      <c r="CA172" s="2">
        <v>83</v>
      </c>
      <c r="CB172" s="2"/>
      <c r="CC172" s="2"/>
      <c r="CD172" s="2"/>
      <c r="CE172" s="2">
        <v>0</v>
      </c>
      <c r="CF172" s="2">
        <v>0</v>
      </c>
      <c r="CG172" s="2">
        <v>0</v>
      </c>
      <c r="CH172" s="2"/>
      <c r="CI172" s="2"/>
      <c r="CJ172" s="2"/>
      <c r="CK172" s="2"/>
      <c r="CL172" s="2"/>
      <c r="CM172" s="2">
        <v>0</v>
      </c>
      <c r="CN172" s="2" t="s">
        <v>6</v>
      </c>
      <c r="CO172" s="2">
        <v>0</v>
      </c>
      <c r="CP172" s="2">
        <f t="shared" si="168"/>
        <v>0</v>
      </c>
      <c r="CQ172" s="2">
        <f t="shared" si="169"/>
        <v>0</v>
      </c>
      <c r="CR172" s="2">
        <f t="shared" si="170"/>
        <v>0</v>
      </c>
      <c r="CS172" s="2">
        <f t="shared" si="171"/>
        <v>0</v>
      </c>
      <c r="CT172" s="2">
        <f t="shared" si="172"/>
        <v>0</v>
      </c>
      <c r="CU172" s="2">
        <f t="shared" si="173"/>
        <v>0</v>
      </c>
      <c r="CV172" s="2">
        <f t="shared" si="174"/>
        <v>0</v>
      </c>
      <c r="CW172" s="2">
        <f t="shared" si="175"/>
        <v>0</v>
      </c>
      <c r="CX172" s="2">
        <f t="shared" si="176"/>
        <v>0</v>
      </c>
      <c r="CY172" s="2">
        <f t="shared" si="177"/>
        <v>0</v>
      </c>
      <c r="CZ172" s="2">
        <f t="shared" si="178"/>
        <v>0</v>
      </c>
      <c r="DA172" s="2"/>
      <c r="DB172" s="2"/>
      <c r="DC172" s="2" t="s">
        <v>6</v>
      </c>
      <c r="DD172" s="2" t="s">
        <v>6</v>
      </c>
      <c r="DE172" s="2" t="s">
        <v>6</v>
      </c>
      <c r="DF172" s="2" t="s">
        <v>6</v>
      </c>
      <c r="DG172" s="2" t="s">
        <v>6</v>
      </c>
      <c r="DH172" s="2" t="s">
        <v>6</v>
      </c>
      <c r="DI172" s="2" t="s">
        <v>6</v>
      </c>
      <c r="DJ172" s="2" t="s">
        <v>6</v>
      </c>
      <c r="DK172" s="2" t="s">
        <v>6</v>
      </c>
      <c r="DL172" s="2" t="s">
        <v>6</v>
      </c>
      <c r="DM172" s="2" t="s">
        <v>6</v>
      </c>
      <c r="DN172" s="2">
        <v>0</v>
      </c>
      <c r="DO172" s="2">
        <v>0</v>
      </c>
      <c r="DP172" s="2">
        <v>1</v>
      </c>
      <c r="DQ172" s="2">
        <v>1</v>
      </c>
      <c r="DR172" s="2"/>
      <c r="DS172" s="2"/>
      <c r="DT172" s="2"/>
      <c r="DU172" s="2">
        <v>1003</v>
      </c>
      <c r="DV172" s="2" t="s">
        <v>45</v>
      </c>
      <c r="DW172" s="2" t="s">
        <v>45</v>
      </c>
      <c r="DX172" s="2">
        <v>1</v>
      </c>
      <c r="DY172" s="2"/>
      <c r="DZ172" s="2"/>
      <c r="EA172" s="2"/>
      <c r="EB172" s="2"/>
      <c r="EC172" s="2"/>
      <c r="ED172" s="2"/>
      <c r="EE172" s="2">
        <v>16510514</v>
      </c>
      <c r="EF172" s="2">
        <v>2</v>
      </c>
      <c r="EG172" s="2" t="s">
        <v>18</v>
      </c>
      <c r="EH172" s="2">
        <v>0</v>
      </c>
      <c r="EI172" s="2" t="s">
        <v>6</v>
      </c>
      <c r="EJ172" s="2">
        <v>1</v>
      </c>
      <c r="EK172" s="2">
        <v>16001</v>
      </c>
      <c r="EL172" s="2" t="s">
        <v>289</v>
      </c>
      <c r="EM172" s="2" t="s">
        <v>290</v>
      </c>
      <c r="EN172" s="2"/>
      <c r="EO172" s="2" t="s">
        <v>6</v>
      </c>
      <c r="EP172" s="2"/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>
        <v>0</v>
      </c>
      <c r="FR172" s="2">
        <f t="shared" si="194"/>
        <v>0</v>
      </c>
      <c r="FS172" s="2">
        <v>0</v>
      </c>
      <c r="FT172" s="2" t="s">
        <v>21</v>
      </c>
      <c r="FU172" s="2" t="s">
        <v>22</v>
      </c>
      <c r="FV172" s="2"/>
      <c r="FW172" s="2"/>
      <c r="FX172" s="2">
        <v>115.2</v>
      </c>
      <c r="FY172" s="2">
        <v>70.55</v>
      </c>
      <c r="FZ172" s="2"/>
      <c r="GA172" s="2" t="s">
        <v>6</v>
      </c>
      <c r="GB172" s="2"/>
      <c r="GC172" s="2"/>
      <c r="GD172" s="2">
        <v>0</v>
      </c>
      <c r="GE172" s="2"/>
      <c r="GF172" s="2">
        <v>812714132</v>
      </c>
      <c r="GG172" s="2">
        <v>2</v>
      </c>
      <c r="GH172" s="2">
        <v>1</v>
      </c>
      <c r="GI172" s="2">
        <v>-2</v>
      </c>
      <c r="GJ172" s="2">
        <v>0</v>
      </c>
      <c r="GK172" s="2">
        <f>ROUND(R172*(R12)/100,2)</f>
        <v>0</v>
      </c>
      <c r="GL172" s="2">
        <f t="shared" si="195"/>
        <v>0</v>
      </c>
      <c r="GM172" s="2">
        <f t="shared" si="179"/>
        <v>0</v>
      </c>
      <c r="GN172" s="2">
        <f t="shared" si="180"/>
        <v>0</v>
      </c>
      <c r="GO172" s="2">
        <f t="shared" si="181"/>
        <v>0</v>
      </c>
      <c r="GP172" s="2">
        <f t="shared" si="182"/>
        <v>0</v>
      </c>
      <c r="GQ172" s="2"/>
      <c r="GR172" s="2">
        <v>0</v>
      </c>
      <c r="GS172" s="2">
        <v>3</v>
      </c>
      <c r="GT172" s="2">
        <v>0</v>
      </c>
      <c r="GU172" s="2" t="s">
        <v>6</v>
      </c>
      <c r="GV172" s="2">
        <f t="shared" si="183"/>
        <v>0</v>
      </c>
      <c r="GW172" s="2">
        <v>1</v>
      </c>
      <c r="GX172" s="2">
        <f t="shared" si="184"/>
        <v>0</v>
      </c>
      <c r="GY172" s="2"/>
      <c r="GZ172" s="2"/>
      <c r="HA172" s="2">
        <v>0</v>
      </c>
      <c r="HB172" s="2">
        <v>0</v>
      </c>
      <c r="HC172" s="2">
        <f t="shared" si="185"/>
        <v>0</v>
      </c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>
        <v>0</v>
      </c>
      <c r="IL172" s="2"/>
      <c r="IM172" s="2"/>
      <c r="IN172" s="2"/>
      <c r="IO172" s="2"/>
      <c r="IP172" s="2"/>
      <c r="IQ172" s="2"/>
      <c r="IR172" s="2"/>
      <c r="IS172" s="2"/>
      <c r="IT172" s="2"/>
      <c r="IU172" s="2"/>
    </row>
    <row r="173" spans="1:255" x14ac:dyDescent="0.2">
      <c r="A173">
        <v>18</v>
      </c>
      <c r="B173">
        <v>1</v>
      </c>
      <c r="C173">
        <v>533</v>
      </c>
      <c r="E173" t="s">
        <v>368</v>
      </c>
      <c r="F173" t="s">
        <v>369</v>
      </c>
      <c r="G173" t="s">
        <v>370</v>
      </c>
      <c r="H173" t="s">
        <v>45</v>
      </c>
      <c r="I173">
        <f>I169*J173</f>
        <v>11.976000000000001</v>
      </c>
      <c r="J173">
        <v>99.800000000000011</v>
      </c>
      <c r="O173">
        <f t="shared" si="150"/>
        <v>0</v>
      </c>
      <c r="P173">
        <f t="shared" si="151"/>
        <v>0</v>
      </c>
      <c r="Q173">
        <f t="shared" si="152"/>
        <v>0</v>
      </c>
      <c r="R173">
        <f t="shared" si="153"/>
        <v>0</v>
      </c>
      <c r="S173">
        <f t="shared" si="154"/>
        <v>0</v>
      </c>
      <c r="T173">
        <f t="shared" si="155"/>
        <v>0</v>
      </c>
      <c r="U173">
        <f t="shared" si="156"/>
        <v>0</v>
      </c>
      <c r="V173">
        <f t="shared" si="157"/>
        <v>0</v>
      </c>
      <c r="W173">
        <f t="shared" si="158"/>
        <v>0</v>
      </c>
      <c r="X173">
        <f t="shared" si="159"/>
        <v>0</v>
      </c>
      <c r="Y173">
        <f t="shared" si="160"/>
        <v>0</v>
      </c>
      <c r="AA173">
        <v>16784196</v>
      </c>
      <c r="AB173">
        <f t="shared" si="161"/>
        <v>0</v>
      </c>
      <c r="AC173">
        <f t="shared" si="162"/>
        <v>0</v>
      </c>
      <c r="AD173">
        <f>ROUND((((ET173)-(EU173))+AE173),2)</f>
        <v>0</v>
      </c>
      <c r="AE173">
        <f t="shared" si="200"/>
        <v>0</v>
      </c>
      <c r="AF173">
        <f t="shared" si="200"/>
        <v>0</v>
      </c>
      <c r="AG173">
        <f t="shared" si="165"/>
        <v>0</v>
      </c>
      <c r="AH173">
        <f t="shared" si="201"/>
        <v>0</v>
      </c>
      <c r="AI173">
        <f t="shared" si="201"/>
        <v>0</v>
      </c>
      <c r="AJ173">
        <f t="shared" si="167"/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115</v>
      </c>
      <c r="AU173">
        <v>71</v>
      </c>
      <c r="AV173">
        <v>1</v>
      </c>
      <c r="AW173">
        <v>1</v>
      </c>
      <c r="AZ173">
        <v>6.11</v>
      </c>
      <c r="BA173">
        <v>1</v>
      </c>
      <c r="BB173">
        <v>1</v>
      </c>
      <c r="BC173">
        <v>6.11</v>
      </c>
      <c r="BD173" t="s">
        <v>6</v>
      </c>
      <c r="BE173" t="s">
        <v>6</v>
      </c>
      <c r="BF173" t="s">
        <v>6</v>
      </c>
      <c r="BG173" t="s">
        <v>6</v>
      </c>
      <c r="BH173">
        <v>3</v>
      </c>
      <c r="BI173">
        <v>1</v>
      </c>
      <c r="BJ173" t="s">
        <v>6</v>
      </c>
      <c r="BM173">
        <v>16001</v>
      </c>
      <c r="BN173">
        <v>0</v>
      </c>
      <c r="BO173" t="s">
        <v>6</v>
      </c>
      <c r="BP173">
        <v>0</v>
      </c>
      <c r="BQ173">
        <v>2</v>
      </c>
      <c r="BR173">
        <v>0</v>
      </c>
      <c r="BS173">
        <v>1</v>
      </c>
      <c r="BT173">
        <v>1</v>
      </c>
      <c r="BU173">
        <v>1</v>
      </c>
      <c r="BV173">
        <v>1</v>
      </c>
      <c r="BW173">
        <v>1</v>
      </c>
      <c r="BX173">
        <v>1</v>
      </c>
      <c r="BY173" t="s">
        <v>6</v>
      </c>
      <c r="BZ173">
        <v>128</v>
      </c>
      <c r="CA173">
        <v>83</v>
      </c>
      <c r="CE173">
        <v>0</v>
      </c>
      <c r="CF173">
        <v>0</v>
      </c>
      <c r="CG173">
        <v>0</v>
      </c>
      <c r="CM173">
        <v>0</v>
      </c>
      <c r="CN173" t="s">
        <v>6</v>
      </c>
      <c r="CO173">
        <v>0</v>
      </c>
      <c r="CP173">
        <f t="shared" si="168"/>
        <v>0</v>
      </c>
      <c r="CQ173">
        <f t="shared" si="169"/>
        <v>0</v>
      </c>
      <c r="CR173">
        <f t="shared" si="170"/>
        <v>0</v>
      </c>
      <c r="CS173">
        <f t="shared" si="171"/>
        <v>0</v>
      </c>
      <c r="CT173">
        <f t="shared" si="172"/>
        <v>0</v>
      </c>
      <c r="CU173">
        <f t="shared" si="173"/>
        <v>0</v>
      </c>
      <c r="CV173">
        <f t="shared" si="174"/>
        <v>0</v>
      </c>
      <c r="CW173">
        <f t="shared" si="175"/>
        <v>0</v>
      </c>
      <c r="CX173">
        <f t="shared" si="176"/>
        <v>0</v>
      </c>
      <c r="CY173">
        <f t="shared" si="177"/>
        <v>0</v>
      </c>
      <c r="CZ173">
        <f t="shared" si="178"/>
        <v>0</v>
      </c>
      <c r="DC173" t="s">
        <v>6</v>
      </c>
      <c r="DD173" t="s">
        <v>6</v>
      </c>
      <c r="DE173" t="s">
        <v>6</v>
      </c>
      <c r="DF173" t="s">
        <v>6</v>
      </c>
      <c r="DG173" t="s">
        <v>6</v>
      </c>
      <c r="DH173" t="s">
        <v>6</v>
      </c>
      <c r="DI173" t="s">
        <v>6</v>
      </c>
      <c r="DJ173" t="s">
        <v>6</v>
      </c>
      <c r="DK173" t="s">
        <v>6</v>
      </c>
      <c r="DL173" t="s">
        <v>6</v>
      </c>
      <c r="DM173" t="s">
        <v>6</v>
      </c>
      <c r="DN173">
        <v>0</v>
      </c>
      <c r="DO173">
        <v>0</v>
      </c>
      <c r="DP173">
        <v>1</v>
      </c>
      <c r="DQ173">
        <v>1</v>
      </c>
      <c r="DU173">
        <v>1003</v>
      </c>
      <c r="DV173" t="s">
        <v>45</v>
      </c>
      <c r="DW173" t="s">
        <v>45</v>
      </c>
      <c r="DX173">
        <v>1</v>
      </c>
      <c r="EE173">
        <v>16510514</v>
      </c>
      <c r="EF173">
        <v>2</v>
      </c>
      <c r="EG173" t="s">
        <v>18</v>
      </c>
      <c r="EH173">
        <v>0</v>
      </c>
      <c r="EI173" t="s">
        <v>6</v>
      </c>
      <c r="EJ173">
        <v>1</v>
      </c>
      <c r="EK173">
        <v>16001</v>
      </c>
      <c r="EL173" t="s">
        <v>289</v>
      </c>
      <c r="EM173" t="s">
        <v>290</v>
      </c>
      <c r="EO173" t="s">
        <v>6</v>
      </c>
      <c r="EQ173">
        <v>0</v>
      </c>
      <c r="ER173">
        <v>0</v>
      </c>
      <c r="ES173">
        <v>0</v>
      </c>
      <c r="ET173">
        <v>0</v>
      </c>
      <c r="EU173">
        <v>0</v>
      </c>
      <c r="EV173">
        <v>0</v>
      </c>
      <c r="EW173">
        <v>0</v>
      </c>
      <c r="EX173">
        <v>0</v>
      </c>
      <c r="FQ173">
        <v>0</v>
      </c>
      <c r="FR173">
        <f t="shared" si="194"/>
        <v>0</v>
      </c>
      <c r="FS173">
        <v>0</v>
      </c>
      <c r="FT173" t="s">
        <v>21</v>
      </c>
      <c r="FU173" t="s">
        <v>22</v>
      </c>
      <c r="FX173">
        <v>115.2</v>
      </c>
      <c r="FY173">
        <v>70.55</v>
      </c>
      <c r="GA173" t="s">
        <v>6</v>
      </c>
      <c r="GD173">
        <v>0</v>
      </c>
      <c r="GF173">
        <v>812714132</v>
      </c>
      <c r="GG173">
        <v>1</v>
      </c>
      <c r="GH173">
        <v>1</v>
      </c>
      <c r="GI173">
        <v>4</v>
      </c>
      <c r="GJ173">
        <v>0</v>
      </c>
      <c r="GK173">
        <f>ROUND(R173*(S12)/100,2)</f>
        <v>0</v>
      </c>
      <c r="GL173">
        <f t="shared" si="195"/>
        <v>0</v>
      </c>
      <c r="GM173">
        <f t="shared" si="179"/>
        <v>0</v>
      </c>
      <c r="GN173">
        <f t="shared" si="180"/>
        <v>0</v>
      </c>
      <c r="GO173">
        <f t="shared" si="181"/>
        <v>0</v>
      </c>
      <c r="GP173">
        <f t="shared" si="182"/>
        <v>0</v>
      </c>
      <c r="GR173">
        <v>0</v>
      </c>
      <c r="GS173">
        <v>3</v>
      </c>
      <c r="GT173">
        <v>0</v>
      </c>
      <c r="GU173" t="s">
        <v>6</v>
      </c>
      <c r="GV173">
        <f t="shared" si="183"/>
        <v>0</v>
      </c>
      <c r="GW173">
        <v>1</v>
      </c>
      <c r="GX173">
        <f t="shared" si="184"/>
        <v>0</v>
      </c>
      <c r="HA173">
        <v>0</v>
      </c>
      <c r="HB173">
        <v>0</v>
      </c>
      <c r="HC173">
        <f t="shared" si="185"/>
        <v>0</v>
      </c>
      <c r="IK173">
        <v>0</v>
      </c>
    </row>
    <row r="175" spans="1:255" x14ac:dyDescent="0.2">
      <c r="A175" s="3">
        <v>51</v>
      </c>
      <c r="B175" s="3">
        <f>B20</f>
        <v>1</v>
      </c>
      <c r="C175" s="3">
        <f>A20</f>
        <v>3</v>
      </c>
      <c r="D175" s="3">
        <f>ROW(A20)</f>
        <v>20</v>
      </c>
      <c r="E175" s="3"/>
      <c r="F175" s="3" t="str">
        <f>IF(F20&lt;&gt;"",F20,"")</f>
        <v>Новая локальная смета</v>
      </c>
      <c r="G175" s="3" t="str">
        <f>IF(G20&lt;&gt;"",G20,"")</f>
        <v>Новая локальная смета</v>
      </c>
      <c r="H175" s="3">
        <v>0</v>
      </c>
      <c r="I175" s="3"/>
      <c r="J175" s="3"/>
      <c r="K175" s="3"/>
      <c r="L175" s="3"/>
      <c r="M175" s="3"/>
      <c r="N175" s="3"/>
      <c r="O175" s="3">
        <f t="shared" ref="O175:T175" si="202">ROUND(AB175,2)</f>
        <v>58075.45</v>
      </c>
      <c r="P175" s="3">
        <f t="shared" si="202"/>
        <v>52215.54</v>
      </c>
      <c r="Q175" s="3">
        <f t="shared" si="202"/>
        <v>519.41999999999996</v>
      </c>
      <c r="R175" s="3">
        <f t="shared" si="202"/>
        <v>104.84</v>
      </c>
      <c r="S175" s="3">
        <f t="shared" si="202"/>
        <v>5340.49</v>
      </c>
      <c r="T175" s="3">
        <f t="shared" si="202"/>
        <v>0</v>
      </c>
      <c r="U175" s="3">
        <f>AH175</f>
        <v>604.95366834999982</v>
      </c>
      <c r="V175" s="3">
        <f>AI175</f>
        <v>8.7776009999999989</v>
      </c>
      <c r="W175" s="3">
        <f>ROUND(AJ175,2)</f>
        <v>0</v>
      </c>
      <c r="X175" s="3">
        <f>ROUND(AK175,2)</f>
        <v>5404.23</v>
      </c>
      <c r="Y175" s="3">
        <f>ROUND(AL175,2)</f>
        <v>3171.93</v>
      </c>
      <c r="Z175" s="3"/>
      <c r="AA175" s="3"/>
      <c r="AB175" s="3">
        <f>ROUND(SUMIF(AA24:AA173,"=16784195",O24:O173),2)</f>
        <v>58075.45</v>
      </c>
      <c r="AC175" s="3">
        <f>ROUND(SUMIF(AA24:AA173,"=16784195",P24:P173),2)</f>
        <v>52215.54</v>
      </c>
      <c r="AD175" s="3">
        <f>ROUND(SUMIF(AA24:AA173,"=16784195",Q24:Q173),2)</f>
        <v>519.41999999999996</v>
      </c>
      <c r="AE175" s="3">
        <f>ROUND(SUMIF(AA24:AA173,"=16784195",R24:R173),2)</f>
        <v>104.84</v>
      </c>
      <c r="AF175" s="3">
        <f>ROUND(SUMIF(AA24:AA173,"=16784195",S24:S173),2)</f>
        <v>5340.49</v>
      </c>
      <c r="AG175" s="3">
        <f>ROUND(SUMIF(AA24:AA173,"=16784195",T24:T173),2)</f>
        <v>0</v>
      </c>
      <c r="AH175" s="3">
        <f>SUMIF(AA24:AA173,"=16784195",U24:U173)</f>
        <v>604.95366834999982</v>
      </c>
      <c r="AI175" s="3">
        <f>SUMIF(AA24:AA173,"=16784195",V24:V173)</f>
        <v>8.7776009999999989</v>
      </c>
      <c r="AJ175" s="3">
        <f>ROUND(SUMIF(AA24:AA173,"=16784195",W24:W173),2)</f>
        <v>0</v>
      </c>
      <c r="AK175" s="3">
        <f>ROUND(SUMIF(AA24:AA173,"=16784195",X24:X173),2)</f>
        <v>5404.23</v>
      </c>
      <c r="AL175" s="3">
        <f>ROUND(SUMIF(AA24:AA173,"=16784195",Y24:Y173),2)</f>
        <v>3171.93</v>
      </c>
      <c r="AM175" s="3"/>
      <c r="AN175" s="3"/>
      <c r="AO175" s="3">
        <f t="shared" ref="AO175:BC175" si="203">ROUND(BX175,2)</f>
        <v>0</v>
      </c>
      <c r="AP175" s="3">
        <f t="shared" si="203"/>
        <v>0</v>
      </c>
      <c r="AQ175" s="3">
        <f t="shared" si="203"/>
        <v>0</v>
      </c>
      <c r="AR175" s="3">
        <f t="shared" si="203"/>
        <v>66907.759999999995</v>
      </c>
      <c r="AS175" s="3">
        <f t="shared" si="203"/>
        <v>65948.350000000006</v>
      </c>
      <c r="AT175" s="3">
        <f t="shared" si="203"/>
        <v>959.41</v>
      </c>
      <c r="AU175" s="3">
        <f t="shared" si="203"/>
        <v>0</v>
      </c>
      <c r="AV175" s="3">
        <f t="shared" si="203"/>
        <v>52215.54</v>
      </c>
      <c r="AW175" s="3">
        <f t="shared" si="203"/>
        <v>52215.54</v>
      </c>
      <c r="AX175" s="3">
        <f t="shared" si="203"/>
        <v>0</v>
      </c>
      <c r="AY175" s="3">
        <f t="shared" si="203"/>
        <v>52215.54</v>
      </c>
      <c r="AZ175" s="3">
        <f t="shared" si="203"/>
        <v>0</v>
      </c>
      <c r="BA175" s="3">
        <f t="shared" si="203"/>
        <v>0</v>
      </c>
      <c r="BB175" s="3">
        <f t="shared" si="203"/>
        <v>0</v>
      </c>
      <c r="BC175" s="3">
        <f t="shared" si="203"/>
        <v>0</v>
      </c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>
        <f>ROUND(SUMIF(AA24:AA173,"=16784195",FQ24:FQ173),2)</f>
        <v>0</v>
      </c>
      <c r="BY175" s="3">
        <f>ROUND(SUMIF(AA24:AA173,"=16784195",FR24:FR173),2)</f>
        <v>0</v>
      </c>
      <c r="BZ175" s="3">
        <f>ROUND(SUMIF(AA24:AA173,"=16784195",GL24:GL173),2)</f>
        <v>0</v>
      </c>
      <c r="CA175" s="3">
        <f>ROUND(SUMIF(AA24:AA173,"=16784195",GM24:GM173),2)</f>
        <v>66907.759999999995</v>
      </c>
      <c r="CB175" s="3">
        <f>ROUND(SUMIF(AA24:AA173,"=16784195",GN24:GN173),2)</f>
        <v>65948.350000000006</v>
      </c>
      <c r="CC175" s="3">
        <f>ROUND(SUMIF(AA24:AA173,"=16784195",GO24:GO173),2)</f>
        <v>959.41</v>
      </c>
      <c r="CD175" s="3">
        <f>ROUND(SUMIF(AA24:AA173,"=16784195",GP24:GP173),2)</f>
        <v>0</v>
      </c>
      <c r="CE175" s="3">
        <f>AC175-BX175</f>
        <v>52215.54</v>
      </c>
      <c r="CF175" s="3">
        <f>AC175-BY175</f>
        <v>52215.54</v>
      </c>
      <c r="CG175" s="3">
        <f>BX175-BZ175</f>
        <v>0</v>
      </c>
      <c r="CH175" s="3">
        <f>AC175-BX175-BY175+BZ175</f>
        <v>52215.54</v>
      </c>
      <c r="CI175" s="3">
        <f>BY175-BZ175</f>
        <v>0</v>
      </c>
      <c r="CJ175" s="3">
        <f>ROUND(SUMIF(AA24:AA173,"=16784195",GX24:GX173),2)</f>
        <v>0</v>
      </c>
      <c r="CK175" s="3">
        <f>ROUND(SUMIF(AA24:AA173,"=16784195",GY24:GY173),2)</f>
        <v>0</v>
      </c>
      <c r="CL175" s="3">
        <f>ROUND(SUMIF(AA24:AA173,"=16784195",GZ24:GZ173),2)</f>
        <v>0</v>
      </c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4">
        <f t="shared" ref="DG175:DL175" si="204">ROUND(DT175,2)</f>
        <v>354840.99</v>
      </c>
      <c r="DH175" s="4">
        <f t="shared" si="204"/>
        <v>319037.12</v>
      </c>
      <c r="DI175" s="4">
        <f t="shared" si="204"/>
        <v>3173.64</v>
      </c>
      <c r="DJ175" s="4">
        <f t="shared" si="204"/>
        <v>640.4</v>
      </c>
      <c r="DK175" s="4">
        <f t="shared" si="204"/>
        <v>32630.23</v>
      </c>
      <c r="DL175" s="4">
        <f t="shared" si="204"/>
        <v>0</v>
      </c>
      <c r="DM175" s="4">
        <f>DZ175</f>
        <v>604.95366834999982</v>
      </c>
      <c r="DN175" s="4">
        <f>EA175</f>
        <v>8.7776009999999989</v>
      </c>
      <c r="DO175" s="4">
        <f>ROUND(EB175,2)</f>
        <v>0</v>
      </c>
      <c r="DP175" s="4">
        <f>ROUND(EC175,2)</f>
        <v>33019.68</v>
      </c>
      <c r="DQ175" s="4">
        <f>ROUND(ED175,2)</f>
        <v>19380.22</v>
      </c>
      <c r="DR175" s="4"/>
      <c r="DS175" s="4"/>
      <c r="DT175" s="4">
        <f>ROUND(SUMIF(AA24:AA173,"=16784196",O24:O173),2)</f>
        <v>354840.99</v>
      </c>
      <c r="DU175" s="4">
        <f>ROUND(SUMIF(AA24:AA173,"=16784196",P24:P173),2)</f>
        <v>319037.12</v>
      </c>
      <c r="DV175" s="4">
        <f>ROUND(SUMIF(AA24:AA173,"=16784196",Q24:Q173),2)</f>
        <v>3173.64</v>
      </c>
      <c r="DW175" s="4">
        <f>ROUND(SUMIF(AA24:AA173,"=16784196",R24:R173),2)</f>
        <v>640.4</v>
      </c>
      <c r="DX175" s="4">
        <f>ROUND(SUMIF(AA24:AA173,"=16784196",S24:S173),2)</f>
        <v>32630.23</v>
      </c>
      <c r="DY175" s="4">
        <f>ROUND(SUMIF(AA24:AA173,"=16784196",T24:T173),2)</f>
        <v>0</v>
      </c>
      <c r="DZ175" s="4">
        <f>SUMIF(AA24:AA173,"=16784196",U24:U173)</f>
        <v>604.95366834999982</v>
      </c>
      <c r="EA175" s="4">
        <f>SUMIF(AA24:AA173,"=16784196",V24:V173)</f>
        <v>8.7776009999999989</v>
      </c>
      <c r="EB175" s="4">
        <f>ROUND(SUMIF(AA24:AA173,"=16784196",W24:W173),2)</f>
        <v>0</v>
      </c>
      <c r="EC175" s="4">
        <f>ROUND(SUMIF(AA24:AA173,"=16784196",X24:X173),2)</f>
        <v>33019.68</v>
      </c>
      <c r="ED175" s="4">
        <f>ROUND(SUMIF(AA24:AA173,"=16784196",Y24:Y173),2)</f>
        <v>19380.22</v>
      </c>
      <c r="EE175" s="4"/>
      <c r="EF175" s="4"/>
      <c r="EG175" s="4">
        <f t="shared" ref="EG175:EU175" si="205">ROUND(FP175,2)</f>
        <v>0</v>
      </c>
      <c r="EH175" s="4">
        <f t="shared" si="205"/>
        <v>0</v>
      </c>
      <c r="EI175" s="4">
        <f t="shared" si="205"/>
        <v>0</v>
      </c>
      <c r="EJ175" s="4">
        <f t="shared" si="205"/>
        <v>408805.92</v>
      </c>
      <c r="EK175" s="4">
        <f t="shared" si="205"/>
        <v>402943.84</v>
      </c>
      <c r="EL175" s="4">
        <f t="shared" si="205"/>
        <v>5862.08</v>
      </c>
      <c r="EM175" s="4">
        <f t="shared" si="205"/>
        <v>0</v>
      </c>
      <c r="EN175" s="4">
        <f t="shared" si="205"/>
        <v>319037.12</v>
      </c>
      <c r="EO175" s="4">
        <f t="shared" si="205"/>
        <v>319037.12</v>
      </c>
      <c r="EP175" s="4">
        <f t="shared" si="205"/>
        <v>0</v>
      </c>
      <c r="EQ175" s="4">
        <f t="shared" si="205"/>
        <v>319037.12</v>
      </c>
      <c r="ER175" s="4">
        <f t="shared" si="205"/>
        <v>0</v>
      </c>
      <c r="ES175" s="4">
        <f t="shared" si="205"/>
        <v>0</v>
      </c>
      <c r="ET175" s="4">
        <f t="shared" si="205"/>
        <v>0</v>
      </c>
      <c r="EU175" s="4">
        <f t="shared" si="205"/>
        <v>0</v>
      </c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>
        <f>ROUND(SUMIF(AA24:AA173,"=16784196",FQ24:FQ173),2)</f>
        <v>0</v>
      </c>
      <c r="FQ175" s="4">
        <f>ROUND(SUMIF(AA24:AA173,"=16784196",FR24:FR173),2)</f>
        <v>0</v>
      </c>
      <c r="FR175" s="4">
        <f>ROUND(SUMIF(AA24:AA173,"=16784196",GL24:GL173),2)</f>
        <v>0</v>
      </c>
      <c r="FS175" s="4">
        <f>ROUND(SUMIF(AA24:AA173,"=16784196",GM24:GM173),2)</f>
        <v>408805.92</v>
      </c>
      <c r="FT175" s="4">
        <f>ROUND(SUMIF(AA24:AA173,"=16784196",GN24:GN173),2)</f>
        <v>402943.84</v>
      </c>
      <c r="FU175" s="4">
        <f>ROUND(SUMIF(AA24:AA173,"=16784196",GO24:GO173),2)</f>
        <v>5862.08</v>
      </c>
      <c r="FV175" s="4">
        <f>ROUND(SUMIF(AA24:AA173,"=16784196",GP24:GP173),2)</f>
        <v>0</v>
      </c>
      <c r="FW175" s="4">
        <f>DU175-FP175</f>
        <v>319037.12</v>
      </c>
      <c r="FX175" s="4">
        <f>DU175-FQ175</f>
        <v>319037.12</v>
      </c>
      <c r="FY175" s="4">
        <f>FP175-FR175</f>
        <v>0</v>
      </c>
      <c r="FZ175" s="4">
        <f>DU175-FP175-FQ175+FR175</f>
        <v>319037.12</v>
      </c>
      <c r="GA175" s="4">
        <f>FQ175-FR175</f>
        <v>0</v>
      </c>
      <c r="GB175" s="4">
        <f>ROUND(SUMIF(AA24:AA173,"=16784196",GX24:GX173),2)</f>
        <v>0</v>
      </c>
      <c r="GC175" s="4">
        <f>ROUND(SUMIF(AA24:AA173,"=16784196",GY24:GY173),2)</f>
        <v>0</v>
      </c>
      <c r="GD175" s="4">
        <f>ROUND(SUMIF(AA24:AA173,"=16784196",GZ24:GZ173),2)</f>
        <v>0</v>
      </c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>
        <v>0</v>
      </c>
    </row>
    <row r="177" spans="1:23" x14ac:dyDescent="0.2">
      <c r="A177" s="5">
        <v>50</v>
      </c>
      <c r="B177" s="5">
        <v>0</v>
      </c>
      <c r="C177" s="5">
        <v>0</v>
      </c>
      <c r="D177" s="5">
        <v>1</v>
      </c>
      <c r="E177" s="5">
        <v>201</v>
      </c>
      <c r="F177" s="5">
        <f>ROUND(Source!O175,O177)</f>
        <v>58075.45</v>
      </c>
      <c r="G177" s="5" t="s">
        <v>371</v>
      </c>
      <c r="H177" s="5" t="s">
        <v>372</v>
      </c>
      <c r="I177" s="5"/>
      <c r="J177" s="5"/>
      <c r="K177" s="5">
        <v>201</v>
      </c>
      <c r="L177" s="5">
        <v>1</v>
      </c>
      <c r="M177" s="5">
        <v>3</v>
      </c>
      <c r="N177" s="5" t="s">
        <v>6</v>
      </c>
      <c r="O177" s="5">
        <v>2</v>
      </c>
      <c r="P177" s="5">
        <f>ROUND(Source!DG175,O177)</f>
        <v>354840.99</v>
      </c>
      <c r="Q177" s="5"/>
      <c r="R177" s="5"/>
      <c r="S177" s="5"/>
      <c r="T177" s="5"/>
      <c r="U177" s="5"/>
      <c r="V177" s="5"/>
      <c r="W177" s="5"/>
    </row>
    <row r="178" spans="1:23" x14ac:dyDescent="0.2">
      <c r="A178" s="5">
        <v>50</v>
      </c>
      <c r="B178" s="5">
        <v>0</v>
      </c>
      <c r="C178" s="5">
        <v>0</v>
      </c>
      <c r="D178" s="5">
        <v>1</v>
      </c>
      <c r="E178" s="5">
        <v>202</v>
      </c>
      <c r="F178" s="5">
        <f>ROUND(Source!P175,O178)</f>
        <v>52215.54</v>
      </c>
      <c r="G178" s="5" t="s">
        <v>373</v>
      </c>
      <c r="H178" s="5" t="s">
        <v>374</v>
      </c>
      <c r="I178" s="5"/>
      <c r="J178" s="5"/>
      <c r="K178" s="5">
        <v>202</v>
      </c>
      <c r="L178" s="5">
        <v>2</v>
      </c>
      <c r="M178" s="5">
        <v>3</v>
      </c>
      <c r="N178" s="5" t="s">
        <v>6</v>
      </c>
      <c r="O178" s="5">
        <v>2</v>
      </c>
      <c r="P178" s="5">
        <f>ROUND(Source!DH175,O178)</f>
        <v>319037.12</v>
      </c>
      <c r="Q178" s="5"/>
      <c r="R178" s="5"/>
      <c r="S178" s="5"/>
      <c r="T178" s="5"/>
      <c r="U178" s="5"/>
      <c r="V178" s="5"/>
      <c r="W178" s="5"/>
    </row>
    <row r="179" spans="1:23" x14ac:dyDescent="0.2">
      <c r="A179" s="5">
        <v>50</v>
      </c>
      <c r="B179" s="5">
        <v>0</v>
      </c>
      <c r="C179" s="5">
        <v>0</v>
      </c>
      <c r="D179" s="5">
        <v>1</v>
      </c>
      <c r="E179" s="5">
        <v>222</v>
      </c>
      <c r="F179" s="5">
        <f>ROUND(Source!AO175,O179)</f>
        <v>0</v>
      </c>
      <c r="G179" s="5" t="s">
        <v>375</v>
      </c>
      <c r="H179" s="5" t="s">
        <v>376</v>
      </c>
      <c r="I179" s="5"/>
      <c r="J179" s="5"/>
      <c r="K179" s="5">
        <v>222</v>
      </c>
      <c r="L179" s="5">
        <v>3</v>
      </c>
      <c r="M179" s="5">
        <v>3</v>
      </c>
      <c r="N179" s="5" t="s">
        <v>6</v>
      </c>
      <c r="O179" s="5">
        <v>2</v>
      </c>
      <c r="P179" s="5">
        <f>ROUND(Source!EG175,O179)</f>
        <v>0</v>
      </c>
      <c r="Q179" s="5"/>
      <c r="R179" s="5"/>
      <c r="S179" s="5"/>
      <c r="T179" s="5"/>
      <c r="U179" s="5"/>
      <c r="V179" s="5"/>
      <c r="W179" s="5"/>
    </row>
    <row r="180" spans="1:23" x14ac:dyDescent="0.2">
      <c r="A180" s="5">
        <v>50</v>
      </c>
      <c r="B180" s="5">
        <v>0</v>
      </c>
      <c r="C180" s="5">
        <v>0</v>
      </c>
      <c r="D180" s="5">
        <v>1</v>
      </c>
      <c r="E180" s="5">
        <v>225</v>
      </c>
      <c r="F180" s="5">
        <f>ROUND(Source!AV175,O180)</f>
        <v>52215.54</v>
      </c>
      <c r="G180" s="5" t="s">
        <v>377</v>
      </c>
      <c r="H180" s="5" t="s">
        <v>378</v>
      </c>
      <c r="I180" s="5"/>
      <c r="J180" s="5"/>
      <c r="K180" s="5">
        <v>225</v>
      </c>
      <c r="L180" s="5">
        <v>4</v>
      </c>
      <c r="M180" s="5">
        <v>3</v>
      </c>
      <c r="N180" s="5" t="s">
        <v>6</v>
      </c>
      <c r="O180" s="5">
        <v>2</v>
      </c>
      <c r="P180" s="5">
        <f>ROUND(Source!EN175,O180)</f>
        <v>319037.12</v>
      </c>
      <c r="Q180" s="5"/>
      <c r="R180" s="5"/>
      <c r="S180" s="5"/>
      <c r="T180" s="5"/>
      <c r="U180" s="5"/>
      <c r="V180" s="5"/>
      <c r="W180" s="5"/>
    </row>
    <row r="181" spans="1:23" x14ac:dyDescent="0.2">
      <c r="A181" s="5">
        <v>50</v>
      </c>
      <c r="B181" s="5">
        <v>0</v>
      </c>
      <c r="C181" s="5">
        <v>0</v>
      </c>
      <c r="D181" s="5">
        <v>1</v>
      </c>
      <c r="E181" s="5">
        <v>226</v>
      </c>
      <c r="F181" s="5">
        <f>ROUND(Source!AW175,O181)</f>
        <v>52215.54</v>
      </c>
      <c r="G181" s="5" t="s">
        <v>379</v>
      </c>
      <c r="H181" s="5" t="s">
        <v>380</v>
      </c>
      <c r="I181" s="5"/>
      <c r="J181" s="5"/>
      <c r="K181" s="5">
        <v>226</v>
      </c>
      <c r="L181" s="5">
        <v>5</v>
      </c>
      <c r="M181" s="5">
        <v>3</v>
      </c>
      <c r="N181" s="5" t="s">
        <v>6</v>
      </c>
      <c r="O181" s="5">
        <v>2</v>
      </c>
      <c r="P181" s="5">
        <f>ROUND(Source!EO175,O181)</f>
        <v>319037.12</v>
      </c>
      <c r="Q181" s="5"/>
      <c r="R181" s="5"/>
      <c r="S181" s="5"/>
      <c r="T181" s="5"/>
      <c r="U181" s="5"/>
      <c r="V181" s="5"/>
      <c r="W181" s="5"/>
    </row>
    <row r="182" spans="1:23" x14ac:dyDescent="0.2">
      <c r="A182" s="5">
        <v>50</v>
      </c>
      <c r="B182" s="5">
        <v>0</v>
      </c>
      <c r="C182" s="5">
        <v>0</v>
      </c>
      <c r="D182" s="5">
        <v>1</v>
      </c>
      <c r="E182" s="5">
        <v>227</v>
      </c>
      <c r="F182" s="5">
        <f>ROUND(Source!AX175,O182)</f>
        <v>0</v>
      </c>
      <c r="G182" s="5" t="s">
        <v>381</v>
      </c>
      <c r="H182" s="5" t="s">
        <v>382</v>
      </c>
      <c r="I182" s="5"/>
      <c r="J182" s="5"/>
      <c r="K182" s="5">
        <v>227</v>
      </c>
      <c r="L182" s="5">
        <v>6</v>
      </c>
      <c r="M182" s="5">
        <v>3</v>
      </c>
      <c r="N182" s="5" t="s">
        <v>6</v>
      </c>
      <c r="O182" s="5">
        <v>2</v>
      </c>
      <c r="P182" s="5">
        <f>ROUND(Source!EP175,O182)</f>
        <v>0</v>
      </c>
      <c r="Q182" s="5"/>
      <c r="R182" s="5"/>
      <c r="S182" s="5"/>
      <c r="T182" s="5"/>
      <c r="U182" s="5"/>
      <c r="V182" s="5"/>
      <c r="W182" s="5"/>
    </row>
    <row r="183" spans="1:23" x14ac:dyDescent="0.2">
      <c r="A183" s="5">
        <v>50</v>
      </c>
      <c r="B183" s="5">
        <v>0</v>
      </c>
      <c r="C183" s="5">
        <v>0</v>
      </c>
      <c r="D183" s="5">
        <v>1</v>
      </c>
      <c r="E183" s="5">
        <v>228</v>
      </c>
      <c r="F183" s="5">
        <f>ROUND(Source!AY175,O183)</f>
        <v>52215.54</v>
      </c>
      <c r="G183" s="5" t="s">
        <v>383</v>
      </c>
      <c r="H183" s="5" t="s">
        <v>384</v>
      </c>
      <c r="I183" s="5"/>
      <c r="J183" s="5"/>
      <c r="K183" s="5">
        <v>228</v>
      </c>
      <c r="L183" s="5">
        <v>7</v>
      </c>
      <c r="M183" s="5">
        <v>3</v>
      </c>
      <c r="N183" s="5" t="s">
        <v>6</v>
      </c>
      <c r="O183" s="5">
        <v>2</v>
      </c>
      <c r="P183" s="5">
        <f>ROUND(Source!EQ175,O183)</f>
        <v>319037.12</v>
      </c>
      <c r="Q183" s="5"/>
      <c r="R183" s="5"/>
      <c r="S183" s="5"/>
      <c r="T183" s="5"/>
      <c r="U183" s="5"/>
      <c r="V183" s="5"/>
      <c r="W183" s="5"/>
    </row>
    <row r="184" spans="1:23" x14ac:dyDescent="0.2">
      <c r="A184" s="5">
        <v>50</v>
      </c>
      <c r="B184" s="5">
        <v>0</v>
      </c>
      <c r="C184" s="5">
        <v>0</v>
      </c>
      <c r="D184" s="5">
        <v>1</v>
      </c>
      <c r="E184" s="5">
        <v>216</v>
      </c>
      <c r="F184" s="5">
        <f>ROUND(Source!AP175,O184)</f>
        <v>0</v>
      </c>
      <c r="G184" s="5" t="s">
        <v>385</v>
      </c>
      <c r="H184" s="5" t="s">
        <v>386</v>
      </c>
      <c r="I184" s="5"/>
      <c r="J184" s="5"/>
      <c r="K184" s="5">
        <v>216</v>
      </c>
      <c r="L184" s="5">
        <v>8</v>
      </c>
      <c r="M184" s="5">
        <v>3</v>
      </c>
      <c r="N184" s="5" t="s">
        <v>6</v>
      </c>
      <c r="O184" s="5">
        <v>2</v>
      </c>
      <c r="P184" s="5">
        <f>ROUND(Source!EH175,O184)</f>
        <v>0</v>
      </c>
      <c r="Q184" s="5"/>
      <c r="R184" s="5"/>
      <c r="S184" s="5"/>
      <c r="T184" s="5"/>
      <c r="U184" s="5"/>
      <c r="V184" s="5"/>
      <c r="W184" s="5"/>
    </row>
    <row r="185" spans="1:23" x14ac:dyDescent="0.2">
      <c r="A185" s="5">
        <v>50</v>
      </c>
      <c r="B185" s="5">
        <v>0</v>
      </c>
      <c r="C185" s="5">
        <v>0</v>
      </c>
      <c r="D185" s="5">
        <v>1</v>
      </c>
      <c r="E185" s="5">
        <v>223</v>
      </c>
      <c r="F185" s="5">
        <f>ROUND(Source!AQ175,O185)</f>
        <v>0</v>
      </c>
      <c r="G185" s="5" t="s">
        <v>387</v>
      </c>
      <c r="H185" s="5" t="s">
        <v>388</v>
      </c>
      <c r="I185" s="5"/>
      <c r="J185" s="5"/>
      <c r="K185" s="5">
        <v>223</v>
      </c>
      <c r="L185" s="5">
        <v>9</v>
      </c>
      <c r="M185" s="5">
        <v>3</v>
      </c>
      <c r="N185" s="5" t="s">
        <v>6</v>
      </c>
      <c r="O185" s="5">
        <v>2</v>
      </c>
      <c r="P185" s="5">
        <f>ROUND(Source!EI175,O185)</f>
        <v>0</v>
      </c>
      <c r="Q185" s="5"/>
      <c r="R185" s="5"/>
      <c r="S185" s="5"/>
      <c r="T185" s="5"/>
      <c r="U185" s="5"/>
      <c r="V185" s="5"/>
      <c r="W185" s="5"/>
    </row>
    <row r="186" spans="1:23" x14ac:dyDescent="0.2">
      <c r="A186" s="5">
        <v>50</v>
      </c>
      <c r="B186" s="5">
        <v>0</v>
      </c>
      <c r="C186" s="5">
        <v>0</v>
      </c>
      <c r="D186" s="5">
        <v>1</v>
      </c>
      <c r="E186" s="5">
        <v>229</v>
      </c>
      <c r="F186" s="5">
        <f>ROUND(Source!AZ175,O186)</f>
        <v>0</v>
      </c>
      <c r="G186" s="5" t="s">
        <v>389</v>
      </c>
      <c r="H186" s="5" t="s">
        <v>390</v>
      </c>
      <c r="I186" s="5"/>
      <c r="J186" s="5"/>
      <c r="K186" s="5">
        <v>229</v>
      </c>
      <c r="L186" s="5">
        <v>10</v>
      </c>
      <c r="M186" s="5">
        <v>3</v>
      </c>
      <c r="N186" s="5" t="s">
        <v>6</v>
      </c>
      <c r="O186" s="5">
        <v>2</v>
      </c>
      <c r="P186" s="5">
        <f>ROUND(Source!ER175,O186)</f>
        <v>0</v>
      </c>
      <c r="Q186" s="5"/>
      <c r="R186" s="5"/>
      <c r="S186" s="5"/>
      <c r="T186" s="5"/>
      <c r="U186" s="5"/>
      <c r="V186" s="5"/>
      <c r="W186" s="5"/>
    </row>
    <row r="187" spans="1:23" x14ac:dyDescent="0.2">
      <c r="A187" s="5">
        <v>50</v>
      </c>
      <c r="B187" s="5">
        <v>0</v>
      </c>
      <c r="C187" s="5">
        <v>0</v>
      </c>
      <c r="D187" s="5">
        <v>1</v>
      </c>
      <c r="E187" s="5">
        <v>203</v>
      </c>
      <c r="F187" s="5">
        <f>ROUND(Source!Q175,O187)</f>
        <v>519.41999999999996</v>
      </c>
      <c r="G187" s="5" t="s">
        <v>391</v>
      </c>
      <c r="H187" s="5" t="s">
        <v>392</v>
      </c>
      <c r="I187" s="5"/>
      <c r="J187" s="5"/>
      <c r="K187" s="5">
        <v>203</v>
      </c>
      <c r="L187" s="5">
        <v>11</v>
      </c>
      <c r="M187" s="5">
        <v>3</v>
      </c>
      <c r="N187" s="5" t="s">
        <v>6</v>
      </c>
      <c r="O187" s="5">
        <v>2</v>
      </c>
      <c r="P187" s="5">
        <f>ROUND(Source!DI175,O187)</f>
        <v>3173.64</v>
      </c>
      <c r="Q187" s="5"/>
      <c r="R187" s="5"/>
      <c r="S187" s="5"/>
      <c r="T187" s="5"/>
      <c r="U187" s="5"/>
      <c r="V187" s="5"/>
      <c r="W187" s="5"/>
    </row>
    <row r="188" spans="1:23" x14ac:dyDescent="0.2">
      <c r="A188" s="5">
        <v>50</v>
      </c>
      <c r="B188" s="5">
        <v>0</v>
      </c>
      <c r="C188" s="5">
        <v>0</v>
      </c>
      <c r="D188" s="5">
        <v>1</v>
      </c>
      <c r="E188" s="5">
        <v>231</v>
      </c>
      <c r="F188" s="5">
        <f>ROUND(Source!BB175,O188)</f>
        <v>0</v>
      </c>
      <c r="G188" s="5" t="s">
        <v>393</v>
      </c>
      <c r="H188" s="5" t="s">
        <v>394</v>
      </c>
      <c r="I188" s="5"/>
      <c r="J188" s="5"/>
      <c r="K188" s="5">
        <v>231</v>
      </c>
      <c r="L188" s="5">
        <v>12</v>
      </c>
      <c r="M188" s="5">
        <v>3</v>
      </c>
      <c r="N188" s="5" t="s">
        <v>6</v>
      </c>
      <c r="O188" s="5">
        <v>2</v>
      </c>
      <c r="P188" s="5">
        <f>ROUND(Source!ET175,O188)</f>
        <v>0</v>
      </c>
      <c r="Q188" s="5"/>
      <c r="R188" s="5"/>
      <c r="S188" s="5"/>
      <c r="T188" s="5"/>
      <c r="U188" s="5"/>
      <c r="V188" s="5"/>
      <c r="W188" s="5"/>
    </row>
    <row r="189" spans="1:23" x14ac:dyDescent="0.2">
      <c r="A189" s="5">
        <v>50</v>
      </c>
      <c r="B189" s="5">
        <v>0</v>
      </c>
      <c r="C189" s="5">
        <v>0</v>
      </c>
      <c r="D189" s="5">
        <v>1</v>
      </c>
      <c r="E189" s="5">
        <v>204</v>
      </c>
      <c r="F189" s="5">
        <f>ROUND(Source!R175,O189)</f>
        <v>104.84</v>
      </c>
      <c r="G189" s="5" t="s">
        <v>395</v>
      </c>
      <c r="H189" s="5" t="s">
        <v>396</v>
      </c>
      <c r="I189" s="5"/>
      <c r="J189" s="5"/>
      <c r="K189" s="5">
        <v>204</v>
      </c>
      <c r="L189" s="5">
        <v>13</v>
      </c>
      <c r="M189" s="5">
        <v>3</v>
      </c>
      <c r="N189" s="5" t="s">
        <v>6</v>
      </c>
      <c r="O189" s="5">
        <v>2</v>
      </c>
      <c r="P189" s="5">
        <f>ROUND(Source!DJ175,O189)</f>
        <v>640.4</v>
      </c>
      <c r="Q189" s="5"/>
      <c r="R189" s="5"/>
      <c r="S189" s="5"/>
      <c r="T189" s="5"/>
      <c r="U189" s="5"/>
      <c r="V189" s="5"/>
      <c r="W189" s="5"/>
    </row>
    <row r="190" spans="1:23" x14ac:dyDescent="0.2">
      <c r="A190" s="5">
        <v>50</v>
      </c>
      <c r="B190" s="5">
        <v>0</v>
      </c>
      <c r="C190" s="5">
        <v>0</v>
      </c>
      <c r="D190" s="5">
        <v>1</v>
      </c>
      <c r="E190" s="5">
        <v>205</v>
      </c>
      <c r="F190" s="5">
        <f>ROUND(Source!S175,O190)</f>
        <v>5340.49</v>
      </c>
      <c r="G190" s="5" t="s">
        <v>397</v>
      </c>
      <c r="H190" s="5" t="s">
        <v>398</v>
      </c>
      <c r="I190" s="5"/>
      <c r="J190" s="5"/>
      <c r="K190" s="5">
        <v>205</v>
      </c>
      <c r="L190" s="5">
        <v>14</v>
      </c>
      <c r="M190" s="5">
        <v>3</v>
      </c>
      <c r="N190" s="5" t="s">
        <v>6</v>
      </c>
      <c r="O190" s="5">
        <v>2</v>
      </c>
      <c r="P190" s="5">
        <f>ROUND(Source!DK175,O190)</f>
        <v>32630.23</v>
      </c>
      <c r="Q190" s="5"/>
      <c r="R190" s="5"/>
      <c r="S190" s="5"/>
      <c r="T190" s="5"/>
      <c r="U190" s="5"/>
      <c r="V190" s="5"/>
      <c r="W190" s="5"/>
    </row>
    <row r="191" spans="1:23" x14ac:dyDescent="0.2">
      <c r="A191" s="5">
        <v>50</v>
      </c>
      <c r="B191" s="5">
        <v>0</v>
      </c>
      <c r="C191" s="5">
        <v>0</v>
      </c>
      <c r="D191" s="5">
        <v>1</v>
      </c>
      <c r="E191" s="5">
        <v>232</v>
      </c>
      <c r="F191" s="5">
        <f>ROUND(Source!BC175,O191)</f>
        <v>0</v>
      </c>
      <c r="G191" s="5" t="s">
        <v>399</v>
      </c>
      <c r="H191" s="5" t="s">
        <v>400</v>
      </c>
      <c r="I191" s="5"/>
      <c r="J191" s="5"/>
      <c r="K191" s="5">
        <v>232</v>
      </c>
      <c r="L191" s="5">
        <v>15</v>
      </c>
      <c r="M191" s="5">
        <v>3</v>
      </c>
      <c r="N191" s="5" t="s">
        <v>6</v>
      </c>
      <c r="O191" s="5">
        <v>2</v>
      </c>
      <c r="P191" s="5">
        <f>ROUND(Source!EU175,O191)</f>
        <v>0</v>
      </c>
      <c r="Q191" s="5"/>
      <c r="R191" s="5"/>
      <c r="S191" s="5"/>
      <c r="T191" s="5"/>
      <c r="U191" s="5"/>
      <c r="V191" s="5"/>
      <c r="W191" s="5"/>
    </row>
    <row r="192" spans="1:23" x14ac:dyDescent="0.2">
      <c r="A192" s="5">
        <v>50</v>
      </c>
      <c r="B192" s="5">
        <v>0</v>
      </c>
      <c r="C192" s="5">
        <v>0</v>
      </c>
      <c r="D192" s="5">
        <v>1</v>
      </c>
      <c r="E192" s="5">
        <v>214</v>
      </c>
      <c r="F192" s="5">
        <f>ROUND(Source!AS175,O192)</f>
        <v>65948.350000000006</v>
      </c>
      <c r="G192" s="5" t="s">
        <v>401</v>
      </c>
      <c r="H192" s="5" t="s">
        <v>402</v>
      </c>
      <c r="I192" s="5"/>
      <c r="J192" s="5"/>
      <c r="K192" s="5">
        <v>214</v>
      </c>
      <c r="L192" s="5">
        <v>16</v>
      </c>
      <c r="M192" s="5">
        <v>3</v>
      </c>
      <c r="N192" s="5" t="s">
        <v>6</v>
      </c>
      <c r="O192" s="5">
        <v>2</v>
      </c>
      <c r="P192" s="5">
        <f>ROUND(Source!EK175,O192)</f>
        <v>402943.84</v>
      </c>
      <c r="Q192" s="5"/>
      <c r="R192" s="5"/>
      <c r="S192" s="5"/>
      <c r="T192" s="5"/>
      <c r="U192" s="5"/>
      <c r="V192" s="5"/>
      <c r="W192" s="5"/>
    </row>
    <row r="193" spans="1:206" x14ac:dyDescent="0.2">
      <c r="A193" s="5">
        <v>50</v>
      </c>
      <c r="B193" s="5">
        <v>0</v>
      </c>
      <c r="C193" s="5">
        <v>0</v>
      </c>
      <c r="D193" s="5">
        <v>1</v>
      </c>
      <c r="E193" s="5">
        <v>215</v>
      </c>
      <c r="F193" s="5">
        <f>ROUND(Source!AT175,O193)</f>
        <v>959.41</v>
      </c>
      <c r="G193" s="5" t="s">
        <v>403</v>
      </c>
      <c r="H193" s="5" t="s">
        <v>404</v>
      </c>
      <c r="I193" s="5"/>
      <c r="J193" s="5"/>
      <c r="K193" s="5">
        <v>215</v>
      </c>
      <c r="L193" s="5">
        <v>17</v>
      </c>
      <c r="M193" s="5">
        <v>3</v>
      </c>
      <c r="N193" s="5" t="s">
        <v>6</v>
      </c>
      <c r="O193" s="5">
        <v>2</v>
      </c>
      <c r="P193" s="5">
        <f>ROUND(Source!EL175,O193)</f>
        <v>5862.08</v>
      </c>
      <c r="Q193" s="5"/>
      <c r="R193" s="5"/>
      <c r="S193" s="5"/>
      <c r="T193" s="5"/>
      <c r="U193" s="5"/>
      <c r="V193" s="5"/>
      <c r="W193" s="5"/>
    </row>
    <row r="194" spans="1:206" x14ac:dyDescent="0.2">
      <c r="A194" s="5">
        <v>50</v>
      </c>
      <c r="B194" s="5">
        <v>0</v>
      </c>
      <c r="C194" s="5">
        <v>0</v>
      </c>
      <c r="D194" s="5">
        <v>1</v>
      </c>
      <c r="E194" s="5">
        <v>217</v>
      </c>
      <c r="F194" s="5">
        <f>ROUND(Source!AU175,O194)</f>
        <v>0</v>
      </c>
      <c r="G194" s="5" t="s">
        <v>405</v>
      </c>
      <c r="H194" s="5" t="s">
        <v>406</v>
      </c>
      <c r="I194" s="5"/>
      <c r="J194" s="5"/>
      <c r="K194" s="5">
        <v>217</v>
      </c>
      <c r="L194" s="5">
        <v>18</v>
      </c>
      <c r="M194" s="5">
        <v>3</v>
      </c>
      <c r="N194" s="5" t="s">
        <v>6</v>
      </c>
      <c r="O194" s="5">
        <v>2</v>
      </c>
      <c r="P194" s="5">
        <f>ROUND(Source!EM175,O194)</f>
        <v>0</v>
      </c>
      <c r="Q194" s="5"/>
      <c r="R194" s="5"/>
      <c r="S194" s="5"/>
      <c r="T194" s="5"/>
      <c r="U194" s="5"/>
      <c r="V194" s="5"/>
      <c r="W194" s="5"/>
    </row>
    <row r="195" spans="1:206" x14ac:dyDescent="0.2">
      <c r="A195" s="5">
        <v>50</v>
      </c>
      <c r="B195" s="5">
        <v>0</v>
      </c>
      <c r="C195" s="5">
        <v>0</v>
      </c>
      <c r="D195" s="5">
        <v>1</v>
      </c>
      <c r="E195" s="5">
        <v>230</v>
      </c>
      <c r="F195" s="5">
        <f>ROUND(Source!BA175,O195)</f>
        <v>0</v>
      </c>
      <c r="G195" s="5" t="s">
        <v>407</v>
      </c>
      <c r="H195" s="5" t="s">
        <v>408</v>
      </c>
      <c r="I195" s="5"/>
      <c r="J195" s="5"/>
      <c r="K195" s="5">
        <v>230</v>
      </c>
      <c r="L195" s="5">
        <v>19</v>
      </c>
      <c r="M195" s="5">
        <v>3</v>
      </c>
      <c r="N195" s="5" t="s">
        <v>6</v>
      </c>
      <c r="O195" s="5">
        <v>2</v>
      </c>
      <c r="P195" s="5">
        <f>ROUND(Source!ES175,O195)</f>
        <v>0</v>
      </c>
      <c r="Q195" s="5"/>
      <c r="R195" s="5"/>
      <c r="S195" s="5"/>
      <c r="T195" s="5"/>
      <c r="U195" s="5"/>
      <c r="V195" s="5"/>
      <c r="W195" s="5"/>
    </row>
    <row r="196" spans="1:206" x14ac:dyDescent="0.2">
      <c r="A196" s="5">
        <v>50</v>
      </c>
      <c r="B196" s="5">
        <v>0</v>
      </c>
      <c r="C196" s="5">
        <v>0</v>
      </c>
      <c r="D196" s="5">
        <v>1</v>
      </c>
      <c r="E196" s="5">
        <v>206</v>
      </c>
      <c r="F196" s="5">
        <f>ROUND(Source!T175,O196)</f>
        <v>0</v>
      </c>
      <c r="G196" s="5" t="s">
        <v>409</v>
      </c>
      <c r="H196" s="5" t="s">
        <v>410</v>
      </c>
      <c r="I196" s="5"/>
      <c r="J196" s="5"/>
      <c r="K196" s="5">
        <v>206</v>
      </c>
      <c r="L196" s="5">
        <v>20</v>
      </c>
      <c r="M196" s="5">
        <v>3</v>
      </c>
      <c r="N196" s="5" t="s">
        <v>6</v>
      </c>
      <c r="O196" s="5">
        <v>2</v>
      </c>
      <c r="P196" s="5">
        <f>ROUND(Source!DL175,O196)</f>
        <v>0</v>
      </c>
      <c r="Q196" s="5"/>
      <c r="R196" s="5"/>
      <c r="S196" s="5"/>
      <c r="T196" s="5"/>
      <c r="U196" s="5"/>
      <c r="V196" s="5"/>
      <c r="W196" s="5"/>
    </row>
    <row r="197" spans="1:206" x14ac:dyDescent="0.2">
      <c r="A197" s="5">
        <v>50</v>
      </c>
      <c r="B197" s="5">
        <v>0</v>
      </c>
      <c r="C197" s="5">
        <v>0</v>
      </c>
      <c r="D197" s="5">
        <v>1</v>
      </c>
      <c r="E197" s="5">
        <v>207</v>
      </c>
      <c r="F197" s="5">
        <f>Source!U175</f>
        <v>604.95366834999982</v>
      </c>
      <c r="G197" s="5" t="s">
        <v>411</v>
      </c>
      <c r="H197" s="5" t="s">
        <v>412</v>
      </c>
      <c r="I197" s="5"/>
      <c r="J197" s="5"/>
      <c r="K197" s="5">
        <v>207</v>
      </c>
      <c r="L197" s="5">
        <v>21</v>
      </c>
      <c r="M197" s="5">
        <v>3</v>
      </c>
      <c r="N197" s="5" t="s">
        <v>6</v>
      </c>
      <c r="O197" s="5">
        <v>-1</v>
      </c>
      <c r="P197" s="5">
        <f>Source!DM175</f>
        <v>604.95366834999982</v>
      </c>
      <c r="Q197" s="5"/>
      <c r="R197" s="5"/>
      <c r="S197" s="5"/>
      <c r="T197" s="5"/>
      <c r="U197" s="5"/>
      <c r="V197" s="5"/>
      <c r="W197" s="5"/>
    </row>
    <row r="198" spans="1:206" x14ac:dyDescent="0.2">
      <c r="A198" s="5">
        <v>50</v>
      </c>
      <c r="B198" s="5">
        <v>0</v>
      </c>
      <c r="C198" s="5">
        <v>0</v>
      </c>
      <c r="D198" s="5">
        <v>1</v>
      </c>
      <c r="E198" s="5">
        <v>208</v>
      </c>
      <c r="F198" s="5">
        <f>Source!V175</f>
        <v>8.7776009999999989</v>
      </c>
      <c r="G198" s="5" t="s">
        <v>413</v>
      </c>
      <c r="H198" s="5" t="s">
        <v>414</v>
      </c>
      <c r="I198" s="5"/>
      <c r="J198" s="5"/>
      <c r="K198" s="5">
        <v>208</v>
      </c>
      <c r="L198" s="5">
        <v>22</v>
      </c>
      <c r="M198" s="5">
        <v>3</v>
      </c>
      <c r="N198" s="5" t="s">
        <v>6</v>
      </c>
      <c r="O198" s="5">
        <v>-1</v>
      </c>
      <c r="P198" s="5">
        <f>Source!DN175</f>
        <v>8.7776009999999989</v>
      </c>
      <c r="Q198" s="5"/>
      <c r="R198" s="5"/>
      <c r="S198" s="5"/>
      <c r="T198" s="5"/>
      <c r="U198" s="5"/>
      <c r="V198" s="5"/>
      <c r="W198" s="5"/>
    </row>
    <row r="199" spans="1:206" x14ac:dyDescent="0.2">
      <c r="A199" s="5">
        <v>50</v>
      </c>
      <c r="B199" s="5">
        <v>0</v>
      </c>
      <c r="C199" s="5">
        <v>0</v>
      </c>
      <c r="D199" s="5">
        <v>1</v>
      </c>
      <c r="E199" s="5">
        <v>209</v>
      </c>
      <c r="F199" s="5">
        <f>ROUND(Source!W175,O199)</f>
        <v>0</v>
      </c>
      <c r="G199" s="5" t="s">
        <v>415</v>
      </c>
      <c r="H199" s="5" t="s">
        <v>416</v>
      </c>
      <c r="I199" s="5"/>
      <c r="J199" s="5"/>
      <c r="K199" s="5">
        <v>209</v>
      </c>
      <c r="L199" s="5">
        <v>23</v>
      </c>
      <c r="M199" s="5">
        <v>3</v>
      </c>
      <c r="N199" s="5" t="s">
        <v>6</v>
      </c>
      <c r="O199" s="5">
        <v>2</v>
      </c>
      <c r="P199" s="5">
        <f>ROUND(Source!DO175,O199)</f>
        <v>0</v>
      </c>
      <c r="Q199" s="5"/>
      <c r="R199" s="5"/>
      <c r="S199" s="5"/>
      <c r="T199" s="5"/>
      <c r="U199" s="5"/>
      <c r="V199" s="5"/>
      <c r="W199" s="5"/>
    </row>
    <row r="200" spans="1:206" x14ac:dyDescent="0.2">
      <c r="A200" s="5">
        <v>50</v>
      </c>
      <c r="B200" s="5">
        <v>0</v>
      </c>
      <c r="C200" s="5">
        <v>0</v>
      </c>
      <c r="D200" s="5">
        <v>1</v>
      </c>
      <c r="E200" s="5">
        <v>210</v>
      </c>
      <c r="F200" s="5">
        <f>ROUND(Source!X175,O200)</f>
        <v>5404.23</v>
      </c>
      <c r="G200" s="5" t="s">
        <v>417</v>
      </c>
      <c r="H200" s="5" t="s">
        <v>418</v>
      </c>
      <c r="I200" s="5"/>
      <c r="J200" s="5"/>
      <c r="K200" s="5">
        <v>210</v>
      </c>
      <c r="L200" s="5">
        <v>24</v>
      </c>
      <c r="M200" s="5">
        <v>3</v>
      </c>
      <c r="N200" s="5" t="s">
        <v>6</v>
      </c>
      <c r="O200" s="5">
        <v>2</v>
      </c>
      <c r="P200" s="5">
        <f>ROUND(Source!DP175,O200)</f>
        <v>33019.68</v>
      </c>
      <c r="Q200" s="5"/>
      <c r="R200" s="5"/>
      <c r="S200" s="5"/>
      <c r="T200" s="5"/>
      <c r="U200" s="5"/>
      <c r="V200" s="5"/>
      <c r="W200" s="5"/>
    </row>
    <row r="201" spans="1:206" x14ac:dyDescent="0.2">
      <c r="A201" s="5">
        <v>50</v>
      </c>
      <c r="B201" s="5">
        <v>0</v>
      </c>
      <c r="C201" s="5">
        <v>0</v>
      </c>
      <c r="D201" s="5">
        <v>1</v>
      </c>
      <c r="E201" s="5">
        <v>211</v>
      </c>
      <c r="F201" s="5">
        <f>ROUND(Source!Y175,O201)</f>
        <v>3171.93</v>
      </c>
      <c r="G201" s="5" t="s">
        <v>419</v>
      </c>
      <c r="H201" s="5" t="s">
        <v>420</v>
      </c>
      <c r="I201" s="5"/>
      <c r="J201" s="5"/>
      <c r="K201" s="5">
        <v>211</v>
      </c>
      <c r="L201" s="5">
        <v>25</v>
      </c>
      <c r="M201" s="5">
        <v>3</v>
      </c>
      <c r="N201" s="5" t="s">
        <v>6</v>
      </c>
      <c r="O201" s="5">
        <v>2</v>
      </c>
      <c r="P201" s="5">
        <f>ROUND(Source!DQ175,O201)</f>
        <v>19380.22</v>
      </c>
      <c r="Q201" s="5"/>
      <c r="R201" s="5"/>
      <c r="S201" s="5"/>
      <c r="T201" s="5"/>
      <c r="U201" s="5"/>
      <c r="V201" s="5"/>
      <c r="W201" s="5"/>
    </row>
    <row r="202" spans="1:206" x14ac:dyDescent="0.2">
      <c r="A202" s="5">
        <v>50</v>
      </c>
      <c r="B202" s="5">
        <v>0</v>
      </c>
      <c r="C202" s="5">
        <v>0</v>
      </c>
      <c r="D202" s="5">
        <v>1</v>
      </c>
      <c r="E202" s="5">
        <v>224</v>
      </c>
      <c r="F202" s="5">
        <f>ROUND(Source!AR175,O202)</f>
        <v>66907.759999999995</v>
      </c>
      <c r="G202" s="5" t="s">
        <v>421</v>
      </c>
      <c r="H202" s="5" t="s">
        <v>422</v>
      </c>
      <c r="I202" s="5"/>
      <c r="J202" s="5"/>
      <c r="K202" s="5">
        <v>224</v>
      </c>
      <c r="L202" s="5">
        <v>26</v>
      </c>
      <c r="M202" s="5">
        <v>3</v>
      </c>
      <c r="N202" s="5" t="s">
        <v>6</v>
      </c>
      <c r="O202" s="5">
        <v>2</v>
      </c>
      <c r="P202" s="5">
        <f>ROUND(Source!EJ175,O202)</f>
        <v>408805.92</v>
      </c>
      <c r="Q202" s="5"/>
      <c r="R202" s="5"/>
      <c r="S202" s="5"/>
      <c r="T202" s="5"/>
      <c r="U202" s="5"/>
      <c r="V202" s="5"/>
      <c r="W202" s="5"/>
    </row>
    <row r="203" spans="1:206" x14ac:dyDescent="0.2">
      <c r="A203" s="5">
        <v>50</v>
      </c>
      <c r="B203" s="5">
        <v>1</v>
      </c>
      <c r="C203" s="5">
        <v>0</v>
      </c>
      <c r="D203" s="5">
        <v>2</v>
      </c>
      <c r="E203" s="5">
        <v>0</v>
      </c>
      <c r="F203" s="5">
        <f>ROUND(F202,O203)</f>
        <v>66907.759999999995</v>
      </c>
      <c r="G203" s="5" t="s">
        <v>423</v>
      </c>
      <c r="H203" s="5" t="s">
        <v>422</v>
      </c>
      <c r="I203" s="5"/>
      <c r="J203" s="5"/>
      <c r="K203" s="5">
        <v>212</v>
      </c>
      <c r="L203" s="5">
        <v>27</v>
      </c>
      <c r="M203" s="5">
        <v>0</v>
      </c>
      <c r="N203" s="5" t="s">
        <v>6</v>
      </c>
      <c r="O203" s="5">
        <v>2</v>
      </c>
      <c r="P203" s="5">
        <f>ROUND(P202,O203)</f>
        <v>408805.92</v>
      </c>
      <c r="Q203" s="5"/>
      <c r="R203" s="5"/>
      <c r="S203" s="5"/>
      <c r="T203" s="5"/>
      <c r="U203" s="5"/>
      <c r="V203" s="5"/>
      <c r="W203" s="5"/>
    </row>
    <row r="204" spans="1:206" x14ac:dyDescent="0.2">
      <c r="A204" s="5">
        <v>50</v>
      </c>
      <c r="B204" s="5">
        <v>1</v>
      </c>
      <c r="C204" s="5">
        <v>0</v>
      </c>
      <c r="D204" s="5">
        <v>2</v>
      </c>
      <c r="E204" s="5">
        <v>0</v>
      </c>
      <c r="F204" s="5">
        <f>ROUND(F203*18/100,O204)</f>
        <v>12043.4</v>
      </c>
      <c r="G204" s="5" t="s">
        <v>424</v>
      </c>
      <c r="H204" s="5" t="s">
        <v>425</v>
      </c>
      <c r="I204" s="5"/>
      <c r="J204" s="5"/>
      <c r="K204" s="5">
        <v>212</v>
      </c>
      <c r="L204" s="5">
        <v>28</v>
      </c>
      <c r="M204" s="5">
        <v>0</v>
      </c>
      <c r="N204" s="5" t="s">
        <v>6</v>
      </c>
      <c r="O204" s="5">
        <v>2</v>
      </c>
      <c r="P204" s="5">
        <f>ROUND(P203*18/100,O204)</f>
        <v>73585.070000000007</v>
      </c>
      <c r="Q204" s="5"/>
      <c r="R204" s="5"/>
      <c r="S204" s="5"/>
      <c r="T204" s="5"/>
      <c r="U204" s="5"/>
      <c r="V204" s="5"/>
      <c r="W204" s="5"/>
    </row>
    <row r="205" spans="1:206" x14ac:dyDescent="0.2">
      <c r="A205" s="5">
        <v>50</v>
      </c>
      <c r="B205" s="5">
        <v>1</v>
      </c>
      <c r="C205" s="5">
        <v>0</v>
      </c>
      <c r="D205" s="5">
        <v>2</v>
      </c>
      <c r="E205" s="5">
        <v>213</v>
      </c>
      <c r="F205" s="5">
        <f>ROUND(F203+F204,O205)</f>
        <v>78951.16</v>
      </c>
      <c r="G205" s="5" t="s">
        <v>426</v>
      </c>
      <c r="H205" s="5" t="s">
        <v>427</v>
      </c>
      <c r="I205" s="5"/>
      <c r="J205" s="5"/>
      <c r="K205" s="5">
        <v>212</v>
      </c>
      <c r="L205" s="5">
        <v>29</v>
      </c>
      <c r="M205" s="5">
        <v>0</v>
      </c>
      <c r="N205" s="5" t="s">
        <v>6</v>
      </c>
      <c r="O205" s="5">
        <v>2</v>
      </c>
      <c r="P205" s="5">
        <f>ROUND(P203+P204,O205)</f>
        <v>482390.99</v>
      </c>
      <c r="Q205" s="5"/>
      <c r="R205" s="5"/>
      <c r="S205" s="5"/>
      <c r="T205" s="5"/>
      <c r="U205" s="5"/>
      <c r="V205" s="5"/>
      <c r="W205" s="5"/>
    </row>
    <row r="207" spans="1:206" x14ac:dyDescent="0.2">
      <c r="A207" s="3">
        <v>51</v>
      </c>
      <c r="B207" s="3">
        <f>B12</f>
        <v>268</v>
      </c>
      <c r="C207" s="3">
        <f>A12</f>
        <v>1</v>
      </c>
      <c r="D207" s="3">
        <f>ROW(A12)</f>
        <v>12</v>
      </c>
      <c r="E207" s="3"/>
      <c r="F207" s="3" t="str">
        <f>IF(F12&lt;&gt;"",F12,"")</f>
        <v>Новый объект_(Копия)</v>
      </c>
      <c r="G207" s="3" t="str">
        <f>IF(G12&lt;&gt;"",G12,"")</f>
        <v>Капитальный ремонт помещения женского санузла 2-го этажа здания учебного корпуса Озерского технологического института-филиала НИЯУ МИФИ (ОТИ НИЯУ МИФИ) по адресу: г. Озерск, Челябинская область, проспект Победы, д. 48</v>
      </c>
      <c r="H207" s="3">
        <v>0</v>
      </c>
      <c r="I207" s="3"/>
      <c r="J207" s="3"/>
      <c r="K207" s="3"/>
      <c r="L207" s="3"/>
      <c r="M207" s="3"/>
      <c r="N207" s="3"/>
      <c r="O207" s="3">
        <f t="shared" ref="O207:T207" si="206">ROUND(O175,2)</f>
        <v>58075.45</v>
      </c>
      <c r="P207" s="3">
        <f t="shared" si="206"/>
        <v>52215.54</v>
      </c>
      <c r="Q207" s="3">
        <f t="shared" si="206"/>
        <v>519.41999999999996</v>
      </c>
      <c r="R207" s="3">
        <f t="shared" si="206"/>
        <v>104.84</v>
      </c>
      <c r="S207" s="3">
        <f t="shared" si="206"/>
        <v>5340.49</v>
      </c>
      <c r="T207" s="3">
        <f t="shared" si="206"/>
        <v>0</v>
      </c>
      <c r="U207" s="3">
        <f>U175</f>
        <v>604.95366834999982</v>
      </c>
      <c r="V207" s="3">
        <f>V175</f>
        <v>8.7776009999999989</v>
      </c>
      <c r="W207" s="3">
        <f>ROUND(W175,2)</f>
        <v>0</v>
      </c>
      <c r="X207" s="3">
        <f>ROUND(X175,2)</f>
        <v>5404.23</v>
      </c>
      <c r="Y207" s="3">
        <f>ROUND(Y175,2)</f>
        <v>3171.93</v>
      </c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>
        <f t="shared" ref="AO207:BC207" si="207">ROUND(AO175,2)</f>
        <v>0</v>
      </c>
      <c r="AP207" s="3">
        <f t="shared" si="207"/>
        <v>0</v>
      </c>
      <c r="AQ207" s="3">
        <f t="shared" si="207"/>
        <v>0</v>
      </c>
      <c r="AR207" s="3">
        <f t="shared" si="207"/>
        <v>66907.759999999995</v>
      </c>
      <c r="AS207" s="3">
        <f t="shared" si="207"/>
        <v>65948.350000000006</v>
      </c>
      <c r="AT207" s="3">
        <f t="shared" si="207"/>
        <v>959.41</v>
      </c>
      <c r="AU207" s="3">
        <f t="shared" si="207"/>
        <v>0</v>
      </c>
      <c r="AV207" s="3">
        <f t="shared" si="207"/>
        <v>52215.54</v>
      </c>
      <c r="AW207" s="3">
        <f t="shared" si="207"/>
        <v>52215.54</v>
      </c>
      <c r="AX207" s="3">
        <f t="shared" si="207"/>
        <v>0</v>
      </c>
      <c r="AY207" s="3">
        <f t="shared" si="207"/>
        <v>52215.54</v>
      </c>
      <c r="AZ207" s="3">
        <f t="shared" si="207"/>
        <v>0</v>
      </c>
      <c r="BA207" s="3">
        <f t="shared" si="207"/>
        <v>0</v>
      </c>
      <c r="BB207" s="3">
        <f t="shared" si="207"/>
        <v>0</v>
      </c>
      <c r="BC207" s="3">
        <f t="shared" si="207"/>
        <v>0</v>
      </c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4">
        <f t="shared" ref="DG207:DL207" si="208">ROUND(DG175,2)</f>
        <v>354840.99</v>
      </c>
      <c r="DH207" s="4">
        <f t="shared" si="208"/>
        <v>319037.12</v>
      </c>
      <c r="DI207" s="4">
        <f t="shared" si="208"/>
        <v>3173.64</v>
      </c>
      <c r="DJ207" s="4">
        <f t="shared" si="208"/>
        <v>640.4</v>
      </c>
      <c r="DK207" s="4">
        <f t="shared" si="208"/>
        <v>32630.23</v>
      </c>
      <c r="DL207" s="4">
        <f t="shared" si="208"/>
        <v>0</v>
      </c>
      <c r="DM207" s="4">
        <f>DM175</f>
        <v>604.95366834999982</v>
      </c>
      <c r="DN207" s="4">
        <f>DN175</f>
        <v>8.7776009999999989</v>
      </c>
      <c r="DO207" s="4">
        <f>ROUND(DO175,2)</f>
        <v>0</v>
      </c>
      <c r="DP207" s="4">
        <f>ROUND(DP175,2)</f>
        <v>33019.68</v>
      </c>
      <c r="DQ207" s="4">
        <f>ROUND(DQ175,2)</f>
        <v>19380.22</v>
      </c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>
        <f t="shared" ref="EG207:EU207" si="209">ROUND(EG175,2)</f>
        <v>0</v>
      </c>
      <c r="EH207" s="4">
        <f t="shared" si="209"/>
        <v>0</v>
      </c>
      <c r="EI207" s="4">
        <f t="shared" si="209"/>
        <v>0</v>
      </c>
      <c r="EJ207" s="4">
        <f t="shared" si="209"/>
        <v>408805.92</v>
      </c>
      <c r="EK207" s="4">
        <f t="shared" si="209"/>
        <v>402943.84</v>
      </c>
      <c r="EL207" s="4">
        <f t="shared" si="209"/>
        <v>5862.08</v>
      </c>
      <c r="EM207" s="4">
        <f t="shared" si="209"/>
        <v>0</v>
      </c>
      <c r="EN207" s="4">
        <f t="shared" si="209"/>
        <v>319037.12</v>
      </c>
      <c r="EO207" s="4">
        <f t="shared" si="209"/>
        <v>319037.12</v>
      </c>
      <c r="EP207" s="4">
        <f t="shared" si="209"/>
        <v>0</v>
      </c>
      <c r="EQ207" s="4">
        <f t="shared" si="209"/>
        <v>319037.12</v>
      </c>
      <c r="ER207" s="4">
        <f t="shared" si="209"/>
        <v>0</v>
      </c>
      <c r="ES207" s="4">
        <f t="shared" si="209"/>
        <v>0</v>
      </c>
      <c r="ET207" s="4">
        <f t="shared" si="209"/>
        <v>0</v>
      </c>
      <c r="EU207" s="4">
        <f t="shared" si="209"/>
        <v>0</v>
      </c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>
        <v>0</v>
      </c>
    </row>
    <row r="209" spans="1:23" x14ac:dyDescent="0.2">
      <c r="A209" s="5">
        <v>50</v>
      </c>
      <c r="B209" s="5">
        <v>0</v>
      </c>
      <c r="C209" s="5">
        <v>0</v>
      </c>
      <c r="D209" s="5">
        <v>1</v>
      </c>
      <c r="E209" s="5">
        <v>201</v>
      </c>
      <c r="F209" s="5">
        <f>ROUND(Source!O207,O209)</f>
        <v>58075.45</v>
      </c>
      <c r="G209" s="5" t="s">
        <v>371</v>
      </c>
      <c r="H209" s="5" t="s">
        <v>372</v>
      </c>
      <c r="I209" s="5"/>
      <c r="J209" s="5"/>
      <c r="K209" s="5">
        <v>201</v>
      </c>
      <c r="L209" s="5">
        <v>1</v>
      </c>
      <c r="M209" s="5">
        <v>3</v>
      </c>
      <c r="N209" s="5" t="s">
        <v>6</v>
      </c>
      <c r="O209" s="5">
        <v>2</v>
      </c>
      <c r="P209" s="5">
        <f>ROUND(Source!DG207,O209)</f>
        <v>354840.99</v>
      </c>
      <c r="Q209" s="5"/>
      <c r="R209" s="5"/>
      <c r="S209" s="5"/>
      <c r="T209" s="5"/>
      <c r="U209" s="5"/>
      <c r="V209" s="5"/>
      <c r="W209" s="5"/>
    </row>
    <row r="210" spans="1:23" x14ac:dyDescent="0.2">
      <c r="A210" s="5">
        <v>50</v>
      </c>
      <c r="B210" s="5">
        <v>0</v>
      </c>
      <c r="C210" s="5">
        <v>0</v>
      </c>
      <c r="D210" s="5">
        <v>1</v>
      </c>
      <c r="E210" s="5">
        <v>202</v>
      </c>
      <c r="F210" s="5">
        <f>ROUND(Source!P207,O210)</f>
        <v>52215.54</v>
      </c>
      <c r="G210" s="5" t="s">
        <v>373</v>
      </c>
      <c r="H210" s="5" t="s">
        <v>374</v>
      </c>
      <c r="I210" s="5"/>
      <c r="J210" s="5"/>
      <c r="K210" s="5">
        <v>202</v>
      </c>
      <c r="L210" s="5">
        <v>2</v>
      </c>
      <c r="M210" s="5">
        <v>3</v>
      </c>
      <c r="N210" s="5" t="s">
        <v>6</v>
      </c>
      <c r="O210" s="5">
        <v>2</v>
      </c>
      <c r="P210" s="5">
        <f>ROUND(Source!DH207,O210)</f>
        <v>319037.12</v>
      </c>
      <c r="Q210" s="5"/>
      <c r="R210" s="5"/>
      <c r="S210" s="5"/>
      <c r="T210" s="5"/>
      <c r="U210" s="5"/>
      <c r="V210" s="5"/>
      <c r="W210" s="5"/>
    </row>
    <row r="211" spans="1:23" x14ac:dyDescent="0.2">
      <c r="A211" s="5">
        <v>50</v>
      </c>
      <c r="B211" s="5">
        <v>0</v>
      </c>
      <c r="C211" s="5">
        <v>0</v>
      </c>
      <c r="D211" s="5">
        <v>1</v>
      </c>
      <c r="E211" s="5">
        <v>222</v>
      </c>
      <c r="F211" s="5">
        <f>ROUND(Source!AO207,O211)</f>
        <v>0</v>
      </c>
      <c r="G211" s="5" t="s">
        <v>375</v>
      </c>
      <c r="H211" s="5" t="s">
        <v>376</v>
      </c>
      <c r="I211" s="5"/>
      <c r="J211" s="5"/>
      <c r="K211" s="5">
        <v>222</v>
      </c>
      <c r="L211" s="5">
        <v>3</v>
      </c>
      <c r="M211" s="5">
        <v>3</v>
      </c>
      <c r="N211" s="5" t="s">
        <v>6</v>
      </c>
      <c r="O211" s="5">
        <v>2</v>
      </c>
      <c r="P211" s="5">
        <f>ROUND(Source!EG207,O211)</f>
        <v>0</v>
      </c>
      <c r="Q211" s="5"/>
      <c r="R211" s="5"/>
      <c r="S211" s="5"/>
      <c r="T211" s="5"/>
      <c r="U211" s="5"/>
      <c r="V211" s="5"/>
      <c r="W211" s="5"/>
    </row>
    <row r="212" spans="1:23" x14ac:dyDescent="0.2">
      <c r="A212" s="5">
        <v>50</v>
      </c>
      <c r="B212" s="5">
        <v>0</v>
      </c>
      <c r="C212" s="5">
        <v>0</v>
      </c>
      <c r="D212" s="5">
        <v>1</v>
      </c>
      <c r="E212" s="5">
        <v>225</v>
      </c>
      <c r="F212" s="5">
        <f>ROUND(Source!AV207,O212)</f>
        <v>52215.54</v>
      </c>
      <c r="G212" s="5" t="s">
        <v>377</v>
      </c>
      <c r="H212" s="5" t="s">
        <v>378</v>
      </c>
      <c r="I212" s="5"/>
      <c r="J212" s="5"/>
      <c r="K212" s="5">
        <v>225</v>
      </c>
      <c r="L212" s="5">
        <v>4</v>
      </c>
      <c r="M212" s="5">
        <v>3</v>
      </c>
      <c r="N212" s="5" t="s">
        <v>6</v>
      </c>
      <c r="O212" s="5">
        <v>2</v>
      </c>
      <c r="P212" s="5">
        <f>ROUND(Source!EN207,O212)</f>
        <v>319037.12</v>
      </c>
      <c r="Q212" s="5"/>
      <c r="R212" s="5"/>
      <c r="S212" s="5"/>
      <c r="T212" s="5"/>
      <c r="U212" s="5"/>
      <c r="V212" s="5"/>
      <c r="W212" s="5"/>
    </row>
    <row r="213" spans="1:23" x14ac:dyDescent="0.2">
      <c r="A213" s="5">
        <v>50</v>
      </c>
      <c r="B213" s="5">
        <v>0</v>
      </c>
      <c r="C213" s="5">
        <v>0</v>
      </c>
      <c r="D213" s="5">
        <v>1</v>
      </c>
      <c r="E213" s="5">
        <v>226</v>
      </c>
      <c r="F213" s="5">
        <f>ROUND(Source!AW207,O213)</f>
        <v>52215.54</v>
      </c>
      <c r="G213" s="5" t="s">
        <v>379</v>
      </c>
      <c r="H213" s="5" t="s">
        <v>380</v>
      </c>
      <c r="I213" s="5"/>
      <c r="J213" s="5"/>
      <c r="K213" s="5">
        <v>226</v>
      </c>
      <c r="L213" s="5">
        <v>5</v>
      </c>
      <c r="M213" s="5">
        <v>3</v>
      </c>
      <c r="N213" s="5" t="s">
        <v>6</v>
      </c>
      <c r="O213" s="5">
        <v>2</v>
      </c>
      <c r="P213" s="5">
        <f>ROUND(Source!EO207,O213)</f>
        <v>319037.12</v>
      </c>
      <c r="Q213" s="5"/>
      <c r="R213" s="5"/>
      <c r="S213" s="5"/>
      <c r="T213" s="5"/>
      <c r="U213" s="5"/>
      <c r="V213" s="5"/>
      <c r="W213" s="5"/>
    </row>
    <row r="214" spans="1:23" x14ac:dyDescent="0.2">
      <c r="A214" s="5">
        <v>50</v>
      </c>
      <c r="B214" s="5">
        <v>0</v>
      </c>
      <c r="C214" s="5">
        <v>0</v>
      </c>
      <c r="D214" s="5">
        <v>1</v>
      </c>
      <c r="E214" s="5">
        <v>227</v>
      </c>
      <c r="F214" s="5">
        <f>ROUND(Source!AX207,O214)</f>
        <v>0</v>
      </c>
      <c r="G214" s="5" t="s">
        <v>381</v>
      </c>
      <c r="H214" s="5" t="s">
        <v>382</v>
      </c>
      <c r="I214" s="5"/>
      <c r="J214" s="5"/>
      <c r="K214" s="5">
        <v>227</v>
      </c>
      <c r="L214" s="5">
        <v>6</v>
      </c>
      <c r="M214" s="5">
        <v>3</v>
      </c>
      <c r="N214" s="5" t="s">
        <v>6</v>
      </c>
      <c r="O214" s="5">
        <v>2</v>
      </c>
      <c r="P214" s="5">
        <f>ROUND(Source!EP207,O214)</f>
        <v>0</v>
      </c>
      <c r="Q214" s="5"/>
      <c r="R214" s="5"/>
      <c r="S214" s="5"/>
      <c r="T214" s="5"/>
      <c r="U214" s="5"/>
      <c r="V214" s="5"/>
      <c r="W214" s="5"/>
    </row>
    <row r="215" spans="1:23" x14ac:dyDescent="0.2">
      <c r="A215" s="5">
        <v>50</v>
      </c>
      <c r="B215" s="5">
        <v>0</v>
      </c>
      <c r="C215" s="5">
        <v>0</v>
      </c>
      <c r="D215" s="5">
        <v>1</v>
      </c>
      <c r="E215" s="5">
        <v>228</v>
      </c>
      <c r="F215" s="5">
        <f>ROUND(Source!AY207,O215)</f>
        <v>52215.54</v>
      </c>
      <c r="G215" s="5" t="s">
        <v>383</v>
      </c>
      <c r="H215" s="5" t="s">
        <v>384</v>
      </c>
      <c r="I215" s="5"/>
      <c r="J215" s="5"/>
      <c r="K215" s="5">
        <v>228</v>
      </c>
      <c r="L215" s="5">
        <v>7</v>
      </c>
      <c r="M215" s="5">
        <v>3</v>
      </c>
      <c r="N215" s="5" t="s">
        <v>6</v>
      </c>
      <c r="O215" s="5">
        <v>2</v>
      </c>
      <c r="P215" s="5">
        <f>ROUND(Source!EQ207,O215)</f>
        <v>319037.12</v>
      </c>
      <c r="Q215" s="5"/>
      <c r="R215" s="5"/>
      <c r="S215" s="5"/>
      <c r="T215" s="5"/>
      <c r="U215" s="5"/>
      <c r="V215" s="5"/>
      <c r="W215" s="5"/>
    </row>
    <row r="216" spans="1:23" x14ac:dyDescent="0.2">
      <c r="A216" s="5">
        <v>50</v>
      </c>
      <c r="B216" s="5">
        <v>0</v>
      </c>
      <c r="C216" s="5">
        <v>0</v>
      </c>
      <c r="D216" s="5">
        <v>1</v>
      </c>
      <c r="E216" s="5">
        <v>216</v>
      </c>
      <c r="F216" s="5">
        <f>ROUND(Source!AP207,O216)</f>
        <v>0</v>
      </c>
      <c r="G216" s="5" t="s">
        <v>385</v>
      </c>
      <c r="H216" s="5" t="s">
        <v>386</v>
      </c>
      <c r="I216" s="5"/>
      <c r="J216" s="5"/>
      <c r="K216" s="5">
        <v>216</v>
      </c>
      <c r="L216" s="5">
        <v>8</v>
      </c>
      <c r="M216" s="5">
        <v>3</v>
      </c>
      <c r="N216" s="5" t="s">
        <v>6</v>
      </c>
      <c r="O216" s="5">
        <v>2</v>
      </c>
      <c r="P216" s="5">
        <f>ROUND(Source!EH207,O216)</f>
        <v>0</v>
      </c>
      <c r="Q216" s="5"/>
      <c r="R216" s="5"/>
      <c r="S216" s="5"/>
      <c r="T216" s="5"/>
      <c r="U216" s="5"/>
      <c r="V216" s="5"/>
      <c r="W216" s="5"/>
    </row>
    <row r="217" spans="1:23" x14ac:dyDescent="0.2">
      <c r="A217" s="5">
        <v>50</v>
      </c>
      <c r="B217" s="5">
        <v>0</v>
      </c>
      <c r="C217" s="5">
        <v>0</v>
      </c>
      <c r="D217" s="5">
        <v>1</v>
      </c>
      <c r="E217" s="5">
        <v>223</v>
      </c>
      <c r="F217" s="5">
        <f>ROUND(Source!AQ207,O217)</f>
        <v>0</v>
      </c>
      <c r="G217" s="5" t="s">
        <v>387</v>
      </c>
      <c r="H217" s="5" t="s">
        <v>388</v>
      </c>
      <c r="I217" s="5"/>
      <c r="J217" s="5"/>
      <c r="K217" s="5">
        <v>223</v>
      </c>
      <c r="L217" s="5">
        <v>9</v>
      </c>
      <c r="M217" s="5">
        <v>3</v>
      </c>
      <c r="N217" s="5" t="s">
        <v>6</v>
      </c>
      <c r="O217" s="5">
        <v>2</v>
      </c>
      <c r="P217" s="5">
        <f>ROUND(Source!EI207,O217)</f>
        <v>0</v>
      </c>
      <c r="Q217" s="5"/>
      <c r="R217" s="5"/>
      <c r="S217" s="5"/>
      <c r="T217" s="5"/>
      <c r="U217" s="5"/>
      <c r="V217" s="5"/>
      <c r="W217" s="5"/>
    </row>
    <row r="218" spans="1:23" x14ac:dyDescent="0.2">
      <c r="A218" s="5">
        <v>50</v>
      </c>
      <c r="B218" s="5">
        <v>0</v>
      </c>
      <c r="C218" s="5">
        <v>0</v>
      </c>
      <c r="D218" s="5">
        <v>1</v>
      </c>
      <c r="E218" s="5">
        <v>229</v>
      </c>
      <c r="F218" s="5">
        <f>ROUND(Source!AZ207,O218)</f>
        <v>0</v>
      </c>
      <c r="G218" s="5" t="s">
        <v>389</v>
      </c>
      <c r="H218" s="5" t="s">
        <v>390</v>
      </c>
      <c r="I218" s="5"/>
      <c r="J218" s="5"/>
      <c r="K218" s="5">
        <v>229</v>
      </c>
      <c r="L218" s="5">
        <v>10</v>
      </c>
      <c r="M218" s="5">
        <v>3</v>
      </c>
      <c r="N218" s="5" t="s">
        <v>6</v>
      </c>
      <c r="O218" s="5">
        <v>2</v>
      </c>
      <c r="P218" s="5">
        <f>ROUND(Source!ER207,O218)</f>
        <v>0</v>
      </c>
      <c r="Q218" s="5"/>
      <c r="R218" s="5"/>
      <c r="S218" s="5"/>
      <c r="T218" s="5"/>
      <c r="U218" s="5"/>
      <c r="V218" s="5"/>
      <c r="W218" s="5"/>
    </row>
    <row r="219" spans="1:23" x14ac:dyDescent="0.2">
      <c r="A219" s="5">
        <v>50</v>
      </c>
      <c r="B219" s="5">
        <v>0</v>
      </c>
      <c r="C219" s="5">
        <v>0</v>
      </c>
      <c r="D219" s="5">
        <v>1</v>
      </c>
      <c r="E219" s="5">
        <v>203</v>
      </c>
      <c r="F219" s="5">
        <f>ROUND(Source!Q207,O219)</f>
        <v>519.41999999999996</v>
      </c>
      <c r="G219" s="5" t="s">
        <v>391</v>
      </c>
      <c r="H219" s="5" t="s">
        <v>392</v>
      </c>
      <c r="I219" s="5"/>
      <c r="J219" s="5"/>
      <c r="K219" s="5">
        <v>203</v>
      </c>
      <c r="L219" s="5">
        <v>11</v>
      </c>
      <c r="M219" s="5">
        <v>3</v>
      </c>
      <c r="N219" s="5" t="s">
        <v>6</v>
      </c>
      <c r="O219" s="5">
        <v>2</v>
      </c>
      <c r="P219" s="5">
        <f>ROUND(Source!DI207,O219)</f>
        <v>3173.64</v>
      </c>
      <c r="Q219" s="5"/>
      <c r="R219" s="5"/>
      <c r="S219" s="5"/>
      <c r="T219" s="5"/>
      <c r="U219" s="5"/>
      <c r="V219" s="5"/>
      <c r="W219" s="5"/>
    </row>
    <row r="220" spans="1:23" x14ac:dyDescent="0.2">
      <c r="A220" s="5">
        <v>50</v>
      </c>
      <c r="B220" s="5">
        <v>0</v>
      </c>
      <c r="C220" s="5">
        <v>0</v>
      </c>
      <c r="D220" s="5">
        <v>1</v>
      </c>
      <c r="E220" s="5">
        <v>231</v>
      </c>
      <c r="F220" s="5">
        <f>ROUND(Source!BB207,O220)</f>
        <v>0</v>
      </c>
      <c r="G220" s="5" t="s">
        <v>393</v>
      </c>
      <c r="H220" s="5" t="s">
        <v>394</v>
      </c>
      <c r="I220" s="5"/>
      <c r="J220" s="5"/>
      <c r="K220" s="5">
        <v>231</v>
      </c>
      <c r="L220" s="5">
        <v>12</v>
      </c>
      <c r="M220" s="5">
        <v>3</v>
      </c>
      <c r="N220" s="5" t="s">
        <v>6</v>
      </c>
      <c r="O220" s="5">
        <v>2</v>
      </c>
      <c r="P220" s="5">
        <f>ROUND(Source!ET207,O220)</f>
        <v>0</v>
      </c>
      <c r="Q220" s="5"/>
      <c r="R220" s="5"/>
      <c r="S220" s="5"/>
      <c r="T220" s="5"/>
      <c r="U220" s="5"/>
      <c r="V220" s="5"/>
      <c r="W220" s="5"/>
    </row>
    <row r="221" spans="1:23" x14ac:dyDescent="0.2">
      <c r="A221" s="5">
        <v>50</v>
      </c>
      <c r="B221" s="5">
        <v>0</v>
      </c>
      <c r="C221" s="5">
        <v>0</v>
      </c>
      <c r="D221" s="5">
        <v>1</v>
      </c>
      <c r="E221" s="5">
        <v>204</v>
      </c>
      <c r="F221" s="5">
        <f>ROUND(Source!R207,O221)</f>
        <v>104.84</v>
      </c>
      <c r="G221" s="5" t="s">
        <v>395</v>
      </c>
      <c r="H221" s="5" t="s">
        <v>396</v>
      </c>
      <c r="I221" s="5"/>
      <c r="J221" s="5"/>
      <c r="K221" s="5">
        <v>204</v>
      </c>
      <c r="L221" s="5">
        <v>13</v>
      </c>
      <c r="M221" s="5">
        <v>3</v>
      </c>
      <c r="N221" s="5" t="s">
        <v>6</v>
      </c>
      <c r="O221" s="5">
        <v>2</v>
      </c>
      <c r="P221" s="5">
        <f>ROUND(Source!DJ207,O221)</f>
        <v>640.4</v>
      </c>
      <c r="Q221" s="5"/>
      <c r="R221" s="5"/>
      <c r="S221" s="5"/>
      <c r="T221" s="5"/>
      <c r="U221" s="5"/>
      <c r="V221" s="5"/>
      <c r="W221" s="5"/>
    </row>
    <row r="222" spans="1:23" x14ac:dyDescent="0.2">
      <c r="A222" s="5">
        <v>50</v>
      </c>
      <c r="B222" s="5">
        <v>0</v>
      </c>
      <c r="C222" s="5">
        <v>0</v>
      </c>
      <c r="D222" s="5">
        <v>1</v>
      </c>
      <c r="E222" s="5">
        <v>205</v>
      </c>
      <c r="F222" s="5">
        <f>ROUND(Source!S207,O222)</f>
        <v>5340.49</v>
      </c>
      <c r="G222" s="5" t="s">
        <v>397</v>
      </c>
      <c r="H222" s="5" t="s">
        <v>398</v>
      </c>
      <c r="I222" s="5"/>
      <c r="J222" s="5"/>
      <c r="K222" s="5">
        <v>205</v>
      </c>
      <c r="L222" s="5">
        <v>14</v>
      </c>
      <c r="M222" s="5">
        <v>3</v>
      </c>
      <c r="N222" s="5" t="s">
        <v>6</v>
      </c>
      <c r="O222" s="5">
        <v>2</v>
      </c>
      <c r="P222" s="5">
        <f>ROUND(Source!DK207,O222)</f>
        <v>32630.23</v>
      </c>
      <c r="Q222" s="5"/>
      <c r="R222" s="5"/>
      <c r="S222" s="5"/>
      <c r="T222" s="5"/>
      <c r="U222" s="5"/>
      <c r="V222" s="5"/>
      <c r="W222" s="5"/>
    </row>
    <row r="223" spans="1:23" x14ac:dyDescent="0.2">
      <c r="A223" s="5">
        <v>50</v>
      </c>
      <c r="B223" s="5">
        <v>0</v>
      </c>
      <c r="C223" s="5">
        <v>0</v>
      </c>
      <c r="D223" s="5">
        <v>1</v>
      </c>
      <c r="E223" s="5">
        <v>232</v>
      </c>
      <c r="F223" s="5">
        <f>ROUND(Source!BC207,O223)</f>
        <v>0</v>
      </c>
      <c r="G223" s="5" t="s">
        <v>399</v>
      </c>
      <c r="H223" s="5" t="s">
        <v>400</v>
      </c>
      <c r="I223" s="5"/>
      <c r="J223" s="5"/>
      <c r="K223" s="5">
        <v>232</v>
      </c>
      <c r="L223" s="5">
        <v>15</v>
      </c>
      <c r="M223" s="5">
        <v>3</v>
      </c>
      <c r="N223" s="5" t="s">
        <v>6</v>
      </c>
      <c r="O223" s="5">
        <v>2</v>
      </c>
      <c r="P223" s="5">
        <f>ROUND(Source!EU207,O223)</f>
        <v>0</v>
      </c>
      <c r="Q223" s="5"/>
      <c r="R223" s="5"/>
      <c r="S223" s="5"/>
      <c r="T223" s="5"/>
      <c r="U223" s="5"/>
      <c r="V223" s="5"/>
      <c r="W223" s="5"/>
    </row>
    <row r="224" spans="1:23" x14ac:dyDescent="0.2">
      <c r="A224" s="5">
        <v>50</v>
      </c>
      <c r="B224" s="5">
        <v>0</v>
      </c>
      <c r="C224" s="5">
        <v>0</v>
      </c>
      <c r="D224" s="5">
        <v>1</v>
      </c>
      <c r="E224" s="5">
        <v>214</v>
      </c>
      <c r="F224" s="5">
        <f>ROUND(Source!AS207,O224)</f>
        <v>65948.350000000006</v>
      </c>
      <c r="G224" s="5" t="s">
        <v>401</v>
      </c>
      <c r="H224" s="5" t="s">
        <v>402</v>
      </c>
      <c r="I224" s="5"/>
      <c r="J224" s="5"/>
      <c r="K224" s="5">
        <v>214</v>
      </c>
      <c r="L224" s="5">
        <v>16</v>
      </c>
      <c r="M224" s="5">
        <v>3</v>
      </c>
      <c r="N224" s="5" t="s">
        <v>6</v>
      </c>
      <c r="O224" s="5">
        <v>2</v>
      </c>
      <c r="P224" s="5">
        <f>ROUND(Source!EK207,O224)</f>
        <v>402943.84</v>
      </c>
      <c r="Q224" s="5"/>
      <c r="R224" s="5"/>
      <c r="S224" s="5"/>
      <c r="T224" s="5"/>
      <c r="U224" s="5"/>
      <c r="V224" s="5"/>
      <c r="W224" s="5"/>
    </row>
    <row r="225" spans="1:23" x14ac:dyDescent="0.2">
      <c r="A225" s="5">
        <v>50</v>
      </c>
      <c r="B225" s="5">
        <v>0</v>
      </c>
      <c r="C225" s="5">
        <v>0</v>
      </c>
      <c r="D225" s="5">
        <v>1</v>
      </c>
      <c r="E225" s="5">
        <v>215</v>
      </c>
      <c r="F225" s="5">
        <f>ROUND(Source!AT207,O225)</f>
        <v>959.41</v>
      </c>
      <c r="G225" s="5" t="s">
        <v>403</v>
      </c>
      <c r="H225" s="5" t="s">
        <v>404</v>
      </c>
      <c r="I225" s="5"/>
      <c r="J225" s="5"/>
      <c r="K225" s="5">
        <v>215</v>
      </c>
      <c r="L225" s="5">
        <v>17</v>
      </c>
      <c r="M225" s="5">
        <v>3</v>
      </c>
      <c r="N225" s="5" t="s">
        <v>6</v>
      </c>
      <c r="O225" s="5">
        <v>2</v>
      </c>
      <c r="P225" s="5">
        <f>ROUND(Source!EL207,O225)</f>
        <v>5862.08</v>
      </c>
      <c r="Q225" s="5"/>
      <c r="R225" s="5"/>
      <c r="S225" s="5"/>
      <c r="T225" s="5"/>
      <c r="U225" s="5"/>
      <c r="V225" s="5"/>
      <c r="W225" s="5"/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217</v>
      </c>
      <c r="F226" s="5">
        <f>ROUND(Source!AU207,O226)</f>
        <v>0</v>
      </c>
      <c r="G226" s="5" t="s">
        <v>405</v>
      </c>
      <c r="H226" s="5" t="s">
        <v>406</v>
      </c>
      <c r="I226" s="5"/>
      <c r="J226" s="5"/>
      <c r="K226" s="5">
        <v>217</v>
      </c>
      <c r="L226" s="5">
        <v>18</v>
      </c>
      <c r="M226" s="5">
        <v>3</v>
      </c>
      <c r="N226" s="5" t="s">
        <v>6</v>
      </c>
      <c r="O226" s="5">
        <v>2</v>
      </c>
      <c r="P226" s="5">
        <f>ROUND(Source!EM207,O226)</f>
        <v>0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230</v>
      </c>
      <c r="F227" s="5">
        <f>ROUND(Source!BA207,O227)</f>
        <v>0</v>
      </c>
      <c r="G227" s="5" t="s">
        <v>407</v>
      </c>
      <c r="H227" s="5" t="s">
        <v>408</v>
      </c>
      <c r="I227" s="5"/>
      <c r="J227" s="5"/>
      <c r="K227" s="5">
        <v>230</v>
      </c>
      <c r="L227" s="5">
        <v>19</v>
      </c>
      <c r="M227" s="5">
        <v>3</v>
      </c>
      <c r="N227" s="5" t="s">
        <v>6</v>
      </c>
      <c r="O227" s="5">
        <v>2</v>
      </c>
      <c r="P227" s="5">
        <f>ROUND(Source!ES207,O227)</f>
        <v>0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206</v>
      </c>
      <c r="F228" s="5">
        <f>ROUND(Source!T207,O228)</f>
        <v>0</v>
      </c>
      <c r="G228" s="5" t="s">
        <v>409</v>
      </c>
      <c r="H228" s="5" t="s">
        <v>410</v>
      </c>
      <c r="I228" s="5"/>
      <c r="J228" s="5"/>
      <c r="K228" s="5">
        <v>206</v>
      </c>
      <c r="L228" s="5">
        <v>20</v>
      </c>
      <c r="M228" s="5">
        <v>3</v>
      </c>
      <c r="N228" s="5" t="s">
        <v>6</v>
      </c>
      <c r="O228" s="5">
        <v>2</v>
      </c>
      <c r="P228" s="5">
        <f>ROUND(Source!DL207,O228)</f>
        <v>0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207</v>
      </c>
      <c r="F229" s="5">
        <f>Source!U207</f>
        <v>604.95366834999982</v>
      </c>
      <c r="G229" s="5" t="s">
        <v>411</v>
      </c>
      <c r="H229" s="5" t="s">
        <v>412</v>
      </c>
      <c r="I229" s="5"/>
      <c r="J229" s="5"/>
      <c r="K229" s="5">
        <v>207</v>
      </c>
      <c r="L229" s="5">
        <v>21</v>
      </c>
      <c r="M229" s="5">
        <v>3</v>
      </c>
      <c r="N229" s="5" t="s">
        <v>6</v>
      </c>
      <c r="O229" s="5">
        <v>-1</v>
      </c>
      <c r="P229" s="5">
        <f>Source!DM207</f>
        <v>604.95366834999982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208</v>
      </c>
      <c r="F230" s="5">
        <f>Source!V207</f>
        <v>8.7776009999999989</v>
      </c>
      <c r="G230" s="5" t="s">
        <v>413</v>
      </c>
      <c r="H230" s="5" t="s">
        <v>414</v>
      </c>
      <c r="I230" s="5"/>
      <c r="J230" s="5"/>
      <c r="K230" s="5">
        <v>208</v>
      </c>
      <c r="L230" s="5">
        <v>22</v>
      </c>
      <c r="M230" s="5">
        <v>3</v>
      </c>
      <c r="N230" s="5" t="s">
        <v>6</v>
      </c>
      <c r="O230" s="5">
        <v>-1</v>
      </c>
      <c r="P230" s="5">
        <f>Source!DN207</f>
        <v>8.7776009999999989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209</v>
      </c>
      <c r="F231" s="5">
        <f>ROUND(Source!W207,O231)</f>
        <v>0</v>
      </c>
      <c r="G231" s="5" t="s">
        <v>415</v>
      </c>
      <c r="H231" s="5" t="s">
        <v>416</v>
      </c>
      <c r="I231" s="5"/>
      <c r="J231" s="5"/>
      <c r="K231" s="5">
        <v>209</v>
      </c>
      <c r="L231" s="5">
        <v>23</v>
      </c>
      <c r="M231" s="5">
        <v>3</v>
      </c>
      <c r="N231" s="5" t="s">
        <v>6</v>
      </c>
      <c r="O231" s="5">
        <v>2</v>
      </c>
      <c r="P231" s="5">
        <f>ROUND(Source!DO207,O231)</f>
        <v>0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210</v>
      </c>
      <c r="F232" s="5">
        <f>ROUND(Source!X207,O232)</f>
        <v>5404.23</v>
      </c>
      <c r="G232" s="5" t="s">
        <v>417</v>
      </c>
      <c r="H232" s="5" t="s">
        <v>418</v>
      </c>
      <c r="I232" s="5"/>
      <c r="J232" s="5"/>
      <c r="K232" s="5">
        <v>210</v>
      </c>
      <c r="L232" s="5">
        <v>24</v>
      </c>
      <c r="M232" s="5">
        <v>3</v>
      </c>
      <c r="N232" s="5" t="s">
        <v>6</v>
      </c>
      <c r="O232" s="5">
        <v>2</v>
      </c>
      <c r="P232" s="5">
        <f>ROUND(Source!DP207,O232)</f>
        <v>33019.68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211</v>
      </c>
      <c r="F233" s="5">
        <f>ROUND(Source!Y207,O233)</f>
        <v>3171.93</v>
      </c>
      <c r="G233" s="5" t="s">
        <v>419</v>
      </c>
      <c r="H233" s="5" t="s">
        <v>420</v>
      </c>
      <c r="I233" s="5"/>
      <c r="J233" s="5"/>
      <c r="K233" s="5">
        <v>211</v>
      </c>
      <c r="L233" s="5">
        <v>25</v>
      </c>
      <c r="M233" s="5">
        <v>3</v>
      </c>
      <c r="N233" s="5" t="s">
        <v>6</v>
      </c>
      <c r="O233" s="5">
        <v>2</v>
      </c>
      <c r="P233" s="5">
        <f>ROUND(Source!DQ207,O233)</f>
        <v>19380.22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224</v>
      </c>
      <c r="F234" s="5">
        <f>ROUND(Source!AR207,O234)</f>
        <v>66907.759999999995</v>
      </c>
      <c r="G234" s="5" t="s">
        <v>421</v>
      </c>
      <c r="H234" s="5" t="s">
        <v>422</v>
      </c>
      <c r="I234" s="5"/>
      <c r="J234" s="5"/>
      <c r="K234" s="5">
        <v>224</v>
      </c>
      <c r="L234" s="5">
        <v>26</v>
      </c>
      <c r="M234" s="5">
        <v>3</v>
      </c>
      <c r="N234" s="5" t="s">
        <v>6</v>
      </c>
      <c r="O234" s="5">
        <v>2</v>
      </c>
      <c r="P234" s="5">
        <f>ROUND(Source!EJ207,O234)</f>
        <v>408805.92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1</v>
      </c>
      <c r="C235" s="5">
        <v>0</v>
      </c>
      <c r="D235" s="5">
        <v>2</v>
      </c>
      <c r="E235" s="5">
        <v>0</v>
      </c>
      <c r="F235" s="5">
        <f>ROUND(F234,O235)</f>
        <v>66907.759999999995</v>
      </c>
      <c r="G235" s="5" t="s">
        <v>423</v>
      </c>
      <c r="H235" s="5" t="s">
        <v>422</v>
      </c>
      <c r="I235" s="5"/>
      <c r="J235" s="5"/>
      <c r="K235" s="5">
        <v>212</v>
      </c>
      <c r="L235" s="5">
        <v>27</v>
      </c>
      <c r="M235" s="5">
        <v>0</v>
      </c>
      <c r="N235" s="5" t="s">
        <v>6</v>
      </c>
      <c r="O235" s="5">
        <v>2</v>
      </c>
      <c r="P235" s="5">
        <f>ROUND(P234,O235)</f>
        <v>408805.92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1</v>
      </c>
      <c r="C236" s="5">
        <v>0</v>
      </c>
      <c r="D236" s="5">
        <v>2</v>
      </c>
      <c r="E236" s="5">
        <v>0</v>
      </c>
      <c r="F236" s="5">
        <f>ROUND(F235*18/100,O236)</f>
        <v>12043.4</v>
      </c>
      <c r="G236" s="5" t="s">
        <v>424</v>
      </c>
      <c r="H236" s="5" t="s">
        <v>425</v>
      </c>
      <c r="I236" s="5"/>
      <c r="J236" s="5"/>
      <c r="K236" s="5">
        <v>212</v>
      </c>
      <c r="L236" s="5">
        <v>28</v>
      </c>
      <c r="M236" s="5">
        <v>0</v>
      </c>
      <c r="N236" s="5" t="s">
        <v>6</v>
      </c>
      <c r="O236" s="5">
        <v>2</v>
      </c>
      <c r="P236" s="5">
        <f>ROUND(P235*18/100,O236)</f>
        <v>73585.070000000007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1</v>
      </c>
      <c r="C237" s="5">
        <v>0</v>
      </c>
      <c r="D237" s="5">
        <v>2</v>
      </c>
      <c r="E237" s="5">
        <v>213</v>
      </c>
      <c r="F237" s="5">
        <f>ROUND(F235+F236,O237)</f>
        <v>78951.16</v>
      </c>
      <c r="G237" s="5" t="s">
        <v>426</v>
      </c>
      <c r="H237" s="5" t="s">
        <v>427</v>
      </c>
      <c r="I237" s="5"/>
      <c r="J237" s="5"/>
      <c r="K237" s="5">
        <v>212</v>
      </c>
      <c r="L237" s="5">
        <v>29</v>
      </c>
      <c r="M237" s="5">
        <v>0</v>
      </c>
      <c r="N237" s="5" t="s">
        <v>6</v>
      </c>
      <c r="O237" s="5">
        <v>2</v>
      </c>
      <c r="P237" s="5">
        <f>ROUND(P235+P236,O237)</f>
        <v>482390.99</v>
      </c>
      <c r="Q237" s="5"/>
      <c r="R237" s="5"/>
      <c r="S237" s="5"/>
      <c r="T237" s="5"/>
      <c r="U237" s="5"/>
      <c r="V237" s="5"/>
      <c r="W237" s="5"/>
    </row>
    <row r="240" spans="1:23" x14ac:dyDescent="0.2">
      <c r="A240">
        <v>70</v>
      </c>
      <c r="B240">
        <v>1</v>
      </c>
      <c r="D240">
        <v>1</v>
      </c>
      <c r="E240" t="s">
        <v>428</v>
      </c>
      <c r="F240" t="s">
        <v>429</v>
      </c>
      <c r="G240">
        <v>0</v>
      </c>
      <c r="H240">
        <v>0</v>
      </c>
      <c r="I240" t="s">
        <v>6</v>
      </c>
      <c r="J240">
        <v>1</v>
      </c>
      <c r="K240">
        <v>0</v>
      </c>
      <c r="L240" t="s">
        <v>6</v>
      </c>
      <c r="M240" t="s">
        <v>6</v>
      </c>
      <c r="N240">
        <v>0</v>
      </c>
      <c r="O240">
        <v>0</v>
      </c>
    </row>
    <row r="241" spans="1:15" x14ac:dyDescent="0.2">
      <c r="A241">
        <v>70</v>
      </c>
      <c r="B241">
        <v>1</v>
      </c>
      <c r="D241">
        <v>2</v>
      </c>
      <c r="E241" t="s">
        <v>430</v>
      </c>
      <c r="F241" t="s">
        <v>431</v>
      </c>
      <c r="G241">
        <v>1</v>
      </c>
      <c r="H241">
        <v>0</v>
      </c>
      <c r="I241" t="s">
        <v>6</v>
      </c>
      <c r="J241">
        <v>1</v>
      </c>
      <c r="K241">
        <v>0</v>
      </c>
      <c r="L241" t="s">
        <v>6</v>
      </c>
      <c r="M241" t="s">
        <v>6</v>
      </c>
      <c r="N241">
        <v>0</v>
      </c>
      <c r="O241">
        <v>1</v>
      </c>
    </row>
    <row r="242" spans="1:15" x14ac:dyDescent="0.2">
      <c r="A242">
        <v>70</v>
      </c>
      <c r="B242">
        <v>1</v>
      </c>
      <c r="D242">
        <v>3</v>
      </c>
      <c r="E242" t="s">
        <v>432</v>
      </c>
      <c r="F242" t="s">
        <v>433</v>
      </c>
      <c r="G242">
        <v>0</v>
      </c>
      <c r="H242">
        <v>0</v>
      </c>
      <c r="I242" t="s">
        <v>6</v>
      </c>
      <c r="J242">
        <v>1</v>
      </c>
      <c r="K242">
        <v>0</v>
      </c>
      <c r="L242" t="s">
        <v>6</v>
      </c>
      <c r="M242" t="s">
        <v>6</v>
      </c>
      <c r="N242">
        <v>0</v>
      </c>
      <c r="O242">
        <v>0</v>
      </c>
    </row>
    <row r="243" spans="1:15" x14ac:dyDescent="0.2">
      <c r="A243">
        <v>70</v>
      </c>
      <c r="B243">
        <v>1</v>
      </c>
      <c r="D243">
        <v>4</v>
      </c>
      <c r="E243" t="s">
        <v>434</v>
      </c>
      <c r="F243" t="s">
        <v>435</v>
      </c>
      <c r="G243">
        <v>0</v>
      </c>
      <c r="H243">
        <v>0</v>
      </c>
      <c r="I243" t="s">
        <v>436</v>
      </c>
      <c r="J243">
        <v>0</v>
      </c>
      <c r="K243">
        <v>0</v>
      </c>
      <c r="L243" t="s">
        <v>6</v>
      </c>
      <c r="M243" t="s">
        <v>6</v>
      </c>
      <c r="N243">
        <v>0</v>
      </c>
      <c r="O243">
        <v>0</v>
      </c>
    </row>
    <row r="244" spans="1:15" x14ac:dyDescent="0.2">
      <c r="A244">
        <v>70</v>
      </c>
      <c r="B244">
        <v>1</v>
      </c>
      <c r="D244">
        <v>5</v>
      </c>
      <c r="E244" t="s">
        <v>437</v>
      </c>
      <c r="F244" t="s">
        <v>438</v>
      </c>
      <c r="G244">
        <v>0</v>
      </c>
      <c r="H244">
        <v>0</v>
      </c>
      <c r="I244" t="s">
        <v>439</v>
      </c>
      <c r="J244">
        <v>0</v>
      </c>
      <c r="K244">
        <v>0</v>
      </c>
      <c r="L244" t="s">
        <v>6</v>
      </c>
      <c r="M244" t="s">
        <v>6</v>
      </c>
      <c r="N244">
        <v>0</v>
      </c>
      <c r="O244">
        <v>0</v>
      </c>
    </row>
    <row r="245" spans="1:15" x14ac:dyDescent="0.2">
      <c r="A245">
        <v>70</v>
      </c>
      <c r="B245">
        <v>1</v>
      </c>
      <c r="D245">
        <v>6</v>
      </c>
      <c r="E245" t="s">
        <v>440</v>
      </c>
      <c r="F245" t="s">
        <v>441</v>
      </c>
      <c r="G245">
        <v>0</v>
      </c>
      <c r="H245">
        <v>0</v>
      </c>
      <c r="I245" t="s">
        <v>442</v>
      </c>
      <c r="J245">
        <v>0</v>
      </c>
      <c r="K245">
        <v>0</v>
      </c>
      <c r="L245" t="s">
        <v>6</v>
      </c>
      <c r="M245" t="s">
        <v>6</v>
      </c>
      <c r="N245">
        <v>0</v>
      </c>
      <c r="O245">
        <v>0</v>
      </c>
    </row>
    <row r="246" spans="1:15" x14ac:dyDescent="0.2">
      <c r="A246">
        <v>70</v>
      </c>
      <c r="B246">
        <v>1</v>
      </c>
      <c r="D246">
        <v>7</v>
      </c>
      <c r="E246" t="s">
        <v>443</v>
      </c>
      <c r="F246" t="s">
        <v>444</v>
      </c>
      <c r="G246">
        <v>0</v>
      </c>
      <c r="H246">
        <v>0</v>
      </c>
      <c r="I246" t="s">
        <v>6</v>
      </c>
      <c r="J246">
        <v>0</v>
      </c>
      <c r="K246">
        <v>0</v>
      </c>
      <c r="L246" t="s">
        <v>6</v>
      </c>
      <c r="M246" t="s">
        <v>6</v>
      </c>
      <c r="N246">
        <v>0</v>
      </c>
      <c r="O246">
        <v>0</v>
      </c>
    </row>
    <row r="247" spans="1:15" x14ac:dyDescent="0.2">
      <c r="A247">
        <v>70</v>
      </c>
      <c r="B247">
        <v>1</v>
      </c>
      <c r="D247">
        <v>8</v>
      </c>
      <c r="E247" t="s">
        <v>445</v>
      </c>
      <c r="F247" t="s">
        <v>446</v>
      </c>
      <c r="G247">
        <v>0</v>
      </c>
      <c r="H247">
        <v>0</v>
      </c>
      <c r="I247" t="s">
        <v>447</v>
      </c>
      <c r="J247">
        <v>0</v>
      </c>
      <c r="K247">
        <v>0</v>
      </c>
      <c r="L247" t="s">
        <v>6</v>
      </c>
      <c r="M247" t="s">
        <v>6</v>
      </c>
      <c r="N247">
        <v>0</v>
      </c>
      <c r="O247">
        <v>0</v>
      </c>
    </row>
    <row r="248" spans="1:15" x14ac:dyDescent="0.2">
      <c r="A248">
        <v>70</v>
      </c>
      <c r="B248">
        <v>1</v>
      </c>
      <c r="D248">
        <v>9</v>
      </c>
      <c r="E248" t="s">
        <v>448</v>
      </c>
      <c r="F248" t="s">
        <v>449</v>
      </c>
      <c r="G248">
        <v>0</v>
      </c>
      <c r="H248">
        <v>0</v>
      </c>
      <c r="I248" t="s">
        <v>450</v>
      </c>
      <c r="J248">
        <v>0</v>
      </c>
      <c r="K248">
        <v>0</v>
      </c>
      <c r="L248" t="s">
        <v>6</v>
      </c>
      <c r="M248" t="s">
        <v>6</v>
      </c>
      <c r="N248">
        <v>0</v>
      </c>
      <c r="O248">
        <v>0</v>
      </c>
    </row>
    <row r="249" spans="1:15" x14ac:dyDescent="0.2">
      <c r="A249">
        <v>70</v>
      </c>
      <c r="B249">
        <v>1</v>
      </c>
      <c r="D249">
        <v>10</v>
      </c>
      <c r="E249" t="s">
        <v>451</v>
      </c>
      <c r="F249" t="s">
        <v>452</v>
      </c>
      <c r="G249">
        <v>0</v>
      </c>
      <c r="H249">
        <v>0</v>
      </c>
      <c r="I249" t="s">
        <v>453</v>
      </c>
      <c r="J249">
        <v>0</v>
      </c>
      <c r="K249">
        <v>0</v>
      </c>
      <c r="L249" t="s">
        <v>6</v>
      </c>
      <c r="M249" t="s">
        <v>6</v>
      </c>
      <c r="N249">
        <v>0</v>
      </c>
      <c r="O249">
        <v>0</v>
      </c>
    </row>
    <row r="250" spans="1:15" x14ac:dyDescent="0.2">
      <c r="A250">
        <v>70</v>
      </c>
      <c r="B250">
        <v>1</v>
      </c>
      <c r="D250">
        <v>11</v>
      </c>
      <c r="E250" t="s">
        <v>454</v>
      </c>
      <c r="F250" t="s">
        <v>455</v>
      </c>
      <c r="G250">
        <v>0</v>
      </c>
      <c r="H250">
        <v>0</v>
      </c>
      <c r="I250" t="s">
        <v>456</v>
      </c>
      <c r="J250">
        <v>0</v>
      </c>
      <c r="K250">
        <v>0</v>
      </c>
      <c r="L250" t="s">
        <v>6</v>
      </c>
      <c r="M250" t="s">
        <v>6</v>
      </c>
      <c r="N250">
        <v>0</v>
      </c>
      <c r="O250">
        <v>0</v>
      </c>
    </row>
    <row r="251" spans="1:15" x14ac:dyDescent="0.2">
      <c r="A251">
        <v>70</v>
      </c>
      <c r="B251">
        <v>1</v>
      </c>
      <c r="D251">
        <v>12</v>
      </c>
      <c r="E251" t="s">
        <v>457</v>
      </c>
      <c r="F251" t="s">
        <v>458</v>
      </c>
      <c r="G251">
        <v>0</v>
      </c>
      <c r="H251">
        <v>0</v>
      </c>
      <c r="I251" t="s">
        <v>6</v>
      </c>
      <c r="J251">
        <v>0</v>
      </c>
      <c r="K251">
        <v>0</v>
      </c>
      <c r="L251" t="s">
        <v>6</v>
      </c>
      <c r="M251" t="s">
        <v>6</v>
      </c>
      <c r="N251">
        <v>0</v>
      </c>
      <c r="O251">
        <v>0</v>
      </c>
    </row>
    <row r="252" spans="1:15" x14ac:dyDescent="0.2">
      <c r="A252">
        <v>70</v>
      </c>
      <c r="B252">
        <v>1</v>
      </c>
      <c r="D252">
        <v>1</v>
      </c>
      <c r="E252" t="s">
        <v>459</v>
      </c>
      <c r="F252" t="s">
        <v>460</v>
      </c>
      <c r="G252">
        <v>0.9</v>
      </c>
      <c r="H252">
        <v>1</v>
      </c>
      <c r="I252" t="s">
        <v>461</v>
      </c>
      <c r="J252">
        <v>0</v>
      </c>
      <c r="K252">
        <v>0</v>
      </c>
      <c r="L252" t="s">
        <v>6</v>
      </c>
      <c r="M252" t="s">
        <v>6</v>
      </c>
      <c r="N252">
        <v>0</v>
      </c>
      <c r="O252">
        <v>0.9</v>
      </c>
    </row>
    <row r="253" spans="1:15" x14ac:dyDescent="0.2">
      <c r="A253">
        <v>70</v>
      </c>
      <c r="B253">
        <v>1</v>
      </c>
      <c r="D253">
        <v>2</v>
      </c>
      <c r="E253" t="s">
        <v>462</v>
      </c>
      <c r="F253" t="s">
        <v>463</v>
      </c>
      <c r="G253">
        <v>0.85</v>
      </c>
      <c r="H253">
        <v>1</v>
      </c>
      <c r="I253" t="s">
        <v>464</v>
      </c>
      <c r="J253">
        <v>0</v>
      </c>
      <c r="K253">
        <v>0</v>
      </c>
      <c r="L253" t="s">
        <v>6</v>
      </c>
      <c r="M253" t="s">
        <v>6</v>
      </c>
      <c r="N253">
        <v>0</v>
      </c>
      <c r="O253">
        <v>0.85</v>
      </c>
    </row>
    <row r="254" spans="1:15" x14ac:dyDescent="0.2">
      <c r="A254">
        <v>70</v>
      </c>
      <c r="B254">
        <v>1</v>
      </c>
      <c r="D254">
        <v>3</v>
      </c>
      <c r="E254" t="s">
        <v>465</v>
      </c>
      <c r="F254" t="s">
        <v>466</v>
      </c>
      <c r="G254">
        <v>1</v>
      </c>
      <c r="H254">
        <v>0.85</v>
      </c>
      <c r="I254" t="s">
        <v>467</v>
      </c>
      <c r="J254">
        <v>0</v>
      </c>
      <c r="K254">
        <v>0</v>
      </c>
      <c r="L254" t="s">
        <v>6</v>
      </c>
      <c r="M254" t="s">
        <v>6</v>
      </c>
      <c r="N254">
        <v>0</v>
      </c>
      <c r="O254">
        <v>1</v>
      </c>
    </row>
    <row r="255" spans="1:15" x14ac:dyDescent="0.2">
      <c r="A255">
        <v>70</v>
      </c>
      <c r="B255">
        <v>1</v>
      </c>
      <c r="D255">
        <v>4</v>
      </c>
      <c r="E255" t="s">
        <v>468</v>
      </c>
      <c r="F255" t="s">
        <v>469</v>
      </c>
      <c r="G255">
        <v>1</v>
      </c>
      <c r="H255">
        <v>0</v>
      </c>
      <c r="I255" t="s">
        <v>6</v>
      </c>
      <c r="J255">
        <v>0</v>
      </c>
      <c r="K255">
        <v>0</v>
      </c>
      <c r="L255" t="s">
        <v>6</v>
      </c>
      <c r="M255" t="s">
        <v>6</v>
      </c>
      <c r="N255">
        <v>0</v>
      </c>
      <c r="O255">
        <v>1</v>
      </c>
    </row>
    <row r="256" spans="1:15" x14ac:dyDescent="0.2">
      <c r="A256">
        <v>70</v>
      </c>
      <c r="B256">
        <v>1</v>
      </c>
      <c r="D256">
        <v>5</v>
      </c>
      <c r="E256" t="s">
        <v>470</v>
      </c>
      <c r="F256" t="s">
        <v>471</v>
      </c>
      <c r="G256">
        <v>1</v>
      </c>
      <c r="H256">
        <v>0.8</v>
      </c>
      <c r="I256" t="s">
        <v>472</v>
      </c>
      <c r="J256">
        <v>0</v>
      </c>
      <c r="K256">
        <v>0</v>
      </c>
      <c r="L256" t="s">
        <v>6</v>
      </c>
      <c r="M256" t="s">
        <v>6</v>
      </c>
      <c r="N256">
        <v>0</v>
      </c>
      <c r="O256">
        <v>1</v>
      </c>
    </row>
    <row r="257" spans="1:34" x14ac:dyDescent="0.2">
      <c r="A257">
        <v>70</v>
      </c>
      <c r="B257">
        <v>1</v>
      </c>
      <c r="D257">
        <v>6</v>
      </c>
      <c r="E257" t="s">
        <v>473</v>
      </c>
      <c r="F257" t="s">
        <v>474</v>
      </c>
      <c r="G257">
        <v>1</v>
      </c>
      <c r="H257">
        <v>0</v>
      </c>
      <c r="I257" t="s">
        <v>6</v>
      </c>
      <c r="J257">
        <v>0</v>
      </c>
      <c r="K257">
        <v>0</v>
      </c>
      <c r="L257" t="s">
        <v>6</v>
      </c>
      <c r="M257" t="s">
        <v>6</v>
      </c>
      <c r="N257">
        <v>0</v>
      </c>
      <c r="O257">
        <v>0.85</v>
      </c>
    </row>
    <row r="258" spans="1:34" x14ac:dyDescent="0.2">
      <c r="A258">
        <v>70</v>
      </c>
      <c r="B258">
        <v>1</v>
      </c>
      <c r="D258">
        <v>7</v>
      </c>
      <c r="E258" t="s">
        <v>475</v>
      </c>
      <c r="F258" t="s">
        <v>476</v>
      </c>
      <c r="G258">
        <v>1</v>
      </c>
      <c r="H258">
        <v>0</v>
      </c>
      <c r="I258" t="s">
        <v>6</v>
      </c>
      <c r="J258">
        <v>0</v>
      </c>
      <c r="K258">
        <v>0</v>
      </c>
      <c r="L258" t="s">
        <v>6</v>
      </c>
      <c r="M258" t="s">
        <v>6</v>
      </c>
      <c r="N258">
        <v>0</v>
      </c>
      <c r="O258">
        <v>0.8</v>
      </c>
    </row>
    <row r="259" spans="1:34" x14ac:dyDescent="0.2">
      <c r="A259">
        <v>70</v>
      </c>
      <c r="B259">
        <v>1</v>
      </c>
      <c r="D259">
        <v>8</v>
      </c>
      <c r="E259" t="s">
        <v>477</v>
      </c>
      <c r="F259" t="s">
        <v>478</v>
      </c>
      <c r="G259">
        <v>0.7</v>
      </c>
      <c r="H259">
        <v>0</v>
      </c>
      <c r="I259" t="s">
        <v>6</v>
      </c>
      <c r="J259">
        <v>0</v>
      </c>
      <c r="K259">
        <v>0</v>
      </c>
      <c r="L259" t="s">
        <v>6</v>
      </c>
      <c r="M259" t="s">
        <v>6</v>
      </c>
      <c r="N259">
        <v>0</v>
      </c>
      <c r="O259">
        <v>0.94</v>
      </c>
    </row>
    <row r="260" spans="1:34" x14ac:dyDescent="0.2">
      <c r="A260">
        <v>70</v>
      </c>
      <c r="B260">
        <v>1</v>
      </c>
      <c r="D260">
        <v>9</v>
      </c>
      <c r="E260" t="s">
        <v>479</v>
      </c>
      <c r="F260" t="s">
        <v>480</v>
      </c>
      <c r="G260">
        <v>0.9</v>
      </c>
      <c r="H260">
        <v>0</v>
      </c>
      <c r="I260" t="s">
        <v>6</v>
      </c>
      <c r="J260">
        <v>0</v>
      </c>
      <c r="K260">
        <v>0</v>
      </c>
      <c r="L260" t="s">
        <v>6</v>
      </c>
      <c r="M260" t="s">
        <v>6</v>
      </c>
      <c r="N260">
        <v>0</v>
      </c>
      <c r="O260">
        <v>0.9</v>
      </c>
    </row>
    <row r="261" spans="1:34" x14ac:dyDescent="0.2">
      <c r="A261">
        <v>70</v>
      </c>
      <c r="B261">
        <v>1</v>
      </c>
      <c r="D261">
        <v>10</v>
      </c>
      <c r="E261" t="s">
        <v>481</v>
      </c>
      <c r="F261" t="s">
        <v>482</v>
      </c>
      <c r="G261">
        <v>0.6</v>
      </c>
      <c r="H261">
        <v>0</v>
      </c>
      <c r="I261" t="s">
        <v>6</v>
      </c>
      <c r="J261">
        <v>0</v>
      </c>
      <c r="K261">
        <v>0</v>
      </c>
      <c r="L261" t="s">
        <v>6</v>
      </c>
      <c r="M261" t="s">
        <v>6</v>
      </c>
      <c r="N261">
        <v>0</v>
      </c>
      <c r="O261">
        <v>0.6</v>
      </c>
    </row>
    <row r="262" spans="1:34" x14ac:dyDescent="0.2">
      <c r="A262">
        <v>70</v>
      </c>
      <c r="B262">
        <v>1</v>
      </c>
      <c r="D262">
        <v>11</v>
      </c>
      <c r="E262" t="s">
        <v>483</v>
      </c>
      <c r="F262" t="s">
        <v>484</v>
      </c>
      <c r="G262">
        <v>1.2</v>
      </c>
      <c r="H262">
        <v>0</v>
      </c>
      <c r="I262" t="s">
        <v>6</v>
      </c>
      <c r="J262">
        <v>0</v>
      </c>
      <c r="K262">
        <v>0</v>
      </c>
      <c r="L262" t="s">
        <v>6</v>
      </c>
      <c r="M262" t="s">
        <v>6</v>
      </c>
      <c r="N262">
        <v>0</v>
      </c>
      <c r="O262">
        <v>1.2</v>
      </c>
    </row>
    <row r="263" spans="1:34" x14ac:dyDescent="0.2">
      <c r="A263">
        <v>70</v>
      </c>
      <c r="B263">
        <v>1</v>
      </c>
      <c r="D263">
        <v>12</v>
      </c>
      <c r="E263" t="s">
        <v>485</v>
      </c>
      <c r="F263" t="s">
        <v>486</v>
      </c>
      <c r="G263">
        <v>0</v>
      </c>
      <c r="H263">
        <v>0</v>
      </c>
      <c r="I263" t="s">
        <v>6</v>
      </c>
      <c r="J263">
        <v>0</v>
      </c>
      <c r="K263">
        <v>0</v>
      </c>
      <c r="L263" t="s">
        <v>6</v>
      </c>
      <c r="M263" t="s">
        <v>6</v>
      </c>
      <c r="N263">
        <v>0</v>
      </c>
      <c r="O263">
        <v>0</v>
      </c>
    </row>
    <row r="264" spans="1:34" x14ac:dyDescent="0.2">
      <c r="A264">
        <v>70</v>
      </c>
      <c r="B264">
        <v>1</v>
      </c>
      <c r="D264">
        <v>13</v>
      </c>
      <c r="E264" t="s">
        <v>487</v>
      </c>
      <c r="F264" t="s">
        <v>488</v>
      </c>
      <c r="G264">
        <v>1</v>
      </c>
      <c r="H264">
        <v>0</v>
      </c>
      <c r="I264" t="s">
        <v>6</v>
      </c>
      <c r="J264">
        <v>0</v>
      </c>
      <c r="K264">
        <v>0</v>
      </c>
      <c r="L264" t="s">
        <v>6</v>
      </c>
      <c r="M264" t="s">
        <v>6</v>
      </c>
      <c r="N264">
        <v>0</v>
      </c>
      <c r="O264">
        <v>0.94</v>
      </c>
    </row>
    <row r="266" spans="1:34" x14ac:dyDescent="0.2">
      <c r="A266">
        <v>-1</v>
      </c>
    </row>
    <row r="268" spans="1:34" x14ac:dyDescent="0.2">
      <c r="A268" s="4">
        <v>75</v>
      </c>
      <c r="B268" s="4" t="s">
        <v>489</v>
      </c>
      <c r="C268" s="4">
        <v>2000</v>
      </c>
      <c r="D268" s="4">
        <v>0</v>
      </c>
      <c r="E268" s="4">
        <v>1</v>
      </c>
      <c r="F268" s="4"/>
      <c r="G268" s="4">
        <v>0</v>
      </c>
      <c r="H268" s="4">
        <v>1</v>
      </c>
      <c r="I268" s="4">
        <v>0</v>
      </c>
      <c r="J268" s="4">
        <v>1</v>
      </c>
      <c r="K268" s="4">
        <v>0</v>
      </c>
      <c r="L268" s="4">
        <v>0</v>
      </c>
      <c r="M268" s="4">
        <v>0</v>
      </c>
      <c r="N268" s="4">
        <v>16784195</v>
      </c>
      <c r="O268" s="4">
        <v>1</v>
      </c>
    </row>
    <row r="269" spans="1:34" x14ac:dyDescent="0.2">
      <c r="A269" s="4">
        <v>75</v>
      </c>
      <c r="B269" s="4" t="s">
        <v>490</v>
      </c>
      <c r="C269" s="4">
        <v>2018</v>
      </c>
      <c r="D269" s="4">
        <v>2</v>
      </c>
      <c r="E269" s="4">
        <v>0</v>
      </c>
      <c r="F269" s="4"/>
      <c r="G269" s="4">
        <v>0</v>
      </c>
      <c r="H269" s="4">
        <v>1</v>
      </c>
      <c r="I269" s="4">
        <v>0</v>
      </c>
      <c r="J269" s="4">
        <v>1</v>
      </c>
      <c r="K269" s="4">
        <v>0</v>
      </c>
      <c r="L269" s="4">
        <v>0</v>
      </c>
      <c r="M269" s="4">
        <v>1</v>
      </c>
      <c r="N269" s="4">
        <v>16784196</v>
      </c>
      <c r="O269" s="4">
        <v>2</v>
      </c>
    </row>
    <row r="270" spans="1:34" x14ac:dyDescent="0.2">
      <c r="A270" s="6">
        <v>3</v>
      </c>
      <c r="B270" s="6" t="s">
        <v>491</v>
      </c>
      <c r="C270" s="6">
        <v>6.11</v>
      </c>
      <c r="D270" s="6">
        <v>1</v>
      </c>
      <c r="E270" s="6">
        <v>1</v>
      </c>
      <c r="F270" s="6">
        <v>1</v>
      </c>
      <c r="G270" s="6">
        <v>1</v>
      </c>
      <c r="H270" s="6">
        <v>1</v>
      </c>
      <c r="I270" s="6">
        <v>1</v>
      </c>
      <c r="J270" s="6">
        <v>1</v>
      </c>
      <c r="K270" s="6">
        <v>14.38</v>
      </c>
      <c r="L270" s="6">
        <v>1</v>
      </c>
      <c r="M270" s="6">
        <v>6.11</v>
      </c>
      <c r="N270" s="6">
        <v>1</v>
      </c>
      <c r="O270" s="6">
        <v>1</v>
      </c>
      <c r="P270" s="6">
        <v>1</v>
      </c>
      <c r="Q270" s="6">
        <v>14.38</v>
      </c>
      <c r="R270" s="6">
        <v>1</v>
      </c>
      <c r="S270" s="6" t="s">
        <v>6</v>
      </c>
      <c r="T270" s="6" t="s">
        <v>6</v>
      </c>
      <c r="U270" s="6" t="s">
        <v>6</v>
      </c>
      <c r="V270" s="6" t="s">
        <v>6</v>
      </c>
      <c r="W270" s="6" t="s">
        <v>6</v>
      </c>
      <c r="X270" s="6" t="s">
        <v>6</v>
      </c>
      <c r="Y270" s="6" t="s">
        <v>6</v>
      </c>
      <c r="Z270" s="6" t="s">
        <v>6</v>
      </c>
      <c r="AA270" s="6" t="s">
        <v>6</v>
      </c>
      <c r="AB270" s="6" t="s">
        <v>6</v>
      </c>
      <c r="AC270" s="6" t="s">
        <v>6</v>
      </c>
      <c r="AD270" s="6" t="s">
        <v>6</v>
      </c>
      <c r="AE270" s="6" t="s">
        <v>6</v>
      </c>
      <c r="AF270" s="6" t="s">
        <v>6</v>
      </c>
      <c r="AG270" s="6" t="s">
        <v>6</v>
      </c>
      <c r="AH270" s="6" t="s">
        <v>6</v>
      </c>
    </row>
    <row r="274" spans="1:5" x14ac:dyDescent="0.2">
      <c r="A274">
        <v>65</v>
      </c>
      <c r="C274">
        <v>1</v>
      </c>
      <c r="D274">
        <v>0</v>
      </c>
      <c r="E27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492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16784195</v>
      </c>
      <c r="E14" s="1">
        <v>16784196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12</v>
      </c>
      <c r="D16" s="7" t="s">
        <v>12</v>
      </c>
      <c r="E16" s="8">
        <f>(Source!F192)/1000</f>
        <v>65.948350000000005</v>
      </c>
      <c r="F16" s="8">
        <f>(Source!F193)/1000</f>
        <v>0.95940999999999999</v>
      </c>
      <c r="G16" s="8">
        <f>(Source!F184)/1000</f>
        <v>0</v>
      </c>
      <c r="H16" s="8">
        <f>(Source!F194)/1000+(Source!F195)/1000</f>
        <v>0</v>
      </c>
      <c r="I16" s="8">
        <f>E16+F16+G16+H16</f>
        <v>66.90776000000001</v>
      </c>
      <c r="J16" s="8">
        <f>(Source!F190)/1000</f>
        <v>5.34049</v>
      </c>
      <c r="T16" s="9">
        <f>(Source!P192)/1000</f>
        <v>402.94384000000002</v>
      </c>
      <c r="U16" s="9">
        <f>(Source!P193)/1000</f>
        <v>5.8620799999999997</v>
      </c>
      <c r="V16" s="9">
        <f>(Source!P184)/1000</f>
        <v>0</v>
      </c>
      <c r="W16" s="9">
        <f>(Source!P194)/1000+(Source!P195)/1000</f>
        <v>0</v>
      </c>
      <c r="X16" s="9">
        <f>T16+U16+V16+W16</f>
        <v>408.80592000000001</v>
      </c>
      <c r="Y16" s="9">
        <f>(Source!P190)/1000</f>
        <v>32.630229999999997</v>
      </c>
      <c r="AI16" s="7">
        <v>0</v>
      </c>
      <c r="AJ16" s="7">
        <v>0</v>
      </c>
      <c r="AK16" s="7" t="s">
        <v>6</v>
      </c>
      <c r="AL16" s="7" t="s">
        <v>6</v>
      </c>
      <c r="AM16" s="7" t="s">
        <v>6</v>
      </c>
      <c r="AN16" s="7">
        <v>0</v>
      </c>
      <c r="AO16" s="7" t="s">
        <v>6</v>
      </c>
      <c r="AP16" s="7" t="s">
        <v>6</v>
      </c>
      <c r="AT16" s="8">
        <v>58075.45</v>
      </c>
      <c r="AU16" s="8">
        <v>52215.54</v>
      </c>
      <c r="AV16" s="8">
        <v>0</v>
      </c>
      <c r="AW16" s="8">
        <v>0</v>
      </c>
      <c r="AX16" s="8">
        <v>0</v>
      </c>
      <c r="AY16" s="8">
        <v>519.41999999999996</v>
      </c>
      <c r="AZ16" s="8">
        <v>104.84</v>
      </c>
      <c r="BA16" s="8">
        <v>5340.49</v>
      </c>
      <c r="BB16" s="8">
        <v>65948.350000000006</v>
      </c>
      <c r="BC16" s="8">
        <v>959.41</v>
      </c>
      <c r="BD16" s="8">
        <v>0</v>
      </c>
      <c r="BE16" s="8">
        <v>0</v>
      </c>
      <c r="BF16" s="8">
        <v>604.95366834999993</v>
      </c>
      <c r="BG16" s="8">
        <v>8.7776009999999989</v>
      </c>
      <c r="BH16" s="8">
        <v>0</v>
      </c>
      <c r="BI16" s="8">
        <v>5404.23</v>
      </c>
      <c r="BJ16" s="8">
        <v>3171.93</v>
      </c>
      <c r="BK16" s="8">
        <v>66907.759999999995</v>
      </c>
      <c r="BR16" s="9">
        <v>354840.99</v>
      </c>
      <c r="BS16" s="9">
        <v>319037.12</v>
      </c>
      <c r="BT16" s="9">
        <v>0</v>
      </c>
      <c r="BU16" s="9">
        <v>0</v>
      </c>
      <c r="BV16" s="9">
        <v>0</v>
      </c>
      <c r="BW16" s="9">
        <v>3173.64</v>
      </c>
      <c r="BX16" s="9">
        <v>640.4</v>
      </c>
      <c r="BY16" s="9">
        <v>32630.23</v>
      </c>
      <c r="BZ16" s="9">
        <v>402943.84</v>
      </c>
      <c r="CA16" s="9">
        <v>5862.08</v>
      </c>
      <c r="CB16" s="9">
        <v>0</v>
      </c>
      <c r="CC16" s="9">
        <v>0</v>
      </c>
      <c r="CD16" s="9">
        <v>604.95366834999993</v>
      </c>
      <c r="CE16" s="9">
        <v>8.7776009999999989</v>
      </c>
      <c r="CF16" s="9">
        <v>0</v>
      </c>
      <c r="CG16" s="9">
        <v>33019.68</v>
      </c>
      <c r="CH16" s="9">
        <v>19380.22</v>
      </c>
      <c r="CI16" s="9">
        <v>408805.92</v>
      </c>
    </row>
    <row r="18" spans="1:40" x14ac:dyDescent="0.2">
      <c r="A18">
        <v>51</v>
      </c>
      <c r="E18" s="10">
        <f>SUMIF(A16:A17,3,E16:E17)</f>
        <v>65.948350000000005</v>
      </c>
      <c r="F18" s="10">
        <f>SUMIF(A16:A17,3,F16:F17)</f>
        <v>0.95940999999999999</v>
      </c>
      <c r="G18" s="10">
        <f>SUMIF(A16:A17,3,G16:G17)</f>
        <v>0</v>
      </c>
      <c r="H18" s="10">
        <f>SUMIF(A16:A17,3,H16:H17)</f>
        <v>0</v>
      </c>
      <c r="I18" s="10">
        <f>SUMIF(A16:A17,3,I16:I17)</f>
        <v>66.90776000000001</v>
      </c>
      <c r="J18" s="10">
        <f>SUMIF(A16:A17,3,J16:J17)</f>
        <v>5.34049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402.94384000000002</v>
      </c>
      <c r="U18" s="3">
        <f>SUMIF(A16:A17,3,U16:U17)</f>
        <v>5.8620799999999997</v>
      </c>
      <c r="V18" s="3">
        <f>SUMIF(A16:A17,3,V16:V17)</f>
        <v>0</v>
      </c>
      <c r="W18" s="3">
        <f>SUMIF(A16:A17,3,W16:W17)</f>
        <v>0</v>
      </c>
      <c r="X18" s="3">
        <f>SUMIF(A16:A17,3,X16:X17)</f>
        <v>408.80592000000001</v>
      </c>
      <c r="Y18" s="3">
        <f>SUMIF(A16:A17,3,Y16:Y17)</f>
        <v>32.630229999999997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58075.45</v>
      </c>
      <c r="G20" s="5" t="s">
        <v>371</v>
      </c>
      <c r="H20" s="5" t="s">
        <v>372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354840.99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52215.54</v>
      </c>
      <c r="G21" s="5" t="s">
        <v>373</v>
      </c>
      <c r="H21" s="5" t="s">
        <v>374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319037.12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375</v>
      </c>
      <c r="H22" s="5" t="s">
        <v>376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52215.54</v>
      </c>
      <c r="G23" s="5" t="s">
        <v>377</v>
      </c>
      <c r="H23" s="5" t="s">
        <v>378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319037.12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52215.54</v>
      </c>
      <c r="G24" s="5" t="s">
        <v>379</v>
      </c>
      <c r="H24" s="5" t="s">
        <v>380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319037.12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381</v>
      </c>
      <c r="H25" s="5" t="s">
        <v>382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52215.54</v>
      </c>
      <c r="G26" s="5" t="s">
        <v>383</v>
      </c>
      <c r="H26" s="5" t="s">
        <v>384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319037.12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385</v>
      </c>
      <c r="H27" s="5" t="s">
        <v>386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387</v>
      </c>
      <c r="H28" s="5" t="s">
        <v>388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389</v>
      </c>
      <c r="H29" s="5" t="s">
        <v>390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519.41999999999996</v>
      </c>
      <c r="G30" s="5" t="s">
        <v>391</v>
      </c>
      <c r="H30" s="5" t="s">
        <v>392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3173.64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393</v>
      </c>
      <c r="H31" s="5" t="s">
        <v>394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104.84</v>
      </c>
      <c r="G32" s="5" t="s">
        <v>395</v>
      </c>
      <c r="H32" s="5" t="s">
        <v>396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640.4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5340.49</v>
      </c>
      <c r="G33" s="5" t="s">
        <v>397</v>
      </c>
      <c r="H33" s="5" t="s">
        <v>398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32630.23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399</v>
      </c>
      <c r="H34" s="5" t="s">
        <v>400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65948.350000000006</v>
      </c>
      <c r="G35" s="5" t="s">
        <v>401</v>
      </c>
      <c r="H35" s="5" t="s">
        <v>402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402943.84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959.41</v>
      </c>
      <c r="G36" s="5" t="s">
        <v>403</v>
      </c>
      <c r="H36" s="5" t="s">
        <v>404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5862.08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405</v>
      </c>
      <c r="H37" s="5" t="s">
        <v>406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407</v>
      </c>
      <c r="H38" s="5" t="s">
        <v>408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409</v>
      </c>
      <c r="H39" s="5" t="s">
        <v>410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604.95366834999993</v>
      </c>
      <c r="G40" s="5" t="s">
        <v>411</v>
      </c>
      <c r="H40" s="5" t="s">
        <v>412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-1</v>
      </c>
      <c r="P40" s="5">
        <v>604.95366834999993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8.7776009999999989</v>
      </c>
      <c r="G41" s="5" t="s">
        <v>413</v>
      </c>
      <c r="H41" s="5" t="s">
        <v>414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-1</v>
      </c>
      <c r="P41" s="5">
        <v>8.7776009999999989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415</v>
      </c>
      <c r="H42" s="5" t="s">
        <v>416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5404.23</v>
      </c>
      <c r="G43" s="5" t="s">
        <v>417</v>
      </c>
      <c r="H43" s="5" t="s">
        <v>418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33019.68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3171.93</v>
      </c>
      <c r="G44" s="5" t="s">
        <v>419</v>
      </c>
      <c r="H44" s="5" t="s">
        <v>420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19380.22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66907.759999999995</v>
      </c>
      <c r="G45" s="5" t="s">
        <v>421</v>
      </c>
      <c r="H45" s="5" t="s">
        <v>422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408805.92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66907.759999999995</v>
      </c>
      <c r="G46" s="5" t="s">
        <v>423</v>
      </c>
      <c r="H46" s="5" t="s">
        <v>422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408805.92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12043.4</v>
      </c>
      <c r="G47" s="5" t="s">
        <v>424</v>
      </c>
      <c r="H47" s="5" t="s">
        <v>425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73585.070000000007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213</v>
      </c>
      <c r="F48" s="5">
        <v>78951.16</v>
      </c>
      <c r="G48" s="5" t="s">
        <v>426</v>
      </c>
      <c r="H48" s="5" t="s">
        <v>427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482390.99</v>
      </c>
    </row>
    <row r="50" spans="1:34" x14ac:dyDescent="0.2">
      <c r="A50">
        <v>-1</v>
      </c>
    </row>
    <row r="53" spans="1:34" x14ac:dyDescent="0.2">
      <c r="A53" s="4">
        <v>75</v>
      </c>
      <c r="B53" s="4" t="s">
        <v>489</v>
      </c>
      <c r="C53" s="4">
        <v>2000</v>
      </c>
      <c r="D53" s="4">
        <v>0</v>
      </c>
      <c r="E53" s="4">
        <v>1</v>
      </c>
      <c r="F53" s="4"/>
      <c r="G53" s="4">
        <v>0</v>
      </c>
      <c r="H53" s="4">
        <v>1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16784195</v>
      </c>
      <c r="O53" s="4">
        <v>1</v>
      </c>
    </row>
    <row r="54" spans="1:34" x14ac:dyDescent="0.2">
      <c r="A54" s="4">
        <v>75</v>
      </c>
      <c r="B54" s="4" t="s">
        <v>490</v>
      </c>
      <c r="C54" s="4">
        <v>2018</v>
      </c>
      <c r="D54" s="4">
        <v>2</v>
      </c>
      <c r="E54" s="4">
        <v>0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1</v>
      </c>
      <c r="N54" s="4">
        <v>16784196</v>
      </c>
      <c r="O54" s="4">
        <v>2</v>
      </c>
    </row>
    <row r="55" spans="1:34" x14ac:dyDescent="0.2">
      <c r="A55" s="6">
        <v>3</v>
      </c>
      <c r="B55" s="6" t="s">
        <v>491</v>
      </c>
      <c r="C55" s="6">
        <v>6.11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6">
        <v>1</v>
      </c>
      <c r="K55" s="6">
        <v>14.38</v>
      </c>
      <c r="L55" s="6">
        <v>1</v>
      </c>
      <c r="M55" s="6">
        <v>6.11</v>
      </c>
      <c r="N55" s="6">
        <v>1</v>
      </c>
      <c r="O55" s="6">
        <v>1</v>
      </c>
      <c r="P55" s="6">
        <v>1</v>
      </c>
      <c r="Q55" s="6">
        <v>14.38</v>
      </c>
      <c r="R55" s="6">
        <v>1</v>
      </c>
      <c r="S55" s="6" t="s">
        <v>6</v>
      </c>
      <c r="T55" s="6" t="s">
        <v>6</v>
      </c>
      <c r="U55" s="6" t="s">
        <v>6</v>
      </c>
      <c r="V55" s="6" t="s">
        <v>6</v>
      </c>
      <c r="W55" s="6" t="s">
        <v>6</v>
      </c>
      <c r="X55" s="6" t="s">
        <v>6</v>
      </c>
      <c r="Y55" s="6" t="s">
        <v>6</v>
      </c>
      <c r="Z55" s="6" t="s">
        <v>6</v>
      </c>
      <c r="AA55" s="6" t="s">
        <v>6</v>
      </c>
      <c r="AB55" s="6" t="s">
        <v>6</v>
      </c>
      <c r="AC55" s="6" t="s">
        <v>6</v>
      </c>
      <c r="AD55" s="6" t="s">
        <v>6</v>
      </c>
      <c r="AE55" s="6" t="s">
        <v>6</v>
      </c>
      <c r="AF55" s="6" t="s">
        <v>6</v>
      </c>
      <c r="AG55" s="6" t="s">
        <v>6</v>
      </c>
      <c r="AH55" s="6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53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ROW(Source!A24)</f>
        <v>24</v>
      </c>
      <c r="B1">
        <v>16784195</v>
      </c>
      <c r="C1">
        <v>16784258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493</v>
      </c>
      <c r="J1" t="s">
        <v>6</v>
      </c>
      <c r="K1" t="s">
        <v>494</v>
      </c>
      <c r="L1">
        <v>1191</v>
      </c>
      <c r="N1">
        <v>1013</v>
      </c>
      <c r="O1" t="s">
        <v>495</v>
      </c>
      <c r="P1" t="s">
        <v>495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8.09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16784262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6.1086959999999992</v>
      </c>
      <c r="CY1">
        <f>AD1</f>
        <v>8.09</v>
      </c>
      <c r="CZ1">
        <f>AH1</f>
        <v>8.09</v>
      </c>
      <c r="DA1">
        <f>AL1</f>
        <v>1</v>
      </c>
      <c r="DB1">
        <f t="shared" ref="DB1:DB6" si="0">ROUND(ROUND(AT1*CZ1,2),2)</f>
        <v>1525.29</v>
      </c>
      <c r="DC1">
        <f t="shared" ref="DC1:DC6" si="1">ROUND(ROUND(AT1*AG1,2),2)</f>
        <v>0</v>
      </c>
    </row>
    <row r="2" spans="1:107" x14ac:dyDescent="0.2">
      <c r="A2">
        <f>ROW(Source!A24)</f>
        <v>24</v>
      </c>
      <c r="B2">
        <v>16784195</v>
      </c>
      <c r="C2">
        <v>16784258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496</v>
      </c>
      <c r="J2" t="s">
        <v>6</v>
      </c>
      <c r="K2" t="s">
        <v>497</v>
      </c>
      <c r="L2">
        <v>1191</v>
      </c>
      <c r="N2">
        <v>1013</v>
      </c>
      <c r="O2" t="s">
        <v>495</v>
      </c>
      <c r="P2" t="s">
        <v>495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16784263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0.250776</v>
      </c>
      <c r="CY2">
        <f>AD2</f>
        <v>0</v>
      </c>
      <c r="CZ2">
        <f>AH2</f>
        <v>0</v>
      </c>
      <c r="DA2">
        <f>AL2</f>
        <v>1</v>
      </c>
      <c r="DB2">
        <f t="shared" si="0"/>
        <v>0</v>
      </c>
      <c r="DC2">
        <f t="shared" si="1"/>
        <v>0</v>
      </c>
    </row>
    <row r="3" spans="1:107" x14ac:dyDescent="0.2">
      <c r="A3">
        <f>ROW(Source!A24)</f>
        <v>24</v>
      </c>
      <c r="B3">
        <v>16784195</v>
      </c>
      <c r="C3">
        <v>16784258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498</v>
      </c>
      <c r="J3" t="s">
        <v>499</v>
      </c>
      <c r="K3" t="s">
        <v>500</v>
      </c>
      <c r="L3">
        <v>1368</v>
      </c>
      <c r="N3">
        <v>1011</v>
      </c>
      <c r="O3" t="s">
        <v>501</v>
      </c>
      <c r="P3" t="s">
        <v>501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16784264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0.250776</v>
      </c>
      <c r="CY3">
        <f>AB3</f>
        <v>31.26</v>
      </c>
      <c r="CZ3">
        <f>AF3</f>
        <v>31.26</v>
      </c>
      <c r="DA3">
        <f>AJ3</f>
        <v>1</v>
      </c>
      <c r="DB3">
        <f t="shared" si="0"/>
        <v>241.95</v>
      </c>
      <c r="DC3">
        <f t="shared" si="1"/>
        <v>104.49</v>
      </c>
    </row>
    <row r="4" spans="1:107" x14ac:dyDescent="0.2">
      <c r="A4">
        <f>ROW(Source!A25)</f>
        <v>25</v>
      </c>
      <c r="B4">
        <v>16784196</v>
      </c>
      <c r="C4">
        <v>16784258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493</v>
      </c>
      <c r="J4" t="s">
        <v>6</v>
      </c>
      <c r="K4" t="s">
        <v>494</v>
      </c>
      <c r="L4">
        <v>1191</v>
      </c>
      <c r="N4">
        <v>1013</v>
      </c>
      <c r="O4" t="s">
        <v>495</v>
      </c>
      <c r="P4" t="s">
        <v>495</v>
      </c>
      <c r="Q4">
        <v>1</v>
      </c>
      <c r="W4">
        <v>0</v>
      </c>
      <c r="X4">
        <v>371339561</v>
      </c>
      <c r="Y4">
        <v>188.54</v>
      </c>
      <c r="AA4">
        <v>0</v>
      </c>
      <c r="AB4">
        <v>0</v>
      </c>
      <c r="AC4">
        <v>0</v>
      </c>
      <c r="AD4">
        <v>49.43</v>
      </c>
      <c r="AE4">
        <v>0</v>
      </c>
      <c r="AF4">
        <v>0</v>
      </c>
      <c r="AG4">
        <v>0</v>
      </c>
      <c r="AH4">
        <v>8.09</v>
      </c>
      <c r="AI4">
        <v>1</v>
      </c>
      <c r="AJ4">
        <v>1</v>
      </c>
      <c r="AK4">
        <v>1</v>
      </c>
      <c r="AL4">
        <v>6.11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6</v>
      </c>
      <c r="AT4">
        <v>188.54</v>
      </c>
      <c r="AU4" t="s">
        <v>6</v>
      </c>
      <c r="AV4">
        <v>1</v>
      </c>
      <c r="AW4">
        <v>2</v>
      </c>
      <c r="AX4">
        <v>16784262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6.1086959999999992</v>
      </c>
      <c r="CY4">
        <f>AD4</f>
        <v>49.43</v>
      </c>
      <c r="CZ4">
        <f>AH4</f>
        <v>8.09</v>
      </c>
      <c r="DA4">
        <f>AL4</f>
        <v>6.11</v>
      </c>
      <c r="DB4">
        <f t="shared" si="0"/>
        <v>1525.29</v>
      </c>
      <c r="DC4">
        <f t="shared" si="1"/>
        <v>0</v>
      </c>
    </row>
    <row r="5" spans="1:107" x14ac:dyDescent="0.2">
      <c r="A5">
        <f>ROW(Source!A25)</f>
        <v>25</v>
      </c>
      <c r="B5">
        <v>16784196</v>
      </c>
      <c r="C5">
        <v>16784258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496</v>
      </c>
      <c r="J5" t="s">
        <v>6</v>
      </c>
      <c r="K5" t="s">
        <v>497</v>
      </c>
      <c r="L5">
        <v>1191</v>
      </c>
      <c r="N5">
        <v>1013</v>
      </c>
      <c r="O5" t="s">
        <v>495</v>
      </c>
      <c r="P5" t="s">
        <v>495</v>
      </c>
      <c r="Q5">
        <v>1</v>
      </c>
      <c r="W5">
        <v>0</v>
      </c>
      <c r="X5">
        <v>-1417349443</v>
      </c>
      <c r="Y5">
        <v>7.74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6.11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7.74</v>
      </c>
      <c r="AU5" t="s">
        <v>6</v>
      </c>
      <c r="AV5">
        <v>2</v>
      </c>
      <c r="AW5">
        <v>2</v>
      </c>
      <c r="AX5">
        <v>16784263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0.250776</v>
      </c>
      <c r="CY5">
        <f>AD5</f>
        <v>0</v>
      </c>
      <c r="CZ5">
        <f>AH5</f>
        <v>0</v>
      </c>
      <c r="DA5">
        <f>AL5</f>
        <v>1</v>
      </c>
      <c r="DB5">
        <f t="shared" si="0"/>
        <v>0</v>
      </c>
      <c r="DC5">
        <f t="shared" si="1"/>
        <v>0</v>
      </c>
    </row>
    <row r="6" spans="1:107" x14ac:dyDescent="0.2">
      <c r="A6">
        <f>ROW(Source!A25)</f>
        <v>25</v>
      </c>
      <c r="B6">
        <v>16784196</v>
      </c>
      <c r="C6">
        <v>16784258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498</v>
      </c>
      <c r="J6" t="s">
        <v>499</v>
      </c>
      <c r="K6" t="s">
        <v>500</v>
      </c>
      <c r="L6">
        <v>1368</v>
      </c>
      <c r="N6">
        <v>1011</v>
      </c>
      <c r="O6" t="s">
        <v>501</v>
      </c>
      <c r="P6" t="s">
        <v>501</v>
      </c>
      <c r="Q6">
        <v>1</v>
      </c>
      <c r="W6">
        <v>0</v>
      </c>
      <c r="X6">
        <v>1188625873</v>
      </c>
      <c r="Y6">
        <v>7.74</v>
      </c>
      <c r="AA6">
        <v>0</v>
      </c>
      <c r="AB6">
        <v>191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6.11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7.74</v>
      </c>
      <c r="AU6" t="s">
        <v>6</v>
      </c>
      <c r="AV6">
        <v>0</v>
      </c>
      <c r="AW6">
        <v>2</v>
      </c>
      <c r="AX6">
        <v>16784264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0.250776</v>
      </c>
      <c r="CY6">
        <f>AB6</f>
        <v>191</v>
      </c>
      <c r="CZ6">
        <f>AF6</f>
        <v>31.26</v>
      </c>
      <c r="DA6">
        <f>AJ6</f>
        <v>6.11</v>
      </c>
      <c r="DB6">
        <f t="shared" si="0"/>
        <v>241.95</v>
      </c>
      <c r="DC6">
        <f t="shared" si="1"/>
        <v>104.49</v>
      </c>
    </row>
    <row r="7" spans="1:107" x14ac:dyDescent="0.2">
      <c r="A7">
        <f>ROW(Source!A26)</f>
        <v>26</v>
      </c>
      <c r="B7">
        <v>16784195</v>
      </c>
      <c r="C7">
        <v>16784265</v>
      </c>
      <c r="D7">
        <v>15436014</v>
      </c>
      <c r="E7">
        <v>1</v>
      </c>
      <c r="F7">
        <v>1</v>
      </c>
      <c r="G7">
        <v>1</v>
      </c>
      <c r="H7">
        <v>1</v>
      </c>
      <c r="I7" t="s">
        <v>502</v>
      </c>
      <c r="J7" t="s">
        <v>6</v>
      </c>
      <c r="K7" t="s">
        <v>503</v>
      </c>
      <c r="L7">
        <v>1191</v>
      </c>
      <c r="N7">
        <v>1013</v>
      </c>
      <c r="O7" t="s">
        <v>495</v>
      </c>
      <c r="P7" t="s">
        <v>495</v>
      </c>
      <c r="Q7">
        <v>1</v>
      </c>
      <c r="W7">
        <v>0</v>
      </c>
      <c r="X7">
        <v>-784637506</v>
      </c>
      <c r="Y7">
        <v>167.57799999999997</v>
      </c>
      <c r="AA7">
        <v>0</v>
      </c>
      <c r="AB7">
        <v>0</v>
      </c>
      <c r="AC7">
        <v>0</v>
      </c>
      <c r="AD7">
        <v>8.74</v>
      </c>
      <c r="AE7">
        <v>0</v>
      </c>
      <c r="AF7">
        <v>0</v>
      </c>
      <c r="AG7">
        <v>0</v>
      </c>
      <c r="AH7">
        <v>8.74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145.72</v>
      </c>
      <c r="AU7" t="s">
        <v>28</v>
      </c>
      <c r="AV7">
        <v>1</v>
      </c>
      <c r="AW7">
        <v>2</v>
      </c>
      <c r="AX7">
        <v>16784277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Y7*Source!I26</f>
        <v>5.429527199999999</v>
      </c>
      <c r="CY7">
        <f>AD7</f>
        <v>8.74</v>
      </c>
      <c r="CZ7">
        <f>AH7</f>
        <v>8.74</v>
      </c>
      <c r="DA7">
        <f>AL7</f>
        <v>1</v>
      </c>
      <c r="DB7">
        <f>ROUND((ROUND(AT7*CZ7,2)*1.15),2)</f>
        <v>1464.63</v>
      </c>
      <c r="DC7">
        <f>ROUND((ROUND(AT7*AG7,2)*1.15),2)</f>
        <v>0</v>
      </c>
    </row>
    <row r="8" spans="1:107" x14ac:dyDescent="0.2">
      <c r="A8">
        <f>ROW(Source!A26)</f>
        <v>26</v>
      </c>
      <c r="B8">
        <v>16784195</v>
      </c>
      <c r="C8">
        <v>16784265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496</v>
      </c>
      <c r="J8" t="s">
        <v>6</v>
      </c>
      <c r="K8" t="s">
        <v>497</v>
      </c>
      <c r="L8">
        <v>1191</v>
      </c>
      <c r="N8">
        <v>1013</v>
      </c>
      <c r="O8" t="s">
        <v>495</v>
      </c>
      <c r="P8" t="s">
        <v>495</v>
      </c>
      <c r="Q8">
        <v>1</v>
      </c>
      <c r="W8">
        <v>0</v>
      </c>
      <c r="X8">
        <v>-1417349443</v>
      </c>
      <c r="Y8">
        <v>4.2300000000000004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4.2300000000000004</v>
      </c>
      <c r="AU8" t="s">
        <v>6</v>
      </c>
      <c r="AV8">
        <v>2</v>
      </c>
      <c r="AW8">
        <v>2</v>
      </c>
      <c r="AX8">
        <v>16784278</v>
      </c>
      <c r="AY8">
        <v>1</v>
      </c>
      <c r="AZ8">
        <v>2048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Y8*Source!I26</f>
        <v>0.13705200000000001</v>
      </c>
      <c r="CY8">
        <f>AD8</f>
        <v>0</v>
      </c>
      <c r="CZ8">
        <f>AH8</f>
        <v>0</v>
      </c>
      <c r="DA8">
        <f>AL8</f>
        <v>1</v>
      </c>
      <c r="DB8">
        <f>ROUND(ROUND(AT8*CZ8,2),2)</f>
        <v>0</v>
      </c>
      <c r="DC8">
        <f>ROUND(ROUND(AT8*AG8,2),2)</f>
        <v>0</v>
      </c>
    </row>
    <row r="9" spans="1:107" x14ac:dyDescent="0.2">
      <c r="A9">
        <f>ROW(Source!A26)</f>
        <v>26</v>
      </c>
      <c r="B9">
        <v>16784195</v>
      </c>
      <c r="C9">
        <v>16784265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498</v>
      </c>
      <c r="J9" t="s">
        <v>499</v>
      </c>
      <c r="K9" t="s">
        <v>500</v>
      </c>
      <c r="L9">
        <v>1368</v>
      </c>
      <c r="N9">
        <v>1011</v>
      </c>
      <c r="O9" t="s">
        <v>501</v>
      </c>
      <c r="P9" t="s">
        <v>501</v>
      </c>
      <c r="Q9">
        <v>1</v>
      </c>
      <c r="W9">
        <v>0</v>
      </c>
      <c r="X9">
        <v>1188625873</v>
      </c>
      <c r="Y9">
        <v>0.82500000000000007</v>
      </c>
      <c r="AA9">
        <v>0</v>
      </c>
      <c r="AB9">
        <v>31.26</v>
      </c>
      <c r="AC9">
        <v>13.5</v>
      </c>
      <c r="AD9">
        <v>0</v>
      </c>
      <c r="AE9">
        <v>0</v>
      </c>
      <c r="AF9">
        <v>31.26</v>
      </c>
      <c r="AG9">
        <v>13.5</v>
      </c>
      <c r="AH9">
        <v>0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0.66</v>
      </c>
      <c r="AU9" t="s">
        <v>27</v>
      </c>
      <c r="AV9">
        <v>0</v>
      </c>
      <c r="AW9">
        <v>2</v>
      </c>
      <c r="AX9">
        <v>16784279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Y9*Source!I26</f>
        <v>2.673E-2</v>
      </c>
      <c r="CY9">
        <f>AB9</f>
        <v>31.26</v>
      </c>
      <c r="CZ9">
        <f>AF9</f>
        <v>31.26</v>
      </c>
      <c r="DA9">
        <f>AJ9</f>
        <v>1</v>
      </c>
      <c r="DB9">
        <f>ROUND((ROUND(AT9*CZ9,2)*1.25),2)</f>
        <v>25.79</v>
      </c>
      <c r="DC9">
        <f>ROUND((ROUND(AT9*AG9,2)*1.25),2)</f>
        <v>11.14</v>
      </c>
    </row>
    <row r="10" spans="1:107" x14ac:dyDescent="0.2">
      <c r="A10">
        <f>ROW(Source!A26)</f>
        <v>26</v>
      </c>
      <c r="B10">
        <v>16784195</v>
      </c>
      <c r="C10">
        <v>16784265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504</v>
      </c>
      <c r="J10" t="s">
        <v>505</v>
      </c>
      <c r="K10" t="s">
        <v>506</v>
      </c>
      <c r="L10">
        <v>1368</v>
      </c>
      <c r="N10">
        <v>1011</v>
      </c>
      <c r="O10" t="s">
        <v>501</v>
      </c>
      <c r="P10" t="s">
        <v>501</v>
      </c>
      <c r="Q10">
        <v>1</v>
      </c>
      <c r="W10">
        <v>0</v>
      </c>
      <c r="X10">
        <v>1372534845</v>
      </c>
      <c r="Y10">
        <v>4.4624999999999995</v>
      </c>
      <c r="AA10">
        <v>0</v>
      </c>
      <c r="AB10">
        <v>65.709999999999994</v>
      </c>
      <c r="AC10">
        <v>11.6</v>
      </c>
      <c r="AD10">
        <v>0</v>
      </c>
      <c r="AE10">
        <v>0</v>
      </c>
      <c r="AF10">
        <v>65.709999999999994</v>
      </c>
      <c r="AG10">
        <v>11.6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3.57</v>
      </c>
      <c r="AU10" t="s">
        <v>27</v>
      </c>
      <c r="AV10">
        <v>0</v>
      </c>
      <c r="AW10">
        <v>2</v>
      </c>
      <c r="AX10">
        <v>16784280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Y10*Source!I26</f>
        <v>0.14458499999999996</v>
      </c>
      <c r="CY10">
        <f>AB10</f>
        <v>65.709999999999994</v>
      </c>
      <c r="CZ10">
        <f>AF10</f>
        <v>65.709999999999994</v>
      </c>
      <c r="DA10">
        <f>AJ10</f>
        <v>1</v>
      </c>
      <c r="DB10">
        <f>ROUND((ROUND(AT10*CZ10,2)*1.25),2)</f>
        <v>293.23</v>
      </c>
      <c r="DC10">
        <f>ROUND((ROUND(AT10*AG10,2)*1.25),2)</f>
        <v>51.76</v>
      </c>
    </row>
    <row r="11" spans="1:107" x14ac:dyDescent="0.2">
      <c r="A11">
        <f>ROW(Source!A26)</f>
        <v>26</v>
      </c>
      <c r="B11">
        <v>16784195</v>
      </c>
      <c r="C11">
        <v>16784265</v>
      </c>
      <c r="D11">
        <v>15167551</v>
      </c>
      <c r="E11">
        <v>1</v>
      </c>
      <c r="F11">
        <v>1</v>
      </c>
      <c r="G11">
        <v>1</v>
      </c>
      <c r="H11">
        <v>3</v>
      </c>
      <c r="I11" t="s">
        <v>507</v>
      </c>
      <c r="J11" t="s">
        <v>508</v>
      </c>
      <c r="K11" t="s">
        <v>509</v>
      </c>
      <c r="L11">
        <v>1301</v>
      </c>
      <c r="N11">
        <v>1003</v>
      </c>
      <c r="O11" t="s">
        <v>45</v>
      </c>
      <c r="P11" t="s">
        <v>45</v>
      </c>
      <c r="Q11">
        <v>1</v>
      </c>
      <c r="W11">
        <v>0</v>
      </c>
      <c r="X11">
        <v>751777312</v>
      </c>
      <c r="Y11">
        <v>244</v>
      </c>
      <c r="AA11">
        <v>6.38</v>
      </c>
      <c r="AB11">
        <v>0</v>
      </c>
      <c r="AC11">
        <v>0</v>
      </c>
      <c r="AD11">
        <v>0</v>
      </c>
      <c r="AE11">
        <v>6.38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244</v>
      </c>
      <c r="AU11" t="s">
        <v>6</v>
      </c>
      <c r="AV11">
        <v>0</v>
      </c>
      <c r="AW11">
        <v>2</v>
      </c>
      <c r="AX11">
        <v>16784281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7.9055999999999997</v>
      </c>
      <c r="CY11">
        <f t="shared" ref="CY11:CY17" si="2">AA11</f>
        <v>6.38</v>
      </c>
      <c r="CZ11">
        <f t="shared" ref="CZ11:CZ17" si="3">AE11</f>
        <v>6.38</v>
      </c>
      <c r="DA11">
        <f t="shared" ref="DA11:DA17" si="4">AI11</f>
        <v>1</v>
      </c>
      <c r="DB11">
        <f t="shared" ref="DB11:DB17" si="5">ROUND(ROUND(AT11*CZ11,2),2)</f>
        <v>1556.72</v>
      </c>
      <c r="DC11">
        <f t="shared" ref="DC11:DC17" si="6">ROUND(ROUND(AT11*AG11,2),2)</f>
        <v>0</v>
      </c>
    </row>
    <row r="12" spans="1:107" x14ac:dyDescent="0.2">
      <c r="A12">
        <f>ROW(Source!A26)</f>
        <v>26</v>
      </c>
      <c r="B12">
        <v>16784195</v>
      </c>
      <c r="C12">
        <v>16784265</v>
      </c>
      <c r="D12">
        <v>15167552</v>
      </c>
      <c r="E12">
        <v>1</v>
      </c>
      <c r="F12">
        <v>1</v>
      </c>
      <c r="G12">
        <v>1</v>
      </c>
      <c r="H12">
        <v>3</v>
      </c>
      <c r="I12" t="s">
        <v>510</v>
      </c>
      <c r="J12" t="s">
        <v>511</v>
      </c>
      <c r="K12" t="s">
        <v>512</v>
      </c>
      <c r="L12">
        <v>1301</v>
      </c>
      <c r="N12">
        <v>1003</v>
      </c>
      <c r="O12" t="s">
        <v>45</v>
      </c>
      <c r="P12" t="s">
        <v>45</v>
      </c>
      <c r="Q12">
        <v>1</v>
      </c>
      <c r="W12">
        <v>0</v>
      </c>
      <c r="X12">
        <v>1744203244</v>
      </c>
      <c r="Y12">
        <v>56</v>
      </c>
      <c r="AA12">
        <v>7.95</v>
      </c>
      <c r="AB12">
        <v>0</v>
      </c>
      <c r="AC12">
        <v>0</v>
      </c>
      <c r="AD12">
        <v>0</v>
      </c>
      <c r="AE12">
        <v>7.95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56</v>
      </c>
      <c r="AU12" t="s">
        <v>6</v>
      </c>
      <c r="AV12">
        <v>0</v>
      </c>
      <c r="AW12">
        <v>2</v>
      </c>
      <c r="AX12">
        <v>16784282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Y12*Source!I26</f>
        <v>1.8144</v>
      </c>
      <c r="CY12">
        <f t="shared" si="2"/>
        <v>7.95</v>
      </c>
      <c r="CZ12">
        <f t="shared" si="3"/>
        <v>7.95</v>
      </c>
      <c r="DA12">
        <f t="shared" si="4"/>
        <v>1</v>
      </c>
      <c r="DB12">
        <f t="shared" si="5"/>
        <v>445.2</v>
      </c>
      <c r="DC12">
        <f t="shared" si="6"/>
        <v>0</v>
      </c>
    </row>
    <row r="13" spans="1:107" x14ac:dyDescent="0.2">
      <c r="A13">
        <f>ROW(Source!A26)</f>
        <v>26</v>
      </c>
      <c r="B13">
        <v>16784195</v>
      </c>
      <c r="C13">
        <v>16784265</v>
      </c>
      <c r="D13">
        <v>15167640</v>
      </c>
      <c r="E13">
        <v>1</v>
      </c>
      <c r="F13">
        <v>1</v>
      </c>
      <c r="G13">
        <v>1</v>
      </c>
      <c r="H13">
        <v>3</v>
      </c>
      <c r="I13" t="s">
        <v>513</v>
      </c>
      <c r="J13" t="s">
        <v>514</v>
      </c>
      <c r="K13" t="s">
        <v>515</v>
      </c>
      <c r="L13">
        <v>1302</v>
      </c>
      <c r="N13">
        <v>1003</v>
      </c>
      <c r="O13" t="s">
        <v>74</v>
      </c>
      <c r="P13" t="s">
        <v>74</v>
      </c>
      <c r="Q13">
        <v>10</v>
      </c>
      <c r="W13">
        <v>0</v>
      </c>
      <c r="X13">
        <v>-405326455</v>
      </c>
      <c r="Y13">
        <v>15.6</v>
      </c>
      <c r="AA13">
        <v>64.099999999999994</v>
      </c>
      <c r="AB13">
        <v>0</v>
      </c>
      <c r="AC13">
        <v>0</v>
      </c>
      <c r="AD13">
        <v>0</v>
      </c>
      <c r="AE13">
        <v>64.099999999999994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15.6</v>
      </c>
      <c r="AU13" t="s">
        <v>6</v>
      </c>
      <c r="AV13">
        <v>0</v>
      </c>
      <c r="AW13">
        <v>2</v>
      </c>
      <c r="AX13">
        <v>16784283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Y13*Source!I26</f>
        <v>0.50544</v>
      </c>
      <c r="CY13">
        <f t="shared" si="2"/>
        <v>64.099999999999994</v>
      </c>
      <c r="CZ13">
        <f t="shared" si="3"/>
        <v>64.099999999999994</v>
      </c>
      <c r="DA13">
        <f t="shared" si="4"/>
        <v>1</v>
      </c>
      <c r="DB13">
        <f t="shared" si="5"/>
        <v>999.96</v>
      </c>
      <c r="DC13">
        <f t="shared" si="6"/>
        <v>0</v>
      </c>
    </row>
    <row r="14" spans="1:107" x14ac:dyDescent="0.2">
      <c r="A14">
        <f>ROW(Source!A26)</f>
        <v>26</v>
      </c>
      <c r="B14">
        <v>16784195</v>
      </c>
      <c r="C14">
        <v>16784265</v>
      </c>
      <c r="D14">
        <v>15170065</v>
      </c>
      <c r="E14">
        <v>1</v>
      </c>
      <c r="F14">
        <v>1</v>
      </c>
      <c r="G14">
        <v>1</v>
      </c>
      <c r="H14">
        <v>3</v>
      </c>
      <c r="I14" t="s">
        <v>516</v>
      </c>
      <c r="J14" t="s">
        <v>517</v>
      </c>
      <c r="K14" t="s">
        <v>518</v>
      </c>
      <c r="L14">
        <v>1358</v>
      </c>
      <c r="N14">
        <v>1010</v>
      </c>
      <c r="O14" t="s">
        <v>519</v>
      </c>
      <c r="P14" t="s">
        <v>519</v>
      </c>
      <c r="Q14">
        <v>10</v>
      </c>
      <c r="W14">
        <v>0</v>
      </c>
      <c r="X14">
        <v>-858120743</v>
      </c>
      <c r="Y14">
        <v>38.9</v>
      </c>
      <c r="AA14">
        <v>7.03</v>
      </c>
      <c r="AB14">
        <v>0</v>
      </c>
      <c r="AC14">
        <v>0</v>
      </c>
      <c r="AD14">
        <v>0</v>
      </c>
      <c r="AE14">
        <v>7.03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38.9</v>
      </c>
      <c r="AU14" t="s">
        <v>6</v>
      </c>
      <c r="AV14">
        <v>0</v>
      </c>
      <c r="AW14">
        <v>2</v>
      </c>
      <c r="AX14">
        <v>16784284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Y14*Source!I26</f>
        <v>1.2603599999999999</v>
      </c>
      <c r="CY14">
        <f t="shared" si="2"/>
        <v>7.03</v>
      </c>
      <c r="CZ14">
        <f t="shared" si="3"/>
        <v>7.03</v>
      </c>
      <c r="DA14">
        <f t="shared" si="4"/>
        <v>1</v>
      </c>
      <c r="DB14">
        <f t="shared" si="5"/>
        <v>273.47000000000003</v>
      </c>
      <c r="DC14">
        <f t="shared" si="6"/>
        <v>0</v>
      </c>
    </row>
    <row r="15" spans="1:107" x14ac:dyDescent="0.2">
      <c r="A15">
        <f>ROW(Source!A26)</f>
        <v>26</v>
      </c>
      <c r="B15">
        <v>16784195</v>
      </c>
      <c r="C15">
        <v>16784265</v>
      </c>
      <c r="D15">
        <v>15197463</v>
      </c>
      <c r="E15">
        <v>1</v>
      </c>
      <c r="F15">
        <v>1</v>
      </c>
      <c r="G15">
        <v>1</v>
      </c>
      <c r="H15">
        <v>3</v>
      </c>
      <c r="I15" t="s">
        <v>33</v>
      </c>
      <c r="J15" t="s">
        <v>36</v>
      </c>
      <c r="K15" t="s">
        <v>34</v>
      </c>
      <c r="L15">
        <v>1327</v>
      </c>
      <c r="N15">
        <v>1005</v>
      </c>
      <c r="O15" t="s">
        <v>35</v>
      </c>
      <c r="P15" t="s">
        <v>35</v>
      </c>
      <c r="Q15">
        <v>1</v>
      </c>
      <c r="W15">
        <v>0</v>
      </c>
      <c r="X15">
        <v>-1297984833</v>
      </c>
      <c r="Y15">
        <v>100</v>
      </c>
      <c r="AA15">
        <v>2554.73</v>
      </c>
      <c r="AB15">
        <v>0</v>
      </c>
      <c r="AC15">
        <v>0</v>
      </c>
      <c r="AD15">
        <v>0</v>
      </c>
      <c r="AE15">
        <v>2554.73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0</v>
      </c>
      <c r="AP15">
        <v>0</v>
      </c>
      <c r="AQ15">
        <v>0</v>
      </c>
      <c r="AR15">
        <v>0</v>
      </c>
      <c r="AS15" t="s">
        <v>6</v>
      </c>
      <c r="AT15">
        <v>100</v>
      </c>
      <c r="AU15" t="s">
        <v>6</v>
      </c>
      <c r="AV15">
        <v>0</v>
      </c>
      <c r="AW15">
        <v>1</v>
      </c>
      <c r="AX15">
        <v>-1</v>
      </c>
      <c r="AY15">
        <v>0</v>
      </c>
      <c r="AZ15">
        <v>0</v>
      </c>
      <c r="BA15" t="s">
        <v>6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Y15*Source!I26</f>
        <v>3.2399999999999998</v>
      </c>
      <c r="CY15">
        <f t="shared" si="2"/>
        <v>2554.73</v>
      </c>
      <c r="CZ15">
        <f t="shared" si="3"/>
        <v>2554.73</v>
      </c>
      <c r="DA15">
        <f t="shared" si="4"/>
        <v>1</v>
      </c>
      <c r="DB15">
        <f t="shared" si="5"/>
        <v>255473</v>
      </c>
      <c r="DC15">
        <f t="shared" si="6"/>
        <v>0</v>
      </c>
    </row>
    <row r="16" spans="1:107" x14ac:dyDescent="0.2">
      <c r="A16">
        <f>ROW(Source!A26)</f>
        <v>26</v>
      </c>
      <c r="B16">
        <v>16784195</v>
      </c>
      <c r="C16">
        <v>16784265</v>
      </c>
      <c r="D16">
        <v>15197780</v>
      </c>
      <c r="E16">
        <v>1</v>
      </c>
      <c r="F16">
        <v>1</v>
      </c>
      <c r="G16">
        <v>1</v>
      </c>
      <c r="H16">
        <v>3</v>
      </c>
      <c r="I16" t="s">
        <v>520</v>
      </c>
      <c r="J16" t="s">
        <v>521</v>
      </c>
      <c r="K16" t="s">
        <v>522</v>
      </c>
      <c r="L16">
        <v>1355</v>
      </c>
      <c r="N16">
        <v>1010</v>
      </c>
      <c r="O16" t="s">
        <v>523</v>
      </c>
      <c r="P16" t="s">
        <v>523</v>
      </c>
      <c r="Q16">
        <v>100</v>
      </c>
      <c r="W16">
        <v>0</v>
      </c>
      <c r="X16">
        <v>1709713925</v>
      </c>
      <c r="Y16">
        <v>8</v>
      </c>
      <c r="AA16">
        <v>50</v>
      </c>
      <c r="AB16">
        <v>0</v>
      </c>
      <c r="AC16">
        <v>0</v>
      </c>
      <c r="AD16">
        <v>0</v>
      </c>
      <c r="AE16">
        <v>50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8</v>
      </c>
      <c r="AU16" t="s">
        <v>6</v>
      </c>
      <c r="AV16">
        <v>0</v>
      </c>
      <c r="AW16">
        <v>2</v>
      </c>
      <c r="AX16">
        <v>16784286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Y16*Source!I26</f>
        <v>0.25919999999999999</v>
      </c>
      <c r="CY16">
        <f t="shared" si="2"/>
        <v>50</v>
      </c>
      <c r="CZ16">
        <f t="shared" si="3"/>
        <v>50</v>
      </c>
      <c r="DA16">
        <f t="shared" si="4"/>
        <v>1</v>
      </c>
      <c r="DB16">
        <f t="shared" si="5"/>
        <v>400</v>
      </c>
      <c r="DC16">
        <f t="shared" si="6"/>
        <v>0</v>
      </c>
    </row>
    <row r="17" spans="1:107" x14ac:dyDescent="0.2">
      <c r="A17">
        <f>ROW(Source!A26)</f>
        <v>26</v>
      </c>
      <c r="B17">
        <v>16784195</v>
      </c>
      <c r="C17">
        <v>16784265</v>
      </c>
      <c r="D17">
        <v>15204239</v>
      </c>
      <c r="E17">
        <v>1</v>
      </c>
      <c r="F17">
        <v>1</v>
      </c>
      <c r="G17">
        <v>1</v>
      </c>
      <c r="H17">
        <v>3</v>
      </c>
      <c r="I17" t="s">
        <v>524</v>
      </c>
      <c r="J17" t="s">
        <v>525</v>
      </c>
      <c r="K17" t="s">
        <v>526</v>
      </c>
      <c r="L17">
        <v>1354</v>
      </c>
      <c r="N17">
        <v>1010</v>
      </c>
      <c r="O17" t="s">
        <v>277</v>
      </c>
      <c r="P17" t="s">
        <v>277</v>
      </c>
      <c r="Q17">
        <v>1</v>
      </c>
      <c r="W17">
        <v>0</v>
      </c>
      <c r="X17">
        <v>-1018551266</v>
      </c>
      <c r="Y17">
        <v>69</v>
      </c>
      <c r="AA17">
        <v>67</v>
      </c>
      <c r="AB17">
        <v>0</v>
      </c>
      <c r="AC17">
        <v>0</v>
      </c>
      <c r="AD17">
        <v>0</v>
      </c>
      <c r="AE17">
        <v>67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69</v>
      </c>
      <c r="AU17" t="s">
        <v>6</v>
      </c>
      <c r="AV17">
        <v>0</v>
      </c>
      <c r="AW17">
        <v>2</v>
      </c>
      <c r="AX17">
        <v>16784287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Y17*Source!I26</f>
        <v>2.2355999999999998</v>
      </c>
      <c r="CY17">
        <f t="shared" si="2"/>
        <v>67</v>
      </c>
      <c r="CZ17">
        <f t="shared" si="3"/>
        <v>67</v>
      </c>
      <c r="DA17">
        <f t="shared" si="4"/>
        <v>1</v>
      </c>
      <c r="DB17">
        <f t="shared" si="5"/>
        <v>4623</v>
      </c>
      <c r="DC17">
        <f t="shared" si="6"/>
        <v>0</v>
      </c>
    </row>
    <row r="18" spans="1:107" x14ac:dyDescent="0.2">
      <c r="A18">
        <f>ROW(Source!A27)</f>
        <v>27</v>
      </c>
      <c r="B18">
        <v>16784196</v>
      </c>
      <c r="C18">
        <v>16784265</v>
      </c>
      <c r="D18">
        <v>15436014</v>
      </c>
      <c r="E18">
        <v>1</v>
      </c>
      <c r="F18">
        <v>1</v>
      </c>
      <c r="G18">
        <v>1</v>
      </c>
      <c r="H18">
        <v>1</v>
      </c>
      <c r="I18" t="s">
        <v>502</v>
      </c>
      <c r="J18" t="s">
        <v>6</v>
      </c>
      <c r="K18" t="s">
        <v>503</v>
      </c>
      <c r="L18">
        <v>1191</v>
      </c>
      <c r="N18">
        <v>1013</v>
      </c>
      <c r="O18" t="s">
        <v>495</v>
      </c>
      <c r="P18" t="s">
        <v>495</v>
      </c>
      <c r="Q18">
        <v>1</v>
      </c>
      <c r="W18">
        <v>0</v>
      </c>
      <c r="X18">
        <v>-784637506</v>
      </c>
      <c r="Y18">
        <v>167.57799999999997</v>
      </c>
      <c r="AA18">
        <v>0</v>
      </c>
      <c r="AB18">
        <v>0</v>
      </c>
      <c r="AC18">
        <v>0</v>
      </c>
      <c r="AD18">
        <v>53.4</v>
      </c>
      <c r="AE18">
        <v>0</v>
      </c>
      <c r="AF18">
        <v>0</v>
      </c>
      <c r="AG18">
        <v>0</v>
      </c>
      <c r="AH18">
        <v>8.74</v>
      </c>
      <c r="AI18">
        <v>1</v>
      </c>
      <c r="AJ18">
        <v>1</v>
      </c>
      <c r="AK18">
        <v>1</v>
      </c>
      <c r="AL18">
        <v>6.11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145.72</v>
      </c>
      <c r="AU18" t="s">
        <v>28</v>
      </c>
      <c r="AV18">
        <v>1</v>
      </c>
      <c r="AW18">
        <v>2</v>
      </c>
      <c r="AX18">
        <v>16784277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Y18*Source!I27</f>
        <v>5.429527199999999</v>
      </c>
      <c r="CY18">
        <f>AD18</f>
        <v>53.4</v>
      </c>
      <c r="CZ18">
        <f>AH18</f>
        <v>8.74</v>
      </c>
      <c r="DA18">
        <f>AL18</f>
        <v>6.11</v>
      </c>
      <c r="DB18">
        <f>ROUND((ROUND(AT18*CZ18,2)*1.15),2)</f>
        <v>1464.63</v>
      </c>
      <c r="DC18">
        <f>ROUND((ROUND(AT18*AG18,2)*1.15),2)</f>
        <v>0</v>
      </c>
    </row>
    <row r="19" spans="1:107" x14ac:dyDescent="0.2">
      <c r="A19">
        <f>ROW(Source!A27)</f>
        <v>27</v>
      </c>
      <c r="B19">
        <v>16784196</v>
      </c>
      <c r="C19">
        <v>16784265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496</v>
      </c>
      <c r="J19" t="s">
        <v>6</v>
      </c>
      <c r="K19" t="s">
        <v>497</v>
      </c>
      <c r="L19">
        <v>1191</v>
      </c>
      <c r="N19">
        <v>1013</v>
      </c>
      <c r="O19" t="s">
        <v>495</v>
      </c>
      <c r="P19" t="s">
        <v>495</v>
      </c>
      <c r="Q19">
        <v>1</v>
      </c>
      <c r="W19">
        <v>0</v>
      </c>
      <c r="X19">
        <v>-1417349443</v>
      </c>
      <c r="Y19">
        <v>4.2300000000000004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6.11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4.2300000000000004</v>
      </c>
      <c r="AU19" t="s">
        <v>6</v>
      </c>
      <c r="AV19">
        <v>2</v>
      </c>
      <c r="AW19">
        <v>2</v>
      </c>
      <c r="AX19">
        <v>16784278</v>
      </c>
      <c r="AY19">
        <v>1</v>
      </c>
      <c r="AZ19">
        <v>2048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0.13705200000000001</v>
      </c>
      <c r="CY19">
        <f>AD19</f>
        <v>0</v>
      </c>
      <c r="CZ19">
        <f>AH19</f>
        <v>0</v>
      </c>
      <c r="DA19">
        <f>AL19</f>
        <v>1</v>
      </c>
      <c r="DB19">
        <f>ROUND(ROUND(AT19*CZ19,2),2)</f>
        <v>0</v>
      </c>
      <c r="DC19">
        <f>ROUND(ROUND(AT19*AG19,2),2)</f>
        <v>0</v>
      </c>
    </row>
    <row r="20" spans="1:107" x14ac:dyDescent="0.2">
      <c r="A20">
        <f>ROW(Source!A27)</f>
        <v>27</v>
      </c>
      <c r="B20">
        <v>16784196</v>
      </c>
      <c r="C20">
        <v>16784265</v>
      </c>
      <c r="D20">
        <v>15247974</v>
      </c>
      <c r="E20">
        <v>1</v>
      </c>
      <c r="F20">
        <v>1</v>
      </c>
      <c r="G20">
        <v>1</v>
      </c>
      <c r="H20">
        <v>2</v>
      </c>
      <c r="I20" t="s">
        <v>498</v>
      </c>
      <c r="J20" t="s">
        <v>499</v>
      </c>
      <c r="K20" t="s">
        <v>500</v>
      </c>
      <c r="L20">
        <v>1368</v>
      </c>
      <c r="N20">
        <v>1011</v>
      </c>
      <c r="O20" t="s">
        <v>501</v>
      </c>
      <c r="P20" t="s">
        <v>501</v>
      </c>
      <c r="Q20">
        <v>1</v>
      </c>
      <c r="W20">
        <v>0</v>
      </c>
      <c r="X20">
        <v>1188625873</v>
      </c>
      <c r="Y20">
        <v>0.82500000000000007</v>
      </c>
      <c r="AA20">
        <v>0</v>
      </c>
      <c r="AB20">
        <v>191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6.11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0.66</v>
      </c>
      <c r="AU20" t="s">
        <v>27</v>
      </c>
      <c r="AV20">
        <v>0</v>
      </c>
      <c r="AW20">
        <v>2</v>
      </c>
      <c r="AX20">
        <v>16784279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2.673E-2</v>
      </c>
      <c r="CY20">
        <f>AB20</f>
        <v>191</v>
      </c>
      <c r="CZ20">
        <f>AF20</f>
        <v>31.26</v>
      </c>
      <c r="DA20">
        <f>AJ20</f>
        <v>6.11</v>
      </c>
      <c r="DB20">
        <f>ROUND((ROUND(AT20*CZ20,2)*1.25),2)</f>
        <v>25.79</v>
      </c>
      <c r="DC20">
        <f>ROUND((ROUND(AT20*AG20,2)*1.25),2)</f>
        <v>11.14</v>
      </c>
    </row>
    <row r="21" spans="1:107" x14ac:dyDescent="0.2">
      <c r="A21">
        <f>ROW(Source!A27)</f>
        <v>27</v>
      </c>
      <c r="B21">
        <v>16784196</v>
      </c>
      <c r="C21">
        <v>16784265</v>
      </c>
      <c r="D21">
        <v>15249073</v>
      </c>
      <c r="E21">
        <v>1</v>
      </c>
      <c r="F21">
        <v>1</v>
      </c>
      <c r="G21">
        <v>1</v>
      </c>
      <c r="H21">
        <v>2</v>
      </c>
      <c r="I21" t="s">
        <v>504</v>
      </c>
      <c r="J21" t="s">
        <v>505</v>
      </c>
      <c r="K21" t="s">
        <v>506</v>
      </c>
      <c r="L21">
        <v>1368</v>
      </c>
      <c r="N21">
        <v>1011</v>
      </c>
      <c r="O21" t="s">
        <v>501</v>
      </c>
      <c r="P21" t="s">
        <v>501</v>
      </c>
      <c r="Q21">
        <v>1</v>
      </c>
      <c r="W21">
        <v>0</v>
      </c>
      <c r="X21">
        <v>1372534845</v>
      </c>
      <c r="Y21">
        <v>4.4624999999999995</v>
      </c>
      <c r="AA21">
        <v>0</v>
      </c>
      <c r="AB21">
        <v>401.49</v>
      </c>
      <c r="AC21">
        <v>11.6</v>
      </c>
      <c r="AD21">
        <v>0</v>
      </c>
      <c r="AE21">
        <v>0</v>
      </c>
      <c r="AF21">
        <v>65.709999999999994</v>
      </c>
      <c r="AG21">
        <v>11.6</v>
      </c>
      <c r="AH21">
        <v>0</v>
      </c>
      <c r="AI21">
        <v>1</v>
      </c>
      <c r="AJ21">
        <v>6.11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6</v>
      </c>
      <c r="AT21">
        <v>3.57</v>
      </c>
      <c r="AU21" t="s">
        <v>27</v>
      </c>
      <c r="AV21">
        <v>0</v>
      </c>
      <c r="AW21">
        <v>2</v>
      </c>
      <c r="AX21">
        <v>16784280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0.14458499999999996</v>
      </c>
      <c r="CY21">
        <f>AB21</f>
        <v>401.49</v>
      </c>
      <c r="CZ21">
        <f>AF21</f>
        <v>65.709999999999994</v>
      </c>
      <c r="DA21">
        <f>AJ21</f>
        <v>6.11</v>
      </c>
      <c r="DB21">
        <f>ROUND((ROUND(AT21*CZ21,2)*1.25),2)</f>
        <v>293.23</v>
      </c>
      <c r="DC21">
        <f>ROUND((ROUND(AT21*AG21,2)*1.25),2)</f>
        <v>51.76</v>
      </c>
    </row>
    <row r="22" spans="1:107" x14ac:dyDescent="0.2">
      <c r="A22">
        <f>ROW(Source!A27)</f>
        <v>27</v>
      </c>
      <c r="B22">
        <v>16784196</v>
      </c>
      <c r="C22">
        <v>16784265</v>
      </c>
      <c r="D22">
        <v>15167551</v>
      </c>
      <c r="E22">
        <v>1</v>
      </c>
      <c r="F22">
        <v>1</v>
      </c>
      <c r="G22">
        <v>1</v>
      </c>
      <c r="H22">
        <v>3</v>
      </c>
      <c r="I22" t="s">
        <v>507</v>
      </c>
      <c r="J22" t="s">
        <v>508</v>
      </c>
      <c r="K22" t="s">
        <v>509</v>
      </c>
      <c r="L22">
        <v>1301</v>
      </c>
      <c r="N22">
        <v>1003</v>
      </c>
      <c r="O22" t="s">
        <v>45</v>
      </c>
      <c r="P22" t="s">
        <v>45</v>
      </c>
      <c r="Q22">
        <v>1</v>
      </c>
      <c r="W22">
        <v>0</v>
      </c>
      <c r="X22">
        <v>751777312</v>
      </c>
      <c r="Y22">
        <v>244</v>
      </c>
      <c r="AA22">
        <v>38.979999999999997</v>
      </c>
      <c r="AB22">
        <v>0</v>
      </c>
      <c r="AC22">
        <v>0</v>
      </c>
      <c r="AD22">
        <v>0</v>
      </c>
      <c r="AE22">
        <v>6.38</v>
      </c>
      <c r="AF22">
        <v>0</v>
      </c>
      <c r="AG22">
        <v>0</v>
      </c>
      <c r="AH22">
        <v>0</v>
      </c>
      <c r="AI22">
        <v>6.11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244</v>
      </c>
      <c r="AU22" t="s">
        <v>6</v>
      </c>
      <c r="AV22">
        <v>0</v>
      </c>
      <c r="AW22">
        <v>2</v>
      </c>
      <c r="AX22">
        <v>16784281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Y22*Source!I27</f>
        <v>7.9055999999999997</v>
      </c>
      <c r="CY22">
        <f t="shared" ref="CY22:CY28" si="7">AA22</f>
        <v>38.979999999999997</v>
      </c>
      <c r="CZ22">
        <f t="shared" ref="CZ22:CZ28" si="8">AE22</f>
        <v>6.38</v>
      </c>
      <c r="DA22">
        <f t="shared" ref="DA22:DA28" si="9">AI22</f>
        <v>6.11</v>
      </c>
      <c r="DB22">
        <f t="shared" ref="DB22:DB28" si="10">ROUND(ROUND(AT22*CZ22,2),2)</f>
        <v>1556.72</v>
      </c>
      <c r="DC22">
        <f t="shared" ref="DC22:DC28" si="11">ROUND(ROUND(AT22*AG22,2),2)</f>
        <v>0</v>
      </c>
    </row>
    <row r="23" spans="1:107" x14ac:dyDescent="0.2">
      <c r="A23">
        <f>ROW(Source!A27)</f>
        <v>27</v>
      </c>
      <c r="B23">
        <v>16784196</v>
      </c>
      <c r="C23">
        <v>16784265</v>
      </c>
      <c r="D23">
        <v>15167552</v>
      </c>
      <c r="E23">
        <v>1</v>
      </c>
      <c r="F23">
        <v>1</v>
      </c>
      <c r="G23">
        <v>1</v>
      </c>
      <c r="H23">
        <v>3</v>
      </c>
      <c r="I23" t="s">
        <v>510</v>
      </c>
      <c r="J23" t="s">
        <v>511</v>
      </c>
      <c r="K23" t="s">
        <v>512</v>
      </c>
      <c r="L23">
        <v>1301</v>
      </c>
      <c r="N23">
        <v>1003</v>
      </c>
      <c r="O23" t="s">
        <v>45</v>
      </c>
      <c r="P23" t="s">
        <v>45</v>
      </c>
      <c r="Q23">
        <v>1</v>
      </c>
      <c r="W23">
        <v>0</v>
      </c>
      <c r="X23">
        <v>1744203244</v>
      </c>
      <c r="Y23">
        <v>56</v>
      </c>
      <c r="AA23">
        <v>48.57</v>
      </c>
      <c r="AB23">
        <v>0</v>
      </c>
      <c r="AC23">
        <v>0</v>
      </c>
      <c r="AD23">
        <v>0</v>
      </c>
      <c r="AE23">
        <v>7.95</v>
      </c>
      <c r="AF23">
        <v>0</v>
      </c>
      <c r="AG23">
        <v>0</v>
      </c>
      <c r="AH23">
        <v>0</v>
      </c>
      <c r="AI23">
        <v>6.11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56</v>
      </c>
      <c r="AU23" t="s">
        <v>6</v>
      </c>
      <c r="AV23">
        <v>0</v>
      </c>
      <c r="AW23">
        <v>2</v>
      </c>
      <c r="AX23">
        <v>16784282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Y23*Source!I27</f>
        <v>1.8144</v>
      </c>
      <c r="CY23">
        <f t="shared" si="7"/>
        <v>48.57</v>
      </c>
      <c r="CZ23">
        <f t="shared" si="8"/>
        <v>7.95</v>
      </c>
      <c r="DA23">
        <f t="shared" si="9"/>
        <v>6.11</v>
      </c>
      <c r="DB23">
        <f t="shared" si="10"/>
        <v>445.2</v>
      </c>
      <c r="DC23">
        <f t="shared" si="11"/>
        <v>0</v>
      </c>
    </row>
    <row r="24" spans="1:107" x14ac:dyDescent="0.2">
      <c r="A24">
        <f>ROW(Source!A27)</f>
        <v>27</v>
      </c>
      <c r="B24">
        <v>16784196</v>
      </c>
      <c r="C24">
        <v>16784265</v>
      </c>
      <c r="D24">
        <v>15167640</v>
      </c>
      <c r="E24">
        <v>1</v>
      </c>
      <c r="F24">
        <v>1</v>
      </c>
      <c r="G24">
        <v>1</v>
      </c>
      <c r="H24">
        <v>3</v>
      </c>
      <c r="I24" t="s">
        <v>513</v>
      </c>
      <c r="J24" t="s">
        <v>514</v>
      </c>
      <c r="K24" t="s">
        <v>515</v>
      </c>
      <c r="L24">
        <v>1302</v>
      </c>
      <c r="N24">
        <v>1003</v>
      </c>
      <c r="O24" t="s">
        <v>74</v>
      </c>
      <c r="P24" t="s">
        <v>74</v>
      </c>
      <c r="Q24">
        <v>10</v>
      </c>
      <c r="W24">
        <v>0</v>
      </c>
      <c r="X24">
        <v>-405326455</v>
      </c>
      <c r="Y24">
        <v>15.6</v>
      </c>
      <c r="AA24">
        <v>391.65</v>
      </c>
      <c r="AB24">
        <v>0</v>
      </c>
      <c r="AC24">
        <v>0</v>
      </c>
      <c r="AD24">
        <v>0</v>
      </c>
      <c r="AE24">
        <v>64.099999999999994</v>
      </c>
      <c r="AF24">
        <v>0</v>
      </c>
      <c r="AG24">
        <v>0</v>
      </c>
      <c r="AH24">
        <v>0</v>
      </c>
      <c r="AI24">
        <v>6.11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15.6</v>
      </c>
      <c r="AU24" t="s">
        <v>6</v>
      </c>
      <c r="AV24">
        <v>0</v>
      </c>
      <c r="AW24">
        <v>2</v>
      </c>
      <c r="AX24">
        <v>16784283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Y24*Source!I27</f>
        <v>0.50544</v>
      </c>
      <c r="CY24">
        <f t="shared" si="7"/>
        <v>391.65</v>
      </c>
      <c r="CZ24">
        <f t="shared" si="8"/>
        <v>64.099999999999994</v>
      </c>
      <c r="DA24">
        <f t="shared" si="9"/>
        <v>6.11</v>
      </c>
      <c r="DB24">
        <f t="shared" si="10"/>
        <v>999.96</v>
      </c>
      <c r="DC24">
        <f t="shared" si="11"/>
        <v>0</v>
      </c>
    </row>
    <row r="25" spans="1:107" x14ac:dyDescent="0.2">
      <c r="A25">
        <f>ROW(Source!A27)</f>
        <v>27</v>
      </c>
      <c r="B25">
        <v>16784196</v>
      </c>
      <c r="C25">
        <v>16784265</v>
      </c>
      <c r="D25">
        <v>15170065</v>
      </c>
      <c r="E25">
        <v>1</v>
      </c>
      <c r="F25">
        <v>1</v>
      </c>
      <c r="G25">
        <v>1</v>
      </c>
      <c r="H25">
        <v>3</v>
      </c>
      <c r="I25" t="s">
        <v>516</v>
      </c>
      <c r="J25" t="s">
        <v>517</v>
      </c>
      <c r="K25" t="s">
        <v>518</v>
      </c>
      <c r="L25">
        <v>1358</v>
      </c>
      <c r="N25">
        <v>1010</v>
      </c>
      <c r="O25" t="s">
        <v>519</v>
      </c>
      <c r="P25" t="s">
        <v>519</v>
      </c>
      <c r="Q25">
        <v>10</v>
      </c>
      <c r="W25">
        <v>0</v>
      </c>
      <c r="X25">
        <v>-858120743</v>
      </c>
      <c r="Y25">
        <v>38.9</v>
      </c>
      <c r="AA25">
        <v>42.95</v>
      </c>
      <c r="AB25">
        <v>0</v>
      </c>
      <c r="AC25">
        <v>0</v>
      </c>
      <c r="AD25">
        <v>0</v>
      </c>
      <c r="AE25">
        <v>7.03</v>
      </c>
      <c r="AF25">
        <v>0</v>
      </c>
      <c r="AG25">
        <v>0</v>
      </c>
      <c r="AH25">
        <v>0</v>
      </c>
      <c r="AI25">
        <v>6.11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38.9</v>
      </c>
      <c r="AU25" t="s">
        <v>6</v>
      </c>
      <c r="AV25">
        <v>0</v>
      </c>
      <c r="AW25">
        <v>2</v>
      </c>
      <c r="AX25">
        <v>16784284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Y25*Source!I27</f>
        <v>1.2603599999999999</v>
      </c>
      <c r="CY25">
        <f t="shared" si="7"/>
        <v>42.95</v>
      </c>
      <c r="CZ25">
        <f t="shared" si="8"/>
        <v>7.03</v>
      </c>
      <c r="DA25">
        <f t="shared" si="9"/>
        <v>6.11</v>
      </c>
      <c r="DB25">
        <f t="shared" si="10"/>
        <v>273.47000000000003</v>
      </c>
      <c r="DC25">
        <f t="shared" si="11"/>
        <v>0</v>
      </c>
    </row>
    <row r="26" spans="1:107" x14ac:dyDescent="0.2">
      <c r="A26">
        <f>ROW(Source!A27)</f>
        <v>27</v>
      </c>
      <c r="B26">
        <v>16784196</v>
      </c>
      <c r="C26">
        <v>16784265</v>
      </c>
      <c r="D26">
        <v>15197463</v>
      </c>
      <c r="E26">
        <v>1</v>
      </c>
      <c r="F26">
        <v>1</v>
      </c>
      <c r="G26">
        <v>1</v>
      </c>
      <c r="H26">
        <v>3</v>
      </c>
      <c r="I26" t="s">
        <v>33</v>
      </c>
      <c r="J26" t="s">
        <v>36</v>
      </c>
      <c r="K26" t="s">
        <v>34</v>
      </c>
      <c r="L26">
        <v>1327</v>
      </c>
      <c r="N26">
        <v>1005</v>
      </c>
      <c r="O26" t="s">
        <v>35</v>
      </c>
      <c r="P26" t="s">
        <v>35</v>
      </c>
      <c r="Q26">
        <v>1</v>
      </c>
      <c r="W26">
        <v>0</v>
      </c>
      <c r="X26">
        <v>-1297984833</v>
      </c>
      <c r="Y26">
        <v>100</v>
      </c>
      <c r="AA26">
        <v>15609.4</v>
      </c>
      <c r="AB26">
        <v>0</v>
      </c>
      <c r="AC26">
        <v>0</v>
      </c>
      <c r="AD26">
        <v>0</v>
      </c>
      <c r="AE26">
        <v>2554.73</v>
      </c>
      <c r="AF26">
        <v>0</v>
      </c>
      <c r="AG26">
        <v>0</v>
      </c>
      <c r="AH26">
        <v>0</v>
      </c>
      <c r="AI26">
        <v>6.11</v>
      </c>
      <c r="AJ26">
        <v>1</v>
      </c>
      <c r="AK26">
        <v>1</v>
      </c>
      <c r="AL26">
        <v>1</v>
      </c>
      <c r="AN26">
        <v>0</v>
      </c>
      <c r="AO26">
        <v>0</v>
      </c>
      <c r="AP26">
        <v>0</v>
      </c>
      <c r="AQ26">
        <v>0</v>
      </c>
      <c r="AR26">
        <v>0</v>
      </c>
      <c r="AS26" t="s">
        <v>6</v>
      </c>
      <c r="AT26">
        <v>100</v>
      </c>
      <c r="AU26" t="s">
        <v>6</v>
      </c>
      <c r="AV26">
        <v>0</v>
      </c>
      <c r="AW26">
        <v>1</v>
      </c>
      <c r="AX26">
        <v>-1</v>
      </c>
      <c r="AY26">
        <v>0</v>
      </c>
      <c r="AZ26">
        <v>0</v>
      </c>
      <c r="BA26" t="s">
        <v>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Y26*Source!I27</f>
        <v>3.2399999999999998</v>
      </c>
      <c r="CY26">
        <f t="shared" si="7"/>
        <v>15609.4</v>
      </c>
      <c r="CZ26">
        <f t="shared" si="8"/>
        <v>2554.73</v>
      </c>
      <c r="DA26">
        <f t="shared" si="9"/>
        <v>6.11</v>
      </c>
      <c r="DB26">
        <f t="shared" si="10"/>
        <v>255473</v>
      </c>
      <c r="DC26">
        <f t="shared" si="11"/>
        <v>0</v>
      </c>
    </row>
    <row r="27" spans="1:107" x14ac:dyDescent="0.2">
      <c r="A27">
        <f>ROW(Source!A27)</f>
        <v>27</v>
      </c>
      <c r="B27">
        <v>16784196</v>
      </c>
      <c r="C27">
        <v>16784265</v>
      </c>
      <c r="D27">
        <v>15197780</v>
      </c>
      <c r="E27">
        <v>1</v>
      </c>
      <c r="F27">
        <v>1</v>
      </c>
      <c r="G27">
        <v>1</v>
      </c>
      <c r="H27">
        <v>3</v>
      </c>
      <c r="I27" t="s">
        <v>520</v>
      </c>
      <c r="J27" t="s">
        <v>521</v>
      </c>
      <c r="K27" t="s">
        <v>522</v>
      </c>
      <c r="L27">
        <v>1355</v>
      </c>
      <c r="N27">
        <v>1010</v>
      </c>
      <c r="O27" t="s">
        <v>523</v>
      </c>
      <c r="P27" t="s">
        <v>523</v>
      </c>
      <c r="Q27">
        <v>100</v>
      </c>
      <c r="W27">
        <v>0</v>
      </c>
      <c r="X27">
        <v>1709713925</v>
      </c>
      <c r="Y27">
        <v>8</v>
      </c>
      <c r="AA27">
        <v>305.5</v>
      </c>
      <c r="AB27">
        <v>0</v>
      </c>
      <c r="AC27">
        <v>0</v>
      </c>
      <c r="AD27">
        <v>0</v>
      </c>
      <c r="AE27">
        <v>50</v>
      </c>
      <c r="AF27">
        <v>0</v>
      </c>
      <c r="AG27">
        <v>0</v>
      </c>
      <c r="AH27">
        <v>0</v>
      </c>
      <c r="AI27">
        <v>6.11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8</v>
      </c>
      <c r="AU27" t="s">
        <v>6</v>
      </c>
      <c r="AV27">
        <v>0</v>
      </c>
      <c r="AW27">
        <v>2</v>
      </c>
      <c r="AX27">
        <v>16784286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Y27*Source!I27</f>
        <v>0.25919999999999999</v>
      </c>
      <c r="CY27">
        <f t="shared" si="7"/>
        <v>305.5</v>
      </c>
      <c r="CZ27">
        <f t="shared" si="8"/>
        <v>50</v>
      </c>
      <c r="DA27">
        <f t="shared" si="9"/>
        <v>6.11</v>
      </c>
      <c r="DB27">
        <f t="shared" si="10"/>
        <v>400</v>
      </c>
      <c r="DC27">
        <f t="shared" si="11"/>
        <v>0</v>
      </c>
    </row>
    <row r="28" spans="1:107" x14ac:dyDescent="0.2">
      <c r="A28">
        <f>ROW(Source!A27)</f>
        <v>27</v>
      </c>
      <c r="B28">
        <v>16784196</v>
      </c>
      <c r="C28">
        <v>16784265</v>
      </c>
      <c r="D28">
        <v>15204239</v>
      </c>
      <c r="E28">
        <v>1</v>
      </c>
      <c r="F28">
        <v>1</v>
      </c>
      <c r="G28">
        <v>1</v>
      </c>
      <c r="H28">
        <v>3</v>
      </c>
      <c r="I28" t="s">
        <v>524</v>
      </c>
      <c r="J28" t="s">
        <v>525</v>
      </c>
      <c r="K28" t="s">
        <v>526</v>
      </c>
      <c r="L28">
        <v>1354</v>
      </c>
      <c r="N28">
        <v>1010</v>
      </c>
      <c r="O28" t="s">
        <v>277</v>
      </c>
      <c r="P28" t="s">
        <v>277</v>
      </c>
      <c r="Q28">
        <v>1</v>
      </c>
      <c r="W28">
        <v>0</v>
      </c>
      <c r="X28">
        <v>-1018551266</v>
      </c>
      <c r="Y28">
        <v>69</v>
      </c>
      <c r="AA28">
        <v>409.37</v>
      </c>
      <c r="AB28">
        <v>0</v>
      </c>
      <c r="AC28">
        <v>0</v>
      </c>
      <c r="AD28">
        <v>0</v>
      </c>
      <c r="AE28">
        <v>67</v>
      </c>
      <c r="AF28">
        <v>0</v>
      </c>
      <c r="AG28">
        <v>0</v>
      </c>
      <c r="AH28">
        <v>0</v>
      </c>
      <c r="AI28">
        <v>6.11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0</v>
      </c>
      <c r="AQ28">
        <v>0</v>
      </c>
      <c r="AR28">
        <v>0</v>
      </c>
      <c r="AS28" t="s">
        <v>6</v>
      </c>
      <c r="AT28">
        <v>69</v>
      </c>
      <c r="AU28" t="s">
        <v>6</v>
      </c>
      <c r="AV28">
        <v>0</v>
      </c>
      <c r="AW28">
        <v>2</v>
      </c>
      <c r="AX28">
        <v>16784287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Y28*Source!I27</f>
        <v>2.2355999999999998</v>
      </c>
      <c r="CY28">
        <f t="shared" si="7"/>
        <v>409.37</v>
      </c>
      <c r="CZ28">
        <f t="shared" si="8"/>
        <v>67</v>
      </c>
      <c r="DA28">
        <f t="shared" si="9"/>
        <v>6.11</v>
      </c>
      <c r="DB28">
        <f t="shared" si="10"/>
        <v>4623</v>
      </c>
      <c r="DC28">
        <f t="shared" si="11"/>
        <v>0</v>
      </c>
    </row>
    <row r="29" spans="1:107" x14ac:dyDescent="0.2">
      <c r="A29">
        <f>ROW(Source!A30)</f>
        <v>30</v>
      </c>
      <c r="B29">
        <v>16784195</v>
      </c>
      <c r="C29">
        <v>16784289</v>
      </c>
      <c r="D29">
        <v>15430767</v>
      </c>
      <c r="E29">
        <v>1</v>
      </c>
      <c r="F29">
        <v>1</v>
      </c>
      <c r="G29">
        <v>1</v>
      </c>
      <c r="H29">
        <v>1</v>
      </c>
      <c r="I29" t="s">
        <v>527</v>
      </c>
      <c r="J29" t="s">
        <v>6</v>
      </c>
      <c r="K29" t="s">
        <v>528</v>
      </c>
      <c r="L29">
        <v>1191</v>
      </c>
      <c r="N29">
        <v>1013</v>
      </c>
      <c r="O29" t="s">
        <v>495</v>
      </c>
      <c r="P29" t="s">
        <v>495</v>
      </c>
      <c r="Q29">
        <v>1</v>
      </c>
      <c r="W29">
        <v>0</v>
      </c>
      <c r="X29">
        <v>-400197608</v>
      </c>
      <c r="Y29">
        <v>24.586999999999996</v>
      </c>
      <c r="AA29">
        <v>0</v>
      </c>
      <c r="AB29">
        <v>0</v>
      </c>
      <c r="AC29">
        <v>0</v>
      </c>
      <c r="AD29">
        <v>8.5299999999999994</v>
      </c>
      <c r="AE29">
        <v>0</v>
      </c>
      <c r="AF29">
        <v>0</v>
      </c>
      <c r="AG29">
        <v>0</v>
      </c>
      <c r="AH29">
        <v>8.5299999999999994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21.38</v>
      </c>
      <c r="AU29" t="s">
        <v>28</v>
      </c>
      <c r="AV29">
        <v>1</v>
      </c>
      <c r="AW29">
        <v>2</v>
      </c>
      <c r="AX29">
        <v>16784297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0.39339199999999996</v>
      </c>
      <c r="CY29">
        <f>AD29</f>
        <v>8.5299999999999994</v>
      </c>
      <c r="CZ29">
        <f>AH29</f>
        <v>8.5299999999999994</v>
      </c>
      <c r="DA29">
        <f>AL29</f>
        <v>1</v>
      </c>
      <c r="DB29">
        <f>ROUND((ROUND(AT29*CZ29,2)*1.15),2)</f>
        <v>209.73</v>
      </c>
      <c r="DC29">
        <f>ROUND((ROUND(AT29*AG29,2)*1.15),2)</f>
        <v>0</v>
      </c>
    </row>
    <row r="30" spans="1:107" x14ac:dyDescent="0.2">
      <c r="A30">
        <f>ROW(Source!A30)</f>
        <v>30</v>
      </c>
      <c r="B30">
        <v>16784195</v>
      </c>
      <c r="C30">
        <v>16784289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496</v>
      </c>
      <c r="J30" t="s">
        <v>6</v>
      </c>
      <c r="K30" t="s">
        <v>497</v>
      </c>
      <c r="L30">
        <v>1191</v>
      </c>
      <c r="N30">
        <v>1013</v>
      </c>
      <c r="O30" t="s">
        <v>495</v>
      </c>
      <c r="P30" t="s">
        <v>495</v>
      </c>
      <c r="Q30">
        <v>1</v>
      </c>
      <c r="W30">
        <v>0</v>
      </c>
      <c r="X30">
        <v>-1417349443</v>
      </c>
      <c r="Y30">
        <v>0.37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0.37</v>
      </c>
      <c r="AU30" t="s">
        <v>6</v>
      </c>
      <c r="AV30">
        <v>2</v>
      </c>
      <c r="AW30">
        <v>2</v>
      </c>
      <c r="AX30">
        <v>16784298</v>
      </c>
      <c r="AY30">
        <v>1</v>
      </c>
      <c r="AZ30">
        <v>2048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5.9199999999999999E-3</v>
      </c>
      <c r="CY30">
        <f>AD30</f>
        <v>0</v>
      </c>
      <c r="CZ30">
        <f>AH30</f>
        <v>0</v>
      </c>
      <c r="DA30">
        <f>AL30</f>
        <v>1</v>
      </c>
      <c r="DB30">
        <f>ROUND(ROUND(AT30*CZ30,2),2)</f>
        <v>0</v>
      </c>
      <c r="DC30">
        <f>ROUND(ROUND(AT30*AG30,2),2)</f>
        <v>0</v>
      </c>
    </row>
    <row r="31" spans="1:107" x14ac:dyDescent="0.2">
      <c r="A31">
        <f>ROW(Source!A30)</f>
        <v>30</v>
      </c>
      <c r="B31">
        <v>16784195</v>
      </c>
      <c r="C31">
        <v>16784289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498</v>
      </c>
      <c r="J31" t="s">
        <v>499</v>
      </c>
      <c r="K31" t="s">
        <v>500</v>
      </c>
      <c r="L31">
        <v>1368</v>
      </c>
      <c r="N31">
        <v>1011</v>
      </c>
      <c r="O31" t="s">
        <v>501</v>
      </c>
      <c r="P31" t="s">
        <v>501</v>
      </c>
      <c r="Q31">
        <v>1</v>
      </c>
      <c r="W31">
        <v>0</v>
      </c>
      <c r="X31">
        <v>1188625873</v>
      </c>
      <c r="Y31">
        <v>8.7500000000000008E-2</v>
      </c>
      <c r="AA31">
        <v>0</v>
      </c>
      <c r="AB31">
        <v>31.26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7.0000000000000007E-2</v>
      </c>
      <c r="AU31" t="s">
        <v>27</v>
      </c>
      <c r="AV31">
        <v>0</v>
      </c>
      <c r="AW31">
        <v>2</v>
      </c>
      <c r="AX31">
        <v>16784299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Y31*Source!I30</f>
        <v>1.4000000000000002E-3</v>
      </c>
      <c r="CY31">
        <f>AB31</f>
        <v>31.26</v>
      </c>
      <c r="CZ31">
        <f>AF31</f>
        <v>31.26</v>
      </c>
      <c r="DA31">
        <f>AJ31</f>
        <v>1</v>
      </c>
      <c r="DB31">
        <f>ROUND((ROUND(AT31*CZ31,2)*1.25),2)</f>
        <v>2.74</v>
      </c>
      <c r="DC31">
        <f>ROUND((ROUND(AT31*AG31,2)*1.25),2)</f>
        <v>1.19</v>
      </c>
    </row>
    <row r="32" spans="1:107" x14ac:dyDescent="0.2">
      <c r="A32">
        <f>ROW(Source!A30)</f>
        <v>30</v>
      </c>
      <c r="B32">
        <v>16784195</v>
      </c>
      <c r="C32">
        <v>16784289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504</v>
      </c>
      <c r="J32" t="s">
        <v>505</v>
      </c>
      <c r="K32" t="s">
        <v>506</v>
      </c>
      <c r="L32">
        <v>1368</v>
      </c>
      <c r="N32">
        <v>1011</v>
      </c>
      <c r="O32" t="s">
        <v>501</v>
      </c>
      <c r="P32" t="s">
        <v>501</v>
      </c>
      <c r="Q32">
        <v>1</v>
      </c>
      <c r="W32">
        <v>0</v>
      </c>
      <c r="X32">
        <v>1372534845</v>
      </c>
      <c r="Y32">
        <v>0.375</v>
      </c>
      <c r="AA32">
        <v>0</v>
      </c>
      <c r="AB32">
        <v>65.709999999999994</v>
      </c>
      <c r="AC32">
        <v>11.6</v>
      </c>
      <c r="AD32">
        <v>0</v>
      </c>
      <c r="AE32">
        <v>0</v>
      </c>
      <c r="AF32">
        <v>65.709999999999994</v>
      </c>
      <c r="AG32">
        <v>11.6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0.3</v>
      </c>
      <c r="AU32" t="s">
        <v>27</v>
      </c>
      <c r="AV32">
        <v>0</v>
      </c>
      <c r="AW32">
        <v>2</v>
      </c>
      <c r="AX32">
        <v>16784300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Y32*Source!I30</f>
        <v>6.0000000000000001E-3</v>
      </c>
      <c r="CY32">
        <f>AB32</f>
        <v>65.709999999999994</v>
      </c>
      <c r="CZ32">
        <f>AF32</f>
        <v>65.709999999999994</v>
      </c>
      <c r="DA32">
        <f>AJ32</f>
        <v>1</v>
      </c>
      <c r="DB32">
        <f>ROUND((ROUND(AT32*CZ32,2)*1.25),2)</f>
        <v>24.64</v>
      </c>
      <c r="DC32">
        <f>ROUND((ROUND(AT32*AG32,2)*1.25),2)</f>
        <v>4.3499999999999996</v>
      </c>
    </row>
    <row r="33" spans="1:107" x14ac:dyDescent="0.2">
      <c r="A33">
        <f>ROW(Source!A30)</f>
        <v>30</v>
      </c>
      <c r="B33">
        <v>16784195</v>
      </c>
      <c r="C33">
        <v>16784289</v>
      </c>
      <c r="D33">
        <v>15197624</v>
      </c>
      <c r="E33">
        <v>1</v>
      </c>
      <c r="F33">
        <v>1</v>
      </c>
      <c r="G33">
        <v>1</v>
      </c>
      <c r="H33">
        <v>3</v>
      </c>
      <c r="I33" t="s">
        <v>43</v>
      </c>
      <c r="J33" t="s">
        <v>46</v>
      </c>
      <c r="K33" t="s">
        <v>44</v>
      </c>
      <c r="L33">
        <v>1301</v>
      </c>
      <c r="N33">
        <v>1003</v>
      </c>
      <c r="O33" t="s">
        <v>45</v>
      </c>
      <c r="P33" t="s">
        <v>45</v>
      </c>
      <c r="Q33">
        <v>1</v>
      </c>
      <c r="W33">
        <v>0</v>
      </c>
      <c r="X33">
        <v>-504550248</v>
      </c>
      <c r="Y33">
        <v>100</v>
      </c>
      <c r="AA33">
        <v>32.42</v>
      </c>
      <c r="AB33">
        <v>0</v>
      </c>
      <c r="AC33">
        <v>0</v>
      </c>
      <c r="AD33">
        <v>0</v>
      </c>
      <c r="AE33">
        <v>32.42</v>
      </c>
      <c r="AF33">
        <v>0</v>
      </c>
      <c r="AG33">
        <v>0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1</v>
      </c>
      <c r="AO33">
        <v>0</v>
      </c>
      <c r="AP33">
        <v>0</v>
      </c>
      <c r="AQ33">
        <v>0</v>
      </c>
      <c r="AR33">
        <v>0</v>
      </c>
      <c r="AS33" t="s">
        <v>6</v>
      </c>
      <c r="AT33">
        <v>100</v>
      </c>
      <c r="AU33" t="s">
        <v>6</v>
      </c>
      <c r="AV33">
        <v>0</v>
      </c>
      <c r="AW33">
        <v>1</v>
      </c>
      <c r="AX33">
        <v>-1</v>
      </c>
      <c r="AY33">
        <v>0</v>
      </c>
      <c r="AZ33">
        <v>0</v>
      </c>
      <c r="BA33" t="s">
        <v>6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Y33*Source!I30</f>
        <v>1.6</v>
      </c>
      <c r="CY33">
        <f>AA33</f>
        <v>32.42</v>
      </c>
      <c r="CZ33">
        <f>AE33</f>
        <v>32.42</v>
      </c>
      <c r="DA33">
        <f>AI33</f>
        <v>1</v>
      </c>
      <c r="DB33">
        <f>ROUND(ROUND(AT33*CZ33,2),2)</f>
        <v>3242</v>
      </c>
      <c r="DC33">
        <f>ROUND(ROUND(AT33*AG33,2),2)</f>
        <v>0</v>
      </c>
    </row>
    <row r="34" spans="1:107" x14ac:dyDescent="0.2">
      <c r="A34">
        <f>ROW(Source!A30)</f>
        <v>30</v>
      </c>
      <c r="B34">
        <v>16784195</v>
      </c>
      <c r="C34">
        <v>16784289</v>
      </c>
      <c r="D34">
        <v>15197780</v>
      </c>
      <c r="E34">
        <v>1</v>
      </c>
      <c r="F34">
        <v>1</v>
      </c>
      <c r="G34">
        <v>1</v>
      </c>
      <c r="H34">
        <v>3</v>
      </c>
      <c r="I34" t="s">
        <v>520</v>
      </c>
      <c r="J34" t="s">
        <v>521</v>
      </c>
      <c r="K34" t="s">
        <v>522</v>
      </c>
      <c r="L34">
        <v>1355</v>
      </c>
      <c r="N34">
        <v>1010</v>
      </c>
      <c r="O34" t="s">
        <v>523</v>
      </c>
      <c r="P34" t="s">
        <v>523</v>
      </c>
      <c r="Q34">
        <v>100</v>
      </c>
      <c r="W34">
        <v>0</v>
      </c>
      <c r="X34">
        <v>1709713925</v>
      </c>
      <c r="Y34">
        <v>4</v>
      </c>
      <c r="AA34">
        <v>50</v>
      </c>
      <c r="AB34">
        <v>0</v>
      </c>
      <c r="AC34">
        <v>0</v>
      </c>
      <c r="AD34">
        <v>0</v>
      </c>
      <c r="AE34">
        <v>50</v>
      </c>
      <c r="AF34">
        <v>0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4</v>
      </c>
      <c r="AU34" t="s">
        <v>6</v>
      </c>
      <c r="AV34">
        <v>0</v>
      </c>
      <c r="AW34">
        <v>2</v>
      </c>
      <c r="AX34">
        <v>16784302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Y34*Source!I30</f>
        <v>6.4000000000000001E-2</v>
      </c>
      <c r="CY34">
        <f>AA34</f>
        <v>50</v>
      </c>
      <c r="CZ34">
        <f>AE34</f>
        <v>50</v>
      </c>
      <c r="DA34">
        <f>AI34</f>
        <v>1</v>
      </c>
      <c r="DB34">
        <f>ROUND(ROUND(AT34*CZ34,2),2)</f>
        <v>200</v>
      </c>
      <c r="DC34">
        <f>ROUND(ROUND(AT34*AG34,2),2)</f>
        <v>0</v>
      </c>
    </row>
    <row r="35" spans="1:107" x14ac:dyDescent="0.2">
      <c r="A35">
        <f>ROW(Source!A30)</f>
        <v>30</v>
      </c>
      <c r="B35">
        <v>16784195</v>
      </c>
      <c r="C35">
        <v>16784289</v>
      </c>
      <c r="D35">
        <v>15204239</v>
      </c>
      <c r="E35">
        <v>1</v>
      </c>
      <c r="F35">
        <v>1</v>
      </c>
      <c r="G35">
        <v>1</v>
      </c>
      <c r="H35">
        <v>3</v>
      </c>
      <c r="I35" t="s">
        <v>524</v>
      </c>
      <c r="J35" t="s">
        <v>525</v>
      </c>
      <c r="K35" t="s">
        <v>526</v>
      </c>
      <c r="L35">
        <v>1354</v>
      </c>
      <c r="N35">
        <v>1010</v>
      </c>
      <c r="O35" t="s">
        <v>277</v>
      </c>
      <c r="P35" t="s">
        <v>277</v>
      </c>
      <c r="Q35">
        <v>1</v>
      </c>
      <c r="W35">
        <v>0</v>
      </c>
      <c r="X35">
        <v>-1018551266</v>
      </c>
      <c r="Y35">
        <v>90.7</v>
      </c>
      <c r="AA35">
        <v>67</v>
      </c>
      <c r="AB35">
        <v>0</v>
      </c>
      <c r="AC35">
        <v>0</v>
      </c>
      <c r="AD35">
        <v>0</v>
      </c>
      <c r="AE35">
        <v>67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90.7</v>
      </c>
      <c r="AU35" t="s">
        <v>6</v>
      </c>
      <c r="AV35">
        <v>0</v>
      </c>
      <c r="AW35">
        <v>2</v>
      </c>
      <c r="AX35">
        <v>16784303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Y35*Source!I30</f>
        <v>1.4512</v>
      </c>
      <c r="CY35">
        <f>AA35</f>
        <v>67</v>
      </c>
      <c r="CZ35">
        <f>AE35</f>
        <v>67</v>
      </c>
      <c r="DA35">
        <f>AI35</f>
        <v>1</v>
      </c>
      <c r="DB35">
        <f>ROUND(ROUND(AT35*CZ35,2),2)</f>
        <v>6076.9</v>
      </c>
      <c r="DC35">
        <f>ROUND(ROUND(AT35*AG35,2),2)</f>
        <v>0</v>
      </c>
    </row>
    <row r="36" spans="1:107" x14ac:dyDescent="0.2">
      <c r="A36">
        <f>ROW(Source!A31)</f>
        <v>31</v>
      </c>
      <c r="B36">
        <v>16784196</v>
      </c>
      <c r="C36">
        <v>16784289</v>
      </c>
      <c r="D36">
        <v>15430767</v>
      </c>
      <c r="E36">
        <v>1</v>
      </c>
      <c r="F36">
        <v>1</v>
      </c>
      <c r="G36">
        <v>1</v>
      </c>
      <c r="H36">
        <v>1</v>
      </c>
      <c r="I36" t="s">
        <v>527</v>
      </c>
      <c r="J36" t="s">
        <v>6</v>
      </c>
      <c r="K36" t="s">
        <v>528</v>
      </c>
      <c r="L36">
        <v>1191</v>
      </c>
      <c r="N36">
        <v>1013</v>
      </c>
      <c r="O36" t="s">
        <v>495</v>
      </c>
      <c r="P36" t="s">
        <v>495</v>
      </c>
      <c r="Q36">
        <v>1</v>
      </c>
      <c r="W36">
        <v>0</v>
      </c>
      <c r="X36">
        <v>-400197608</v>
      </c>
      <c r="Y36">
        <v>24.586999999999996</v>
      </c>
      <c r="AA36">
        <v>0</v>
      </c>
      <c r="AB36">
        <v>0</v>
      </c>
      <c r="AC36">
        <v>0</v>
      </c>
      <c r="AD36">
        <v>52.12</v>
      </c>
      <c r="AE36">
        <v>0</v>
      </c>
      <c r="AF36">
        <v>0</v>
      </c>
      <c r="AG36">
        <v>0</v>
      </c>
      <c r="AH36">
        <v>8.5299999999999994</v>
      </c>
      <c r="AI36">
        <v>1</v>
      </c>
      <c r="AJ36">
        <v>1</v>
      </c>
      <c r="AK36">
        <v>1</v>
      </c>
      <c r="AL36">
        <v>6.11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21.38</v>
      </c>
      <c r="AU36" t="s">
        <v>28</v>
      </c>
      <c r="AV36">
        <v>1</v>
      </c>
      <c r="AW36">
        <v>2</v>
      </c>
      <c r="AX36">
        <v>16784297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Y36*Source!I31</f>
        <v>0.39339199999999996</v>
      </c>
      <c r="CY36">
        <f>AD36</f>
        <v>52.12</v>
      </c>
      <c r="CZ36">
        <f>AH36</f>
        <v>8.5299999999999994</v>
      </c>
      <c r="DA36">
        <f>AL36</f>
        <v>6.11</v>
      </c>
      <c r="DB36">
        <f>ROUND((ROUND(AT36*CZ36,2)*1.15),2)</f>
        <v>209.73</v>
      </c>
      <c r="DC36">
        <f>ROUND((ROUND(AT36*AG36,2)*1.15),2)</f>
        <v>0</v>
      </c>
    </row>
    <row r="37" spans="1:107" x14ac:dyDescent="0.2">
      <c r="A37">
        <f>ROW(Source!A31)</f>
        <v>31</v>
      </c>
      <c r="B37">
        <v>16784196</v>
      </c>
      <c r="C37">
        <v>16784289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496</v>
      </c>
      <c r="J37" t="s">
        <v>6</v>
      </c>
      <c r="K37" t="s">
        <v>497</v>
      </c>
      <c r="L37">
        <v>1191</v>
      </c>
      <c r="N37">
        <v>1013</v>
      </c>
      <c r="O37" t="s">
        <v>495</v>
      </c>
      <c r="P37" t="s">
        <v>495</v>
      </c>
      <c r="Q37">
        <v>1</v>
      </c>
      <c r="W37">
        <v>0</v>
      </c>
      <c r="X37">
        <v>-1417349443</v>
      </c>
      <c r="Y37">
        <v>0.37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6.11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0.37</v>
      </c>
      <c r="AU37" t="s">
        <v>6</v>
      </c>
      <c r="AV37">
        <v>2</v>
      </c>
      <c r="AW37">
        <v>2</v>
      </c>
      <c r="AX37">
        <v>16784298</v>
      </c>
      <c r="AY37">
        <v>1</v>
      </c>
      <c r="AZ37">
        <v>2048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Y37*Source!I31</f>
        <v>5.9199999999999999E-3</v>
      </c>
      <c r="CY37">
        <f>AD37</f>
        <v>0</v>
      </c>
      <c r="CZ37">
        <f>AH37</f>
        <v>0</v>
      </c>
      <c r="DA37">
        <f>AL37</f>
        <v>1</v>
      </c>
      <c r="DB37">
        <f>ROUND(ROUND(AT37*CZ37,2),2)</f>
        <v>0</v>
      </c>
      <c r="DC37">
        <f>ROUND(ROUND(AT37*AG37,2),2)</f>
        <v>0</v>
      </c>
    </row>
    <row r="38" spans="1:107" x14ac:dyDescent="0.2">
      <c r="A38">
        <f>ROW(Source!A31)</f>
        <v>31</v>
      </c>
      <c r="B38">
        <v>16784196</v>
      </c>
      <c r="C38">
        <v>16784289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498</v>
      </c>
      <c r="J38" t="s">
        <v>499</v>
      </c>
      <c r="K38" t="s">
        <v>500</v>
      </c>
      <c r="L38">
        <v>1368</v>
      </c>
      <c r="N38">
        <v>1011</v>
      </c>
      <c r="O38" t="s">
        <v>501</v>
      </c>
      <c r="P38" t="s">
        <v>501</v>
      </c>
      <c r="Q38">
        <v>1</v>
      </c>
      <c r="W38">
        <v>0</v>
      </c>
      <c r="X38">
        <v>1188625873</v>
      </c>
      <c r="Y38">
        <v>8.7500000000000008E-2</v>
      </c>
      <c r="AA38">
        <v>0</v>
      </c>
      <c r="AB38">
        <v>191</v>
      </c>
      <c r="AC38">
        <v>13.5</v>
      </c>
      <c r="AD38">
        <v>0</v>
      </c>
      <c r="AE38">
        <v>0</v>
      </c>
      <c r="AF38">
        <v>31.26</v>
      </c>
      <c r="AG38">
        <v>13.5</v>
      </c>
      <c r="AH38">
        <v>0</v>
      </c>
      <c r="AI38">
        <v>1</v>
      </c>
      <c r="AJ38">
        <v>6.11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7.0000000000000007E-2</v>
      </c>
      <c r="AU38" t="s">
        <v>27</v>
      </c>
      <c r="AV38">
        <v>0</v>
      </c>
      <c r="AW38">
        <v>2</v>
      </c>
      <c r="AX38">
        <v>16784299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Y38*Source!I31</f>
        <v>1.4000000000000002E-3</v>
      </c>
      <c r="CY38">
        <f>AB38</f>
        <v>191</v>
      </c>
      <c r="CZ38">
        <f>AF38</f>
        <v>31.26</v>
      </c>
      <c r="DA38">
        <f>AJ38</f>
        <v>6.11</v>
      </c>
      <c r="DB38">
        <f>ROUND((ROUND(AT38*CZ38,2)*1.25),2)</f>
        <v>2.74</v>
      </c>
      <c r="DC38">
        <f>ROUND((ROUND(AT38*AG38,2)*1.25),2)</f>
        <v>1.19</v>
      </c>
    </row>
    <row r="39" spans="1:107" x14ac:dyDescent="0.2">
      <c r="A39">
        <f>ROW(Source!A31)</f>
        <v>31</v>
      </c>
      <c r="B39">
        <v>16784196</v>
      </c>
      <c r="C39">
        <v>16784289</v>
      </c>
      <c r="D39">
        <v>15249073</v>
      </c>
      <c r="E39">
        <v>1</v>
      </c>
      <c r="F39">
        <v>1</v>
      </c>
      <c r="G39">
        <v>1</v>
      </c>
      <c r="H39">
        <v>2</v>
      </c>
      <c r="I39" t="s">
        <v>504</v>
      </c>
      <c r="J39" t="s">
        <v>505</v>
      </c>
      <c r="K39" t="s">
        <v>506</v>
      </c>
      <c r="L39">
        <v>1368</v>
      </c>
      <c r="N39">
        <v>1011</v>
      </c>
      <c r="O39" t="s">
        <v>501</v>
      </c>
      <c r="P39" t="s">
        <v>501</v>
      </c>
      <c r="Q39">
        <v>1</v>
      </c>
      <c r="W39">
        <v>0</v>
      </c>
      <c r="X39">
        <v>1372534845</v>
      </c>
      <c r="Y39">
        <v>0.375</v>
      </c>
      <c r="AA39">
        <v>0</v>
      </c>
      <c r="AB39">
        <v>401.49</v>
      </c>
      <c r="AC39">
        <v>11.6</v>
      </c>
      <c r="AD39">
        <v>0</v>
      </c>
      <c r="AE39">
        <v>0</v>
      </c>
      <c r="AF39">
        <v>65.709999999999994</v>
      </c>
      <c r="AG39">
        <v>11.6</v>
      </c>
      <c r="AH39">
        <v>0</v>
      </c>
      <c r="AI39">
        <v>1</v>
      </c>
      <c r="AJ39">
        <v>6.11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0.3</v>
      </c>
      <c r="AU39" t="s">
        <v>27</v>
      </c>
      <c r="AV39">
        <v>0</v>
      </c>
      <c r="AW39">
        <v>2</v>
      </c>
      <c r="AX39">
        <v>16784300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Y39*Source!I31</f>
        <v>6.0000000000000001E-3</v>
      </c>
      <c r="CY39">
        <f>AB39</f>
        <v>401.49</v>
      </c>
      <c r="CZ39">
        <f>AF39</f>
        <v>65.709999999999994</v>
      </c>
      <c r="DA39">
        <f>AJ39</f>
        <v>6.11</v>
      </c>
      <c r="DB39">
        <f>ROUND((ROUND(AT39*CZ39,2)*1.25),2)</f>
        <v>24.64</v>
      </c>
      <c r="DC39">
        <f>ROUND((ROUND(AT39*AG39,2)*1.25),2)</f>
        <v>4.3499999999999996</v>
      </c>
    </row>
    <row r="40" spans="1:107" x14ac:dyDescent="0.2">
      <c r="A40">
        <f>ROW(Source!A31)</f>
        <v>31</v>
      </c>
      <c r="B40">
        <v>16784196</v>
      </c>
      <c r="C40">
        <v>16784289</v>
      </c>
      <c r="D40">
        <v>15197624</v>
      </c>
      <c r="E40">
        <v>1</v>
      </c>
      <c r="F40">
        <v>1</v>
      </c>
      <c r="G40">
        <v>1</v>
      </c>
      <c r="H40">
        <v>3</v>
      </c>
      <c r="I40" t="s">
        <v>43</v>
      </c>
      <c r="J40" t="s">
        <v>46</v>
      </c>
      <c r="K40" t="s">
        <v>44</v>
      </c>
      <c r="L40">
        <v>1301</v>
      </c>
      <c r="N40">
        <v>1003</v>
      </c>
      <c r="O40" t="s">
        <v>45</v>
      </c>
      <c r="P40" t="s">
        <v>45</v>
      </c>
      <c r="Q40">
        <v>1</v>
      </c>
      <c r="W40">
        <v>0</v>
      </c>
      <c r="X40">
        <v>-504550248</v>
      </c>
      <c r="Y40">
        <v>100</v>
      </c>
      <c r="AA40">
        <v>198.09</v>
      </c>
      <c r="AB40">
        <v>0</v>
      </c>
      <c r="AC40">
        <v>0</v>
      </c>
      <c r="AD40">
        <v>0</v>
      </c>
      <c r="AE40">
        <v>32.42</v>
      </c>
      <c r="AF40">
        <v>0</v>
      </c>
      <c r="AG40">
        <v>0</v>
      </c>
      <c r="AH40">
        <v>0</v>
      </c>
      <c r="AI40">
        <v>6.11</v>
      </c>
      <c r="AJ40">
        <v>1</v>
      </c>
      <c r="AK40">
        <v>1</v>
      </c>
      <c r="AL40">
        <v>1</v>
      </c>
      <c r="AN40">
        <v>1</v>
      </c>
      <c r="AO40">
        <v>0</v>
      </c>
      <c r="AP40">
        <v>0</v>
      </c>
      <c r="AQ40">
        <v>0</v>
      </c>
      <c r="AR40">
        <v>0</v>
      </c>
      <c r="AS40" t="s">
        <v>6</v>
      </c>
      <c r="AT40">
        <v>100</v>
      </c>
      <c r="AU40" t="s">
        <v>6</v>
      </c>
      <c r="AV40">
        <v>0</v>
      </c>
      <c r="AW40">
        <v>1</v>
      </c>
      <c r="AX40">
        <v>-1</v>
      </c>
      <c r="AY40">
        <v>0</v>
      </c>
      <c r="AZ40">
        <v>0</v>
      </c>
      <c r="BA40" t="s">
        <v>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Y40*Source!I31</f>
        <v>1.6</v>
      </c>
      <c r="CY40">
        <f>AA40</f>
        <v>198.09</v>
      </c>
      <c r="CZ40">
        <f>AE40</f>
        <v>32.42</v>
      </c>
      <c r="DA40">
        <f>AI40</f>
        <v>6.11</v>
      </c>
      <c r="DB40">
        <f>ROUND(ROUND(AT40*CZ40,2),2)</f>
        <v>3242</v>
      </c>
      <c r="DC40">
        <f>ROUND(ROUND(AT40*AG40,2),2)</f>
        <v>0</v>
      </c>
    </row>
    <row r="41" spans="1:107" x14ac:dyDescent="0.2">
      <c r="A41">
        <f>ROW(Source!A31)</f>
        <v>31</v>
      </c>
      <c r="B41">
        <v>16784196</v>
      </c>
      <c r="C41">
        <v>16784289</v>
      </c>
      <c r="D41">
        <v>15197780</v>
      </c>
      <c r="E41">
        <v>1</v>
      </c>
      <c r="F41">
        <v>1</v>
      </c>
      <c r="G41">
        <v>1</v>
      </c>
      <c r="H41">
        <v>3</v>
      </c>
      <c r="I41" t="s">
        <v>520</v>
      </c>
      <c r="J41" t="s">
        <v>521</v>
      </c>
      <c r="K41" t="s">
        <v>522</v>
      </c>
      <c r="L41">
        <v>1355</v>
      </c>
      <c r="N41">
        <v>1010</v>
      </c>
      <c r="O41" t="s">
        <v>523</v>
      </c>
      <c r="P41" t="s">
        <v>523</v>
      </c>
      <c r="Q41">
        <v>100</v>
      </c>
      <c r="W41">
        <v>0</v>
      </c>
      <c r="X41">
        <v>1709713925</v>
      </c>
      <c r="Y41">
        <v>4</v>
      </c>
      <c r="AA41">
        <v>305.5</v>
      </c>
      <c r="AB41">
        <v>0</v>
      </c>
      <c r="AC41">
        <v>0</v>
      </c>
      <c r="AD41">
        <v>0</v>
      </c>
      <c r="AE41">
        <v>50</v>
      </c>
      <c r="AF41">
        <v>0</v>
      </c>
      <c r="AG41">
        <v>0</v>
      </c>
      <c r="AH41">
        <v>0</v>
      </c>
      <c r="AI41">
        <v>6.11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4</v>
      </c>
      <c r="AU41" t="s">
        <v>6</v>
      </c>
      <c r="AV41">
        <v>0</v>
      </c>
      <c r="AW41">
        <v>2</v>
      </c>
      <c r="AX41">
        <v>16784302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Y41*Source!I31</f>
        <v>6.4000000000000001E-2</v>
      </c>
      <c r="CY41">
        <f>AA41</f>
        <v>305.5</v>
      </c>
      <c r="CZ41">
        <f>AE41</f>
        <v>50</v>
      </c>
      <c r="DA41">
        <f>AI41</f>
        <v>6.11</v>
      </c>
      <c r="DB41">
        <f>ROUND(ROUND(AT41*CZ41,2),2)</f>
        <v>200</v>
      </c>
      <c r="DC41">
        <f>ROUND(ROUND(AT41*AG41,2),2)</f>
        <v>0</v>
      </c>
    </row>
    <row r="42" spans="1:107" x14ac:dyDescent="0.2">
      <c r="A42">
        <f>ROW(Source!A31)</f>
        <v>31</v>
      </c>
      <c r="B42">
        <v>16784196</v>
      </c>
      <c r="C42">
        <v>16784289</v>
      </c>
      <c r="D42">
        <v>15204239</v>
      </c>
      <c r="E42">
        <v>1</v>
      </c>
      <c r="F42">
        <v>1</v>
      </c>
      <c r="G42">
        <v>1</v>
      </c>
      <c r="H42">
        <v>3</v>
      </c>
      <c r="I42" t="s">
        <v>524</v>
      </c>
      <c r="J42" t="s">
        <v>525</v>
      </c>
      <c r="K42" t="s">
        <v>526</v>
      </c>
      <c r="L42">
        <v>1354</v>
      </c>
      <c r="N42">
        <v>1010</v>
      </c>
      <c r="O42" t="s">
        <v>277</v>
      </c>
      <c r="P42" t="s">
        <v>277</v>
      </c>
      <c r="Q42">
        <v>1</v>
      </c>
      <c r="W42">
        <v>0</v>
      </c>
      <c r="X42">
        <v>-1018551266</v>
      </c>
      <c r="Y42">
        <v>90.7</v>
      </c>
      <c r="AA42">
        <v>409.37</v>
      </c>
      <c r="AB42">
        <v>0</v>
      </c>
      <c r="AC42">
        <v>0</v>
      </c>
      <c r="AD42">
        <v>0</v>
      </c>
      <c r="AE42">
        <v>67</v>
      </c>
      <c r="AF42">
        <v>0</v>
      </c>
      <c r="AG42">
        <v>0</v>
      </c>
      <c r="AH42">
        <v>0</v>
      </c>
      <c r="AI42">
        <v>6.11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90.7</v>
      </c>
      <c r="AU42" t="s">
        <v>6</v>
      </c>
      <c r="AV42">
        <v>0</v>
      </c>
      <c r="AW42">
        <v>2</v>
      </c>
      <c r="AX42">
        <v>16784303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Y42*Source!I31</f>
        <v>1.4512</v>
      </c>
      <c r="CY42">
        <f>AA42</f>
        <v>409.37</v>
      </c>
      <c r="CZ42">
        <f>AE42</f>
        <v>67</v>
      </c>
      <c r="DA42">
        <f>AI42</f>
        <v>6.11</v>
      </c>
      <c r="DB42">
        <f>ROUND(ROUND(AT42*CZ42,2),2)</f>
        <v>6076.9</v>
      </c>
      <c r="DC42">
        <f>ROUND(ROUND(AT42*AG42,2),2)</f>
        <v>0</v>
      </c>
    </row>
    <row r="43" spans="1:107" x14ac:dyDescent="0.2">
      <c r="A43">
        <f>ROW(Source!A34)</f>
        <v>34</v>
      </c>
      <c r="B43">
        <v>16784195</v>
      </c>
      <c r="C43">
        <v>16784305</v>
      </c>
      <c r="D43">
        <v>15438286</v>
      </c>
      <c r="E43">
        <v>1</v>
      </c>
      <c r="F43">
        <v>1</v>
      </c>
      <c r="G43">
        <v>1</v>
      </c>
      <c r="H43">
        <v>1</v>
      </c>
      <c r="I43" t="s">
        <v>529</v>
      </c>
      <c r="J43" t="s">
        <v>6</v>
      </c>
      <c r="K43" t="s">
        <v>530</v>
      </c>
      <c r="L43">
        <v>1191</v>
      </c>
      <c r="N43">
        <v>1013</v>
      </c>
      <c r="O43" t="s">
        <v>495</v>
      </c>
      <c r="P43" t="s">
        <v>495</v>
      </c>
      <c r="Q43">
        <v>1</v>
      </c>
      <c r="W43">
        <v>0</v>
      </c>
      <c r="X43">
        <v>-1027537862</v>
      </c>
      <c r="Y43">
        <v>191.44049999999999</v>
      </c>
      <c r="AA43">
        <v>0</v>
      </c>
      <c r="AB43">
        <v>0</v>
      </c>
      <c r="AC43">
        <v>0</v>
      </c>
      <c r="AD43">
        <v>9.18</v>
      </c>
      <c r="AE43">
        <v>0</v>
      </c>
      <c r="AF43">
        <v>0</v>
      </c>
      <c r="AG43">
        <v>0</v>
      </c>
      <c r="AH43">
        <v>9.18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166.47</v>
      </c>
      <c r="AU43" t="s">
        <v>28</v>
      </c>
      <c r="AV43">
        <v>1</v>
      </c>
      <c r="AW43">
        <v>2</v>
      </c>
      <c r="AX43">
        <v>16784314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Y43*Source!I34</f>
        <v>2.3547181500000001</v>
      </c>
      <c r="CY43">
        <f>AD43</f>
        <v>9.18</v>
      </c>
      <c r="CZ43">
        <f>AH43</f>
        <v>9.18</v>
      </c>
      <c r="DA43">
        <f>AL43</f>
        <v>1</v>
      </c>
      <c r="DB43">
        <f>ROUND((ROUND(AT43*CZ43,2)*1.15),2)</f>
        <v>1757.42</v>
      </c>
      <c r="DC43">
        <f>ROUND((ROUND(AT43*AG43,2)*1.15),2)</f>
        <v>0</v>
      </c>
    </row>
    <row r="44" spans="1:107" x14ac:dyDescent="0.2">
      <c r="A44">
        <f>ROW(Source!A34)</f>
        <v>34</v>
      </c>
      <c r="B44">
        <v>16784195</v>
      </c>
      <c r="C44">
        <v>16784305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496</v>
      </c>
      <c r="J44" t="s">
        <v>6</v>
      </c>
      <c r="K44" t="s">
        <v>497</v>
      </c>
      <c r="L44">
        <v>1191</v>
      </c>
      <c r="N44">
        <v>1013</v>
      </c>
      <c r="O44" t="s">
        <v>495</v>
      </c>
      <c r="P44" t="s">
        <v>495</v>
      </c>
      <c r="Q44">
        <v>1</v>
      </c>
      <c r="W44">
        <v>0</v>
      </c>
      <c r="X44">
        <v>-1417349443</v>
      </c>
      <c r="Y44">
        <v>0.57999999999999996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0</v>
      </c>
      <c r="AQ44">
        <v>0</v>
      </c>
      <c r="AR44">
        <v>0</v>
      </c>
      <c r="AS44" t="s">
        <v>6</v>
      </c>
      <c r="AT44">
        <v>0.57999999999999996</v>
      </c>
      <c r="AU44" t="s">
        <v>6</v>
      </c>
      <c r="AV44">
        <v>2</v>
      </c>
      <c r="AW44">
        <v>2</v>
      </c>
      <c r="AX44">
        <v>16784315</v>
      </c>
      <c r="AY44">
        <v>1</v>
      </c>
      <c r="AZ44">
        <v>2048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Y44*Source!I34</f>
        <v>7.1339999999999997E-3</v>
      </c>
      <c r="CY44">
        <f>AD44</f>
        <v>0</v>
      </c>
      <c r="CZ44">
        <f>AH44</f>
        <v>0</v>
      </c>
      <c r="DA44">
        <f>AL44</f>
        <v>1</v>
      </c>
      <c r="DB44">
        <f>ROUND(ROUND(AT44*CZ44,2),2)</f>
        <v>0</v>
      </c>
      <c r="DC44">
        <f>ROUND(ROUND(AT44*AG44,2),2)</f>
        <v>0</v>
      </c>
    </row>
    <row r="45" spans="1:107" x14ac:dyDescent="0.2">
      <c r="A45">
        <f>ROW(Source!A34)</f>
        <v>34</v>
      </c>
      <c r="B45">
        <v>16784195</v>
      </c>
      <c r="C45">
        <v>16784305</v>
      </c>
      <c r="D45">
        <v>15247974</v>
      </c>
      <c r="E45">
        <v>1</v>
      </c>
      <c r="F45">
        <v>1</v>
      </c>
      <c r="G45">
        <v>1</v>
      </c>
      <c r="H45">
        <v>2</v>
      </c>
      <c r="I45" t="s">
        <v>498</v>
      </c>
      <c r="J45" t="s">
        <v>499</v>
      </c>
      <c r="K45" t="s">
        <v>500</v>
      </c>
      <c r="L45">
        <v>1368</v>
      </c>
      <c r="N45">
        <v>1011</v>
      </c>
      <c r="O45" t="s">
        <v>501</v>
      </c>
      <c r="P45" t="s">
        <v>501</v>
      </c>
      <c r="Q45">
        <v>1</v>
      </c>
      <c r="W45">
        <v>0</v>
      </c>
      <c r="X45">
        <v>1188625873</v>
      </c>
      <c r="Y45">
        <v>0.1</v>
      </c>
      <c r="AA45">
        <v>0</v>
      </c>
      <c r="AB45">
        <v>31.26</v>
      </c>
      <c r="AC45">
        <v>13.5</v>
      </c>
      <c r="AD45">
        <v>0</v>
      </c>
      <c r="AE45">
        <v>0</v>
      </c>
      <c r="AF45">
        <v>31.26</v>
      </c>
      <c r="AG45">
        <v>13.5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0.08</v>
      </c>
      <c r="AU45" t="s">
        <v>27</v>
      </c>
      <c r="AV45">
        <v>0</v>
      </c>
      <c r="AW45">
        <v>2</v>
      </c>
      <c r="AX45">
        <v>16784316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Y45*Source!I34</f>
        <v>1.2300000000000002E-3</v>
      </c>
      <c r="CY45">
        <f>AB45</f>
        <v>31.26</v>
      </c>
      <c r="CZ45">
        <f>AF45</f>
        <v>31.26</v>
      </c>
      <c r="DA45">
        <f>AJ45</f>
        <v>1</v>
      </c>
      <c r="DB45">
        <f>ROUND((ROUND(AT45*CZ45,2)*1.25),2)</f>
        <v>3.13</v>
      </c>
      <c r="DC45">
        <f>ROUND((ROUND(AT45*AG45,2)*1.25),2)</f>
        <v>1.35</v>
      </c>
    </row>
    <row r="46" spans="1:107" x14ac:dyDescent="0.2">
      <c r="A46">
        <f>ROW(Source!A34)</f>
        <v>34</v>
      </c>
      <c r="B46">
        <v>16784195</v>
      </c>
      <c r="C46">
        <v>16784305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504</v>
      </c>
      <c r="J46" t="s">
        <v>505</v>
      </c>
      <c r="K46" t="s">
        <v>506</v>
      </c>
      <c r="L46">
        <v>1368</v>
      </c>
      <c r="N46">
        <v>1011</v>
      </c>
      <c r="O46" t="s">
        <v>501</v>
      </c>
      <c r="P46" t="s">
        <v>501</v>
      </c>
      <c r="Q46">
        <v>1</v>
      </c>
      <c r="W46">
        <v>0</v>
      </c>
      <c r="X46">
        <v>1372534845</v>
      </c>
      <c r="Y46">
        <v>0.625</v>
      </c>
      <c r="AA46">
        <v>0</v>
      </c>
      <c r="AB46">
        <v>65.709999999999994</v>
      </c>
      <c r="AC46">
        <v>11.6</v>
      </c>
      <c r="AD46">
        <v>0</v>
      </c>
      <c r="AE46">
        <v>0</v>
      </c>
      <c r="AF46">
        <v>65.709999999999994</v>
      </c>
      <c r="AG46">
        <v>11.6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0.5</v>
      </c>
      <c r="AU46" t="s">
        <v>27</v>
      </c>
      <c r="AV46">
        <v>0</v>
      </c>
      <c r="AW46">
        <v>2</v>
      </c>
      <c r="AX46">
        <v>16784317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Y46*Source!I34</f>
        <v>7.6874999999999999E-3</v>
      </c>
      <c r="CY46">
        <f>AB46</f>
        <v>65.709999999999994</v>
      </c>
      <c r="CZ46">
        <f>AF46</f>
        <v>65.709999999999994</v>
      </c>
      <c r="DA46">
        <f>AJ46</f>
        <v>1</v>
      </c>
      <c r="DB46">
        <f>ROUND((ROUND(AT46*CZ46,2)*1.25),2)</f>
        <v>41.08</v>
      </c>
      <c r="DC46">
        <f>ROUND((ROUND(AT46*AG46,2)*1.25),2)</f>
        <v>7.25</v>
      </c>
    </row>
    <row r="47" spans="1:107" x14ac:dyDescent="0.2">
      <c r="A47">
        <f>ROW(Source!A34)</f>
        <v>34</v>
      </c>
      <c r="B47">
        <v>16784195</v>
      </c>
      <c r="C47">
        <v>16784305</v>
      </c>
      <c r="D47">
        <v>15171018</v>
      </c>
      <c r="E47">
        <v>1</v>
      </c>
      <c r="F47">
        <v>1</v>
      </c>
      <c r="G47">
        <v>1</v>
      </c>
      <c r="H47">
        <v>3</v>
      </c>
      <c r="I47" t="s">
        <v>531</v>
      </c>
      <c r="J47" t="s">
        <v>532</v>
      </c>
      <c r="K47" t="s">
        <v>533</v>
      </c>
      <c r="L47">
        <v>1346</v>
      </c>
      <c r="N47">
        <v>1009</v>
      </c>
      <c r="O47" t="s">
        <v>60</v>
      </c>
      <c r="P47" t="s">
        <v>60</v>
      </c>
      <c r="Q47">
        <v>1</v>
      </c>
      <c r="W47">
        <v>0</v>
      </c>
      <c r="X47">
        <v>813963326</v>
      </c>
      <c r="Y47">
        <v>0.2</v>
      </c>
      <c r="AA47">
        <v>1.82</v>
      </c>
      <c r="AB47">
        <v>0</v>
      </c>
      <c r="AC47">
        <v>0</v>
      </c>
      <c r="AD47">
        <v>0</v>
      </c>
      <c r="AE47">
        <v>1.82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6</v>
      </c>
      <c r="AT47">
        <v>0.2</v>
      </c>
      <c r="AU47" t="s">
        <v>6</v>
      </c>
      <c r="AV47">
        <v>0</v>
      </c>
      <c r="AW47">
        <v>2</v>
      </c>
      <c r="AX47">
        <v>16784319</v>
      </c>
      <c r="AY47">
        <v>1</v>
      </c>
      <c r="AZ47">
        <v>0</v>
      </c>
      <c r="BA47">
        <v>48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Y47*Source!I34</f>
        <v>2.4600000000000004E-3</v>
      </c>
      <c r="CY47">
        <f>AA47</f>
        <v>1.82</v>
      </c>
      <c r="CZ47">
        <f>AE47</f>
        <v>1.82</v>
      </c>
      <c r="DA47">
        <f>AI47</f>
        <v>1</v>
      </c>
      <c r="DB47">
        <f>ROUND(ROUND(AT47*CZ47,2),2)</f>
        <v>0.36</v>
      </c>
      <c r="DC47">
        <f>ROUND(ROUND(AT47*AG47,2),2)</f>
        <v>0</v>
      </c>
    </row>
    <row r="48" spans="1:107" x14ac:dyDescent="0.2">
      <c r="A48">
        <f>ROW(Source!A34)</f>
        <v>34</v>
      </c>
      <c r="B48">
        <v>16784195</v>
      </c>
      <c r="C48">
        <v>16784305</v>
      </c>
      <c r="D48">
        <v>15197676</v>
      </c>
      <c r="E48">
        <v>1</v>
      </c>
      <c r="F48">
        <v>1</v>
      </c>
      <c r="G48">
        <v>1</v>
      </c>
      <c r="H48">
        <v>3</v>
      </c>
      <c r="I48" t="s">
        <v>54</v>
      </c>
      <c r="J48" t="s">
        <v>56</v>
      </c>
      <c r="K48" t="s">
        <v>55</v>
      </c>
      <c r="L48">
        <v>1327</v>
      </c>
      <c r="N48">
        <v>1005</v>
      </c>
      <c r="O48" t="s">
        <v>35</v>
      </c>
      <c r="P48" t="s">
        <v>35</v>
      </c>
      <c r="Q48">
        <v>1</v>
      </c>
      <c r="W48">
        <v>0</v>
      </c>
      <c r="X48">
        <v>-724546537</v>
      </c>
      <c r="Y48">
        <v>105</v>
      </c>
      <c r="AA48">
        <v>59.16</v>
      </c>
      <c r="AB48">
        <v>0</v>
      </c>
      <c r="AC48">
        <v>0</v>
      </c>
      <c r="AD48">
        <v>0</v>
      </c>
      <c r="AE48">
        <v>59.16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0</v>
      </c>
      <c r="AP48">
        <v>0</v>
      </c>
      <c r="AQ48">
        <v>0</v>
      </c>
      <c r="AR48">
        <v>0</v>
      </c>
      <c r="AS48" t="s">
        <v>6</v>
      </c>
      <c r="AT48">
        <v>105</v>
      </c>
      <c r="AU48" t="s">
        <v>6</v>
      </c>
      <c r="AV48">
        <v>0</v>
      </c>
      <c r="AW48">
        <v>1</v>
      </c>
      <c r="AX48">
        <v>-1</v>
      </c>
      <c r="AY48">
        <v>0</v>
      </c>
      <c r="AZ48">
        <v>0</v>
      </c>
      <c r="BA48" t="s">
        <v>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Y48*Source!I34</f>
        <v>1.2915000000000001</v>
      </c>
      <c r="CY48">
        <f>AA48</f>
        <v>59.16</v>
      </c>
      <c r="CZ48">
        <f>AE48</f>
        <v>59.16</v>
      </c>
      <c r="DA48">
        <f>AI48</f>
        <v>1</v>
      </c>
      <c r="DB48">
        <f>ROUND(ROUND(AT48*CZ48,2),2)</f>
        <v>6211.8</v>
      </c>
      <c r="DC48">
        <f>ROUND(ROUND(AT48*AG48,2),2)</f>
        <v>0</v>
      </c>
    </row>
    <row r="49" spans="1:107" x14ac:dyDescent="0.2">
      <c r="A49">
        <f>ROW(Source!A34)</f>
        <v>34</v>
      </c>
      <c r="B49">
        <v>16784195</v>
      </c>
      <c r="C49">
        <v>16784305</v>
      </c>
      <c r="D49">
        <v>15202463</v>
      </c>
      <c r="E49">
        <v>1</v>
      </c>
      <c r="F49">
        <v>1</v>
      </c>
      <c r="G49">
        <v>1</v>
      </c>
      <c r="H49">
        <v>3</v>
      </c>
      <c r="I49" t="s">
        <v>58</v>
      </c>
      <c r="J49" t="s">
        <v>61</v>
      </c>
      <c r="K49" t="s">
        <v>59</v>
      </c>
      <c r="L49">
        <v>1346</v>
      </c>
      <c r="N49">
        <v>1009</v>
      </c>
      <c r="O49" t="s">
        <v>60</v>
      </c>
      <c r="P49" t="s">
        <v>60</v>
      </c>
      <c r="Q49">
        <v>1</v>
      </c>
      <c r="W49">
        <v>0</v>
      </c>
      <c r="X49">
        <v>-89726692</v>
      </c>
      <c r="Y49">
        <v>30</v>
      </c>
      <c r="AA49">
        <v>25.56</v>
      </c>
      <c r="AB49">
        <v>0</v>
      </c>
      <c r="AC49">
        <v>0</v>
      </c>
      <c r="AD49">
        <v>0</v>
      </c>
      <c r="AE49">
        <v>25.56</v>
      </c>
      <c r="AF49">
        <v>0</v>
      </c>
      <c r="AG49">
        <v>0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0</v>
      </c>
      <c r="AP49">
        <v>0</v>
      </c>
      <c r="AQ49">
        <v>0</v>
      </c>
      <c r="AR49">
        <v>0</v>
      </c>
      <c r="AS49" t="s">
        <v>6</v>
      </c>
      <c r="AT49">
        <v>30</v>
      </c>
      <c r="AU49" t="s">
        <v>6</v>
      </c>
      <c r="AV49">
        <v>0</v>
      </c>
      <c r="AW49">
        <v>1</v>
      </c>
      <c r="AX49">
        <v>-1</v>
      </c>
      <c r="AY49">
        <v>0</v>
      </c>
      <c r="AZ49">
        <v>0</v>
      </c>
      <c r="BA49" t="s">
        <v>6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Y49*Source!I34</f>
        <v>0.36899999999999999</v>
      </c>
      <c r="CY49">
        <f>AA49</f>
        <v>25.56</v>
      </c>
      <c r="CZ49">
        <f>AE49</f>
        <v>25.56</v>
      </c>
      <c r="DA49">
        <f>AI49</f>
        <v>1</v>
      </c>
      <c r="DB49">
        <f>ROUND(ROUND(AT49*CZ49,2),2)</f>
        <v>766.8</v>
      </c>
      <c r="DC49">
        <f>ROUND(ROUND(AT49*AG49,2),2)</f>
        <v>0</v>
      </c>
    </row>
    <row r="50" spans="1:107" x14ac:dyDescent="0.2">
      <c r="A50">
        <f>ROW(Source!A34)</f>
        <v>34</v>
      </c>
      <c r="B50">
        <v>16784195</v>
      </c>
      <c r="C50">
        <v>16784305</v>
      </c>
      <c r="D50">
        <v>15203233</v>
      </c>
      <c r="E50">
        <v>1</v>
      </c>
      <c r="F50">
        <v>1</v>
      </c>
      <c r="G50">
        <v>1</v>
      </c>
      <c r="H50">
        <v>3</v>
      </c>
      <c r="I50" t="s">
        <v>63</v>
      </c>
      <c r="J50" t="s">
        <v>66</v>
      </c>
      <c r="K50" t="s">
        <v>64</v>
      </c>
      <c r="L50">
        <v>1348</v>
      </c>
      <c r="N50">
        <v>1009</v>
      </c>
      <c r="O50" t="s">
        <v>65</v>
      </c>
      <c r="P50" t="s">
        <v>65</v>
      </c>
      <c r="Q50">
        <v>1000</v>
      </c>
      <c r="W50">
        <v>0</v>
      </c>
      <c r="X50">
        <v>-1919714308</v>
      </c>
      <c r="Y50">
        <v>8.8999999999999999E-3</v>
      </c>
      <c r="AA50">
        <v>18390.16</v>
      </c>
      <c r="AB50">
        <v>0</v>
      </c>
      <c r="AC50">
        <v>0</v>
      </c>
      <c r="AD50">
        <v>0</v>
      </c>
      <c r="AE50">
        <v>18390.16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6</v>
      </c>
      <c r="AT50">
        <v>8.8999999999999999E-3</v>
      </c>
      <c r="AU50" t="s">
        <v>6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6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Y50*Source!I34</f>
        <v>1.0947000000000001E-4</v>
      </c>
      <c r="CY50">
        <f>AA50</f>
        <v>18390.16</v>
      </c>
      <c r="CZ50">
        <f>AE50</f>
        <v>18390.16</v>
      </c>
      <c r="DA50">
        <f>AI50</f>
        <v>1</v>
      </c>
      <c r="DB50">
        <f>ROUND(ROUND(AT50*CZ50,2),2)</f>
        <v>163.66999999999999</v>
      </c>
      <c r="DC50">
        <f>ROUND(ROUND(AT50*AG50,2),2)</f>
        <v>0</v>
      </c>
    </row>
    <row r="51" spans="1:107" x14ac:dyDescent="0.2">
      <c r="A51">
        <f>ROW(Source!A35)</f>
        <v>35</v>
      </c>
      <c r="B51">
        <v>16784196</v>
      </c>
      <c r="C51">
        <v>16784305</v>
      </c>
      <c r="D51">
        <v>15438286</v>
      </c>
      <c r="E51">
        <v>1</v>
      </c>
      <c r="F51">
        <v>1</v>
      </c>
      <c r="G51">
        <v>1</v>
      </c>
      <c r="H51">
        <v>1</v>
      </c>
      <c r="I51" t="s">
        <v>529</v>
      </c>
      <c r="J51" t="s">
        <v>6</v>
      </c>
      <c r="K51" t="s">
        <v>530</v>
      </c>
      <c r="L51">
        <v>1191</v>
      </c>
      <c r="N51">
        <v>1013</v>
      </c>
      <c r="O51" t="s">
        <v>495</v>
      </c>
      <c r="P51" t="s">
        <v>495</v>
      </c>
      <c r="Q51">
        <v>1</v>
      </c>
      <c r="W51">
        <v>0</v>
      </c>
      <c r="X51">
        <v>-1027537862</v>
      </c>
      <c r="Y51">
        <v>191.44049999999999</v>
      </c>
      <c r="AA51">
        <v>0</v>
      </c>
      <c r="AB51">
        <v>0</v>
      </c>
      <c r="AC51">
        <v>0</v>
      </c>
      <c r="AD51">
        <v>56.09</v>
      </c>
      <c r="AE51">
        <v>0</v>
      </c>
      <c r="AF51">
        <v>0</v>
      </c>
      <c r="AG51">
        <v>0</v>
      </c>
      <c r="AH51">
        <v>9.18</v>
      </c>
      <c r="AI51">
        <v>1</v>
      </c>
      <c r="AJ51">
        <v>1</v>
      </c>
      <c r="AK51">
        <v>1</v>
      </c>
      <c r="AL51">
        <v>6.11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166.47</v>
      </c>
      <c r="AU51" t="s">
        <v>28</v>
      </c>
      <c r="AV51">
        <v>1</v>
      </c>
      <c r="AW51">
        <v>2</v>
      </c>
      <c r="AX51">
        <v>16784314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Y51*Source!I35</f>
        <v>2.3547181500000001</v>
      </c>
      <c r="CY51">
        <f>AD51</f>
        <v>56.09</v>
      </c>
      <c r="CZ51">
        <f>AH51</f>
        <v>9.18</v>
      </c>
      <c r="DA51">
        <f>AL51</f>
        <v>6.11</v>
      </c>
      <c r="DB51">
        <f>ROUND((ROUND(AT51*CZ51,2)*1.15),2)</f>
        <v>1757.42</v>
      </c>
      <c r="DC51">
        <f>ROUND((ROUND(AT51*AG51,2)*1.15),2)</f>
        <v>0</v>
      </c>
    </row>
    <row r="52" spans="1:107" x14ac:dyDescent="0.2">
      <c r="A52">
        <f>ROW(Source!A35)</f>
        <v>35</v>
      </c>
      <c r="B52">
        <v>16784196</v>
      </c>
      <c r="C52">
        <v>16784305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496</v>
      </c>
      <c r="J52" t="s">
        <v>6</v>
      </c>
      <c r="K52" t="s">
        <v>497</v>
      </c>
      <c r="L52">
        <v>1191</v>
      </c>
      <c r="N52">
        <v>1013</v>
      </c>
      <c r="O52" t="s">
        <v>495</v>
      </c>
      <c r="P52" t="s">
        <v>495</v>
      </c>
      <c r="Q52">
        <v>1</v>
      </c>
      <c r="W52">
        <v>0</v>
      </c>
      <c r="X52">
        <v>-1417349443</v>
      </c>
      <c r="Y52">
        <v>0.57999999999999996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6.11</v>
      </c>
      <c r="AL52">
        <v>1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6</v>
      </c>
      <c r="AT52">
        <v>0.57999999999999996</v>
      </c>
      <c r="AU52" t="s">
        <v>6</v>
      </c>
      <c r="AV52">
        <v>2</v>
      </c>
      <c r="AW52">
        <v>2</v>
      </c>
      <c r="AX52">
        <v>16784315</v>
      </c>
      <c r="AY52">
        <v>1</v>
      </c>
      <c r="AZ52">
        <v>2048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Y52*Source!I35</f>
        <v>7.1339999999999997E-3</v>
      </c>
      <c r="CY52">
        <f>AD52</f>
        <v>0</v>
      </c>
      <c r="CZ52">
        <f>AH52</f>
        <v>0</v>
      </c>
      <c r="DA52">
        <f>AL52</f>
        <v>1</v>
      </c>
      <c r="DB52">
        <f>ROUND(ROUND(AT52*CZ52,2),2)</f>
        <v>0</v>
      </c>
      <c r="DC52">
        <f>ROUND(ROUND(AT52*AG52,2),2)</f>
        <v>0</v>
      </c>
    </row>
    <row r="53" spans="1:107" x14ac:dyDescent="0.2">
      <c r="A53">
        <f>ROW(Source!A35)</f>
        <v>35</v>
      </c>
      <c r="B53">
        <v>16784196</v>
      </c>
      <c r="C53">
        <v>16784305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498</v>
      </c>
      <c r="J53" t="s">
        <v>499</v>
      </c>
      <c r="K53" t="s">
        <v>500</v>
      </c>
      <c r="L53">
        <v>1368</v>
      </c>
      <c r="N53">
        <v>1011</v>
      </c>
      <c r="O53" t="s">
        <v>501</v>
      </c>
      <c r="P53" t="s">
        <v>501</v>
      </c>
      <c r="Q53">
        <v>1</v>
      </c>
      <c r="W53">
        <v>0</v>
      </c>
      <c r="X53">
        <v>1188625873</v>
      </c>
      <c r="Y53">
        <v>0.1</v>
      </c>
      <c r="AA53">
        <v>0</v>
      </c>
      <c r="AB53">
        <v>191</v>
      </c>
      <c r="AC53">
        <v>13.5</v>
      </c>
      <c r="AD53">
        <v>0</v>
      </c>
      <c r="AE53">
        <v>0</v>
      </c>
      <c r="AF53">
        <v>31.26</v>
      </c>
      <c r="AG53">
        <v>13.5</v>
      </c>
      <c r="AH53">
        <v>0</v>
      </c>
      <c r="AI53">
        <v>1</v>
      </c>
      <c r="AJ53">
        <v>6.11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0.08</v>
      </c>
      <c r="AU53" t="s">
        <v>27</v>
      </c>
      <c r="AV53">
        <v>0</v>
      </c>
      <c r="AW53">
        <v>2</v>
      </c>
      <c r="AX53">
        <v>16784316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Y53*Source!I35</f>
        <v>1.2300000000000002E-3</v>
      </c>
      <c r="CY53">
        <f>AB53</f>
        <v>191</v>
      </c>
      <c r="CZ53">
        <f>AF53</f>
        <v>31.26</v>
      </c>
      <c r="DA53">
        <f>AJ53</f>
        <v>6.11</v>
      </c>
      <c r="DB53">
        <f>ROUND((ROUND(AT53*CZ53,2)*1.25),2)</f>
        <v>3.13</v>
      </c>
      <c r="DC53">
        <f>ROUND((ROUND(AT53*AG53,2)*1.25),2)</f>
        <v>1.35</v>
      </c>
    </row>
    <row r="54" spans="1:107" x14ac:dyDescent="0.2">
      <c r="A54">
        <f>ROW(Source!A35)</f>
        <v>35</v>
      </c>
      <c r="B54">
        <v>16784196</v>
      </c>
      <c r="C54">
        <v>16784305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504</v>
      </c>
      <c r="J54" t="s">
        <v>505</v>
      </c>
      <c r="K54" t="s">
        <v>506</v>
      </c>
      <c r="L54">
        <v>1368</v>
      </c>
      <c r="N54">
        <v>1011</v>
      </c>
      <c r="O54" t="s">
        <v>501</v>
      </c>
      <c r="P54" t="s">
        <v>501</v>
      </c>
      <c r="Q54">
        <v>1</v>
      </c>
      <c r="W54">
        <v>0</v>
      </c>
      <c r="X54">
        <v>1372534845</v>
      </c>
      <c r="Y54">
        <v>0.625</v>
      </c>
      <c r="AA54">
        <v>0</v>
      </c>
      <c r="AB54">
        <v>401.49</v>
      </c>
      <c r="AC54">
        <v>11.6</v>
      </c>
      <c r="AD54">
        <v>0</v>
      </c>
      <c r="AE54">
        <v>0</v>
      </c>
      <c r="AF54">
        <v>65.709999999999994</v>
      </c>
      <c r="AG54">
        <v>11.6</v>
      </c>
      <c r="AH54">
        <v>0</v>
      </c>
      <c r="AI54">
        <v>1</v>
      </c>
      <c r="AJ54">
        <v>6.11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0.5</v>
      </c>
      <c r="AU54" t="s">
        <v>27</v>
      </c>
      <c r="AV54">
        <v>0</v>
      </c>
      <c r="AW54">
        <v>2</v>
      </c>
      <c r="AX54">
        <v>16784317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Y54*Source!I35</f>
        <v>7.6874999999999999E-3</v>
      </c>
      <c r="CY54">
        <f>AB54</f>
        <v>401.49</v>
      </c>
      <c r="CZ54">
        <f>AF54</f>
        <v>65.709999999999994</v>
      </c>
      <c r="DA54">
        <f>AJ54</f>
        <v>6.11</v>
      </c>
      <c r="DB54">
        <f>ROUND((ROUND(AT54*CZ54,2)*1.25),2)</f>
        <v>41.08</v>
      </c>
      <c r="DC54">
        <f>ROUND((ROUND(AT54*AG54,2)*1.25),2)</f>
        <v>7.25</v>
      </c>
    </row>
    <row r="55" spans="1:107" x14ac:dyDescent="0.2">
      <c r="A55">
        <f>ROW(Source!A35)</f>
        <v>35</v>
      </c>
      <c r="B55">
        <v>16784196</v>
      </c>
      <c r="C55">
        <v>16784305</v>
      </c>
      <c r="D55">
        <v>15171018</v>
      </c>
      <c r="E55">
        <v>1</v>
      </c>
      <c r="F55">
        <v>1</v>
      </c>
      <c r="G55">
        <v>1</v>
      </c>
      <c r="H55">
        <v>3</v>
      </c>
      <c r="I55" t="s">
        <v>531</v>
      </c>
      <c r="J55" t="s">
        <v>532</v>
      </c>
      <c r="K55" t="s">
        <v>533</v>
      </c>
      <c r="L55">
        <v>1346</v>
      </c>
      <c r="N55">
        <v>1009</v>
      </c>
      <c r="O55" t="s">
        <v>60</v>
      </c>
      <c r="P55" t="s">
        <v>60</v>
      </c>
      <c r="Q55">
        <v>1</v>
      </c>
      <c r="W55">
        <v>0</v>
      </c>
      <c r="X55">
        <v>813963326</v>
      </c>
      <c r="Y55">
        <v>0.2</v>
      </c>
      <c r="AA55">
        <v>11.12</v>
      </c>
      <c r="AB55">
        <v>0</v>
      </c>
      <c r="AC55">
        <v>0</v>
      </c>
      <c r="AD55">
        <v>0</v>
      </c>
      <c r="AE55">
        <v>1.82</v>
      </c>
      <c r="AF55">
        <v>0</v>
      </c>
      <c r="AG55">
        <v>0</v>
      </c>
      <c r="AH55">
        <v>0</v>
      </c>
      <c r="AI55">
        <v>6.11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0.2</v>
      </c>
      <c r="AU55" t="s">
        <v>6</v>
      </c>
      <c r="AV55">
        <v>0</v>
      </c>
      <c r="AW55">
        <v>2</v>
      </c>
      <c r="AX55">
        <v>16784319</v>
      </c>
      <c r="AY55">
        <v>1</v>
      </c>
      <c r="AZ55">
        <v>0</v>
      </c>
      <c r="BA55">
        <v>56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Y55*Source!I35</f>
        <v>2.4600000000000004E-3</v>
      </c>
      <c r="CY55">
        <f>AA55</f>
        <v>11.12</v>
      </c>
      <c r="CZ55">
        <f>AE55</f>
        <v>1.82</v>
      </c>
      <c r="DA55">
        <f>AI55</f>
        <v>6.11</v>
      </c>
      <c r="DB55">
        <f>ROUND(ROUND(AT55*CZ55,2),2)</f>
        <v>0.36</v>
      </c>
      <c r="DC55">
        <f>ROUND(ROUND(AT55*AG55,2),2)</f>
        <v>0</v>
      </c>
    </row>
    <row r="56" spans="1:107" x14ac:dyDescent="0.2">
      <c r="A56">
        <f>ROW(Source!A35)</f>
        <v>35</v>
      </c>
      <c r="B56">
        <v>16784196</v>
      </c>
      <c r="C56">
        <v>16784305</v>
      </c>
      <c r="D56">
        <v>15197676</v>
      </c>
      <c r="E56">
        <v>1</v>
      </c>
      <c r="F56">
        <v>1</v>
      </c>
      <c r="G56">
        <v>1</v>
      </c>
      <c r="H56">
        <v>3</v>
      </c>
      <c r="I56" t="s">
        <v>54</v>
      </c>
      <c r="J56" t="s">
        <v>56</v>
      </c>
      <c r="K56" t="s">
        <v>55</v>
      </c>
      <c r="L56">
        <v>1327</v>
      </c>
      <c r="N56">
        <v>1005</v>
      </c>
      <c r="O56" t="s">
        <v>35</v>
      </c>
      <c r="P56" t="s">
        <v>35</v>
      </c>
      <c r="Q56">
        <v>1</v>
      </c>
      <c r="W56">
        <v>0</v>
      </c>
      <c r="X56">
        <v>-724546537</v>
      </c>
      <c r="Y56">
        <v>105</v>
      </c>
      <c r="AA56">
        <v>361.47</v>
      </c>
      <c r="AB56">
        <v>0</v>
      </c>
      <c r="AC56">
        <v>0</v>
      </c>
      <c r="AD56">
        <v>0</v>
      </c>
      <c r="AE56">
        <v>59.16</v>
      </c>
      <c r="AF56">
        <v>0</v>
      </c>
      <c r="AG56">
        <v>0</v>
      </c>
      <c r="AH56">
        <v>0</v>
      </c>
      <c r="AI56">
        <v>6.11</v>
      </c>
      <c r="AJ56">
        <v>1</v>
      </c>
      <c r="AK56">
        <v>1</v>
      </c>
      <c r="AL56">
        <v>1</v>
      </c>
      <c r="AN56">
        <v>0</v>
      </c>
      <c r="AO56">
        <v>0</v>
      </c>
      <c r="AP56">
        <v>0</v>
      </c>
      <c r="AQ56">
        <v>0</v>
      </c>
      <c r="AR56">
        <v>0</v>
      </c>
      <c r="AS56" t="s">
        <v>6</v>
      </c>
      <c r="AT56">
        <v>105</v>
      </c>
      <c r="AU56" t="s">
        <v>6</v>
      </c>
      <c r="AV56">
        <v>0</v>
      </c>
      <c r="AW56">
        <v>1</v>
      </c>
      <c r="AX56">
        <v>-1</v>
      </c>
      <c r="AY56">
        <v>0</v>
      </c>
      <c r="AZ56">
        <v>0</v>
      </c>
      <c r="BA56" t="s">
        <v>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Y56*Source!I35</f>
        <v>1.2915000000000001</v>
      </c>
      <c r="CY56">
        <f>AA56</f>
        <v>361.47</v>
      </c>
      <c r="CZ56">
        <f>AE56</f>
        <v>59.16</v>
      </c>
      <c r="DA56">
        <f>AI56</f>
        <v>6.11</v>
      </c>
      <c r="DB56">
        <f>ROUND(ROUND(AT56*CZ56,2),2)</f>
        <v>6211.8</v>
      </c>
      <c r="DC56">
        <f>ROUND(ROUND(AT56*AG56,2),2)</f>
        <v>0</v>
      </c>
    </row>
    <row r="57" spans="1:107" x14ac:dyDescent="0.2">
      <c r="A57">
        <f>ROW(Source!A35)</f>
        <v>35</v>
      </c>
      <c r="B57">
        <v>16784196</v>
      </c>
      <c r="C57">
        <v>16784305</v>
      </c>
      <c r="D57">
        <v>15202463</v>
      </c>
      <c r="E57">
        <v>1</v>
      </c>
      <c r="F57">
        <v>1</v>
      </c>
      <c r="G57">
        <v>1</v>
      </c>
      <c r="H57">
        <v>3</v>
      </c>
      <c r="I57" t="s">
        <v>58</v>
      </c>
      <c r="J57" t="s">
        <v>61</v>
      </c>
      <c r="K57" t="s">
        <v>59</v>
      </c>
      <c r="L57">
        <v>1346</v>
      </c>
      <c r="N57">
        <v>1009</v>
      </c>
      <c r="O57" t="s">
        <v>60</v>
      </c>
      <c r="P57" t="s">
        <v>60</v>
      </c>
      <c r="Q57">
        <v>1</v>
      </c>
      <c r="W57">
        <v>0</v>
      </c>
      <c r="X57">
        <v>-89726692</v>
      </c>
      <c r="Y57">
        <v>30</v>
      </c>
      <c r="AA57">
        <v>156.16999999999999</v>
      </c>
      <c r="AB57">
        <v>0</v>
      </c>
      <c r="AC57">
        <v>0</v>
      </c>
      <c r="AD57">
        <v>0</v>
      </c>
      <c r="AE57">
        <v>25.56</v>
      </c>
      <c r="AF57">
        <v>0</v>
      </c>
      <c r="AG57">
        <v>0</v>
      </c>
      <c r="AH57">
        <v>0</v>
      </c>
      <c r="AI57">
        <v>6.11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6</v>
      </c>
      <c r="AT57">
        <v>30</v>
      </c>
      <c r="AU57" t="s">
        <v>6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6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Y57*Source!I35</f>
        <v>0.36899999999999999</v>
      </c>
      <c r="CY57">
        <f>AA57</f>
        <v>156.16999999999999</v>
      </c>
      <c r="CZ57">
        <f>AE57</f>
        <v>25.56</v>
      </c>
      <c r="DA57">
        <f>AI57</f>
        <v>6.11</v>
      </c>
      <c r="DB57">
        <f>ROUND(ROUND(AT57*CZ57,2),2)</f>
        <v>766.8</v>
      </c>
      <c r="DC57">
        <f>ROUND(ROUND(AT57*AG57,2),2)</f>
        <v>0</v>
      </c>
    </row>
    <row r="58" spans="1:107" x14ac:dyDescent="0.2">
      <c r="A58">
        <f>ROW(Source!A35)</f>
        <v>35</v>
      </c>
      <c r="B58">
        <v>16784196</v>
      </c>
      <c r="C58">
        <v>16784305</v>
      </c>
      <c r="D58">
        <v>15203233</v>
      </c>
      <c r="E58">
        <v>1</v>
      </c>
      <c r="F58">
        <v>1</v>
      </c>
      <c r="G58">
        <v>1</v>
      </c>
      <c r="H58">
        <v>3</v>
      </c>
      <c r="I58" t="s">
        <v>63</v>
      </c>
      <c r="J58" t="s">
        <v>66</v>
      </c>
      <c r="K58" t="s">
        <v>64</v>
      </c>
      <c r="L58">
        <v>1348</v>
      </c>
      <c r="N58">
        <v>1009</v>
      </c>
      <c r="O58" t="s">
        <v>65</v>
      </c>
      <c r="P58" t="s">
        <v>65</v>
      </c>
      <c r="Q58">
        <v>1000</v>
      </c>
      <c r="W58">
        <v>0</v>
      </c>
      <c r="X58">
        <v>-1919714308</v>
      </c>
      <c r="Y58">
        <v>8.8999999999999999E-3</v>
      </c>
      <c r="AA58">
        <v>112363.88</v>
      </c>
      <c r="AB58">
        <v>0</v>
      </c>
      <c r="AC58">
        <v>0</v>
      </c>
      <c r="AD58">
        <v>0</v>
      </c>
      <c r="AE58">
        <v>18390.16</v>
      </c>
      <c r="AF58">
        <v>0</v>
      </c>
      <c r="AG58">
        <v>0</v>
      </c>
      <c r="AH58">
        <v>0</v>
      </c>
      <c r="AI58">
        <v>6.11</v>
      </c>
      <c r="AJ58">
        <v>1</v>
      </c>
      <c r="AK58">
        <v>1</v>
      </c>
      <c r="AL58">
        <v>1</v>
      </c>
      <c r="AN58">
        <v>0</v>
      </c>
      <c r="AO58">
        <v>0</v>
      </c>
      <c r="AP58">
        <v>0</v>
      </c>
      <c r="AQ58">
        <v>0</v>
      </c>
      <c r="AR58">
        <v>0</v>
      </c>
      <c r="AS58" t="s">
        <v>6</v>
      </c>
      <c r="AT58">
        <v>8.8999999999999999E-3</v>
      </c>
      <c r="AU58" t="s">
        <v>6</v>
      </c>
      <c r="AV58">
        <v>0</v>
      </c>
      <c r="AW58">
        <v>1</v>
      </c>
      <c r="AX58">
        <v>-1</v>
      </c>
      <c r="AY58">
        <v>0</v>
      </c>
      <c r="AZ58">
        <v>0</v>
      </c>
      <c r="BA58" t="s">
        <v>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Y58*Source!I35</f>
        <v>1.0947000000000001E-4</v>
      </c>
      <c r="CY58">
        <f>AA58</f>
        <v>112363.88</v>
      </c>
      <c r="CZ58">
        <f>AE58</f>
        <v>18390.16</v>
      </c>
      <c r="DA58">
        <f>AI58</f>
        <v>6.11</v>
      </c>
      <c r="DB58">
        <f>ROUND(ROUND(AT58*CZ58,2),2)</f>
        <v>163.66999999999999</v>
      </c>
      <c r="DC58">
        <f>ROUND(ROUND(AT58*AG58,2),2)</f>
        <v>0</v>
      </c>
    </row>
    <row r="59" spans="1:107" x14ac:dyDescent="0.2">
      <c r="A59">
        <f>ROW(Source!A42)</f>
        <v>42</v>
      </c>
      <c r="B59">
        <v>16784195</v>
      </c>
      <c r="C59">
        <v>16784325</v>
      </c>
      <c r="D59">
        <v>15430767</v>
      </c>
      <c r="E59">
        <v>1</v>
      </c>
      <c r="F59">
        <v>1</v>
      </c>
      <c r="G59">
        <v>1</v>
      </c>
      <c r="H59">
        <v>1</v>
      </c>
      <c r="I59" t="s">
        <v>527</v>
      </c>
      <c r="J59" t="s">
        <v>6</v>
      </c>
      <c r="K59" t="s">
        <v>528</v>
      </c>
      <c r="L59">
        <v>1191</v>
      </c>
      <c r="N59">
        <v>1013</v>
      </c>
      <c r="O59" t="s">
        <v>495</v>
      </c>
      <c r="P59" t="s">
        <v>495</v>
      </c>
      <c r="Q59">
        <v>1</v>
      </c>
      <c r="W59">
        <v>0</v>
      </c>
      <c r="X59">
        <v>-400197608</v>
      </c>
      <c r="Y59">
        <v>7.7049999999999992</v>
      </c>
      <c r="AA59">
        <v>0</v>
      </c>
      <c r="AB59">
        <v>0</v>
      </c>
      <c r="AC59">
        <v>0</v>
      </c>
      <c r="AD59">
        <v>8.5299999999999994</v>
      </c>
      <c r="AE59">
        <v>0</v>
      </c>
      <c r="AF59">
        <v>0</v>
      </c>
      <c r="AG59">
        <v>0</v>
      </c>
      <c r="AH59">
        <v>8.5299999999999994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6.7</v>
      </c>
      <c r="AU59" t="s">
        <v>28</v>
      </c>
      <c r="AV59">
        <v>1</v>
      </c>
      <c r="AW59">
        <v>2</v>
      </c>
      <c r="AX59">
        <v>16784329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Y59*Source!I42</f>
        <v>0.47385749999999993</v>
      </c>
      <c r="CY59">
        <f>AD59</f>
        <v>8.5299999999999994</v>
      </c>
      <c r="CZ59">
        <f>AH59</f>
        <v>8.5299999999999994</v>
      </c>
      <c r="DA59">
        <f>AL59</f>
        <v>1</v>
      </c>
      <c r="DB59">
        <f>ROUND((ROUND(AT59*CZ59,2)*1.15),2)</f>
        <v>65.72</v>
      </c>
      <c r="DC59">
        <f>ROUND((ROUND(AT59*AG59,2)*1.15),2)</f>
        <v>0</v>
      </c>
    </row>
    <row r="60" spans="1:107" x14ac:dyDescent="0.2">
      <c r="A60">
        <f>ROW(Source!A42)</f>
        <v>42</v>
      </c>
      <c r="B60">
        <v>16784195</v>
      </c>
      <c r="C60">
        <v>16784325</v>
      </c>
      <c r="D60">
        <v>15197758</v>
      </c>
      <c r="E60">
        <v>1</v>
      </c>
      <c r="F60">
        <v>1</v>
      </c>
      <c r="G60">
        <v>1</v>
      </c>
      <c r="H60">
        <v>3</v>
      </c>
      <c r="I60" t="s">
        <v>72</v>
      </c>
      <c r="J60" t="s">
        <v>75</v>
      </c>
      <c r="K60" t="s">
        <v>73</v>
      </c>
      <c r="L60">
        <v>1302</v>
      </c>
      <c r="N60">
        <v>1003</v>
      </c>
      <c r="O60" t="s">
        <v>74</v>
      </c>
      <c r="P60" t="s">
        <v>74</v>
      </c>
      <c r="Q60">
        <v>10</v>
      </c>
      <c r="W60">
        <v>0</v>
      </c>
      <c r="X60">
        <v>-125809932</v>
      </c>
      <c r="Y60">
        <v>10</v>
      </c>
      <c r="AA60">
        <v>32.4</v>
      </c>
      <c r="AB60">
        <v>0</v>
      </c>
      <c r="AC60">
        <v>0</v>
      </c>
      <c r="AD60">
        <v>0</v>
      </c>
      <c r="AE60">
        <v>32.4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6</v>
      </c>
      <c r="AT60">
        <v>10</v>
      </c>
      <c r="AU60" t="s">
        <v>6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6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Y60*Source!I42</f>
        <v>0.61499999999999999</v>
      </c>
      <c r="CY60">
        <f>AA60</f>
        <v>32.4</v>
      </c>
      <c r="CZ60">
        <f>AE60</f>
        <v>32.4</v>
      </c>
      <c r="DA60">
        <f>AI60</f>
        <v>1</v>
      </c>
      <c r="DB60">
        <f>ROUND(ROUND(AT60*CZ60,2),2)</f>
        <v>324</v>
      </c>
      <c r="DC60">
        <f>ROUND(ROUND(AT60*AG60,2),2)</f>
        <v>0</v>
      </c>
    </row>
    <row r="61" spans="1:107" x14ac:dyDescent="0.2">
      <c r="A61">
        <f>ROW(Source!A42)</f>
        <v>42</v>
      </c>
      <c r="B61">
        <v>16784195</v>
      </c>
      <c r="C61">
        <v>16784325</v>
      </c>
      <c r="D61">
        <v>15202504</v>
      </c>
      <c r="E61">
        <v>1</v>
      </c>
      <c r="F61">
        <v>1</v>
      </c>
      <c r="G61">
        <v>1</v>
      </c>
      <c r="H61">
        <v>3</v>
      </c>
      <c r="I61" t="s">
        <v>534</v>
      </c>
      <c r="J61" t="s">
        <v>535</v>
      </c>
      <c r="K61" t="s">
        <v>536</v>
      </c>
      <c r="L61">
        <v>1346</v>
      </c>
      <c r="N61">
        <v>1009</v>
      </c>
      <c r="O61" t="s">
        <v>60</v>
      </c>
      <c r="P61" t="s">
        <v>60</v>
      </c>
      <c r="Q61">
        <v>1</v>
      </c>
      <c r="W61">
        <v>0</v>
      </c>
      <c r="X61">
        <v>-1230081286</v>
      </c>
      <c r="Y61">
        <v>0.8</v>
      </c>
      <c r="AA61">
        <v>45</v>
      </c>
      <c r="AB61">
        <v>0</v>
      </c>
      <c r="AC61">
        <v>0</v>
      </c>
      <c r="AD61">
        <v>0</v>
      </c>
      <c r="AE61">
        <v>45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0.8</v>
      </c>
      <c r="AU61" t="s">
        <v>6</v>
      </c>
      <c r="AV61">
        <v>0</v>
      </c>
      <c r="AW61">
        <v>2</v>
      </c>
      <c r="AX61">
        <v>16784331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Y61*Source!I42</f>
        <v>4.9200000000000001E-2</v>
      </c>
      <c r="CY61">
        <f>AA61</f>
        <v>45</v>
      </c>
      <c r="CZ61">
        <f>AE61</f>
        <v>45</v>
      </c>
      <c r="DA61">
        <f>AI61</f>
        <v>1</v>
      </c>
      <c r="DB61">
        <f>ROUND(ROUND(AT61*CZ61,2),2)</f>
        <v>36</v>
      </c>
      <c r="DC61">
        <f>ROUND(ROUND(AT61*AG61,2),2)</f>
        <v>0</v>
      </c>
    </row>
    <row r="62" spans="1:107" x14ac:dyDescent="0.2">
      <c r="A62">
        <f>ROW(Source!A43)</f>
        <v>43</v>
      </c>
      <c r="B62">
        <v>16784196</v>
      </c>
      <c r="C62">
        <v>16784325</v>
      </c>
      <c r="D62">
        <v>15430767</v>
      </c>
      <c r="E62">
        <v>1</v>
      </c>
      <c r="F62">
        <v>1</v>
      </c>
      <c r="G62">
        <v>1</v>
      </c>
      <c r="H62">
        <v>1</v>
      </c>
      <c r="I62" t="s">
        <v>527</v>
      </c>
      <c r="J62" t="s">
        <v>6</v>
      </c>
      <c r="K62" t="s">
        <v>528</v>
      </c>
      <c r="L62">
        <v>1191</v>
      </c>
      <c r="N62">
        <v>1013</v>
      </c>
      <c r="O62" t="s">
        <v>495</v>
      </c>
      <c r="P62" t="s">
        <v>495</v>
      </c>
      <c r="Q62">
        <v>1</v>
      </c>
      <c r="W62">
        <v>0</v>
      </c>
      <c r="X62">
        <v>-400197608</v>
      </c>
      <c r="Y62">
        <v>7.7049999999999992</v>
      </c>
      <c r="AA62">
        <v>0</v>
      </c>
      <c r="AB62">
        <v>0</v>
      </c>
      <c r="AC62">
        <v>0</v>
      </c>
      <c r="AD62">
        <v>52.12</v>
      </c>
      <c r="AE62">
        <v>0</v>
      </c>
      <c r="AF62">
        <v>0</v>
      </c>
      <c r="AG62">
        <v>0</v>
      </c>
      <c r="AH62">
        <v>8.5299999999999994</v>
      </c>
      <c r="AI62">
        <v>1</v>
      </c>
      <c r="AJ62">
        <v>1</v>
      </c>
      <c r="AK62">
        <v>1</v>
      </c>
      <c r="AL62">
        <v>6.11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6.7</v>
      </c>
      <c r="AU62" t="s">
        <v>28</v>
      </c>
      <c r="AV62">
        <v>1</v>
      </c>
      <c r="AW62">
        <v>2</v>
      </c>
      <c r="AX62">
        <v>16784329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Y62*Source!I43</f>
        <v>0.47385749999999993</v>
      </c>
      <c r="CY62">
        <f>AD62</f>
        <v>52.12</v>
      </c>
      <c r="CZ62">
        <f>AH62</f>
        <v>8.5299999999999994</v>
      </c>
      <c r="DA62">
        <f>AL62</f>
        <v>6.11</v>
      </c>
      <c r="DB62">
        <f>ROUND((ROUND(AT62*CZ62,2)*1.15),2)</f>
        <v>65.72</v>
      </c>
      <c r="DC62">
        <f>ROUND((ROUND(AT62*AG62,2)*1.15),2)</f>
        <v>0</v>
      </c>
    </row>
    <row r="63" spans="1:107" x14ac:dyDescent="0.2">
      <c r="A63">
        <f>ROW(Source!A43)</f>
        <v>43</v>
      </c>
      <c r="B63">
        <v>16784196</v>
      </c>
      <c r="C63">
        <v>16784325</v>
      </c>
      <c r="D63">
        <v>15197758</v>
      </c>
      <c r="E63">
        <v>1</v>
      </c>
      <c r="F63">
        <v>1</v>
      </c>
      <c r="G63">
        <v>1</v>
      </c>
      <c r="H63">
        <v>3</v>
      </c>
      <c r="I63" t="s">
        <v>72</v>
      </c>
      <c r="J63" t="s">
        <v>75</v>
      </c>
      <c r="K63" t="s">
        <v>73</v>
      </c>
      <c r="L63">
        <v>1302</v>
      </c>
      <c r="N63">
        <v>1003</v>
      </c>
      <c r="O63" t="s">
        <v>74</v>
      </c>
      <c r="P63" t="s">
        <v>74</v>
      </c>
      <c r="Q63">
        <v>10</v>
      </c>
      <c r="W63">
        <v>0</v>
      </c>
      <c r="X63">
        <v>-125809932</v>
      </c>
      <c r="Y63">
        <v>10</v>
      </c>
      <c r="AA63">
        <v>197.96</v>
      </c>
      <c r="AB63">
        <v>0</v>
      </c>
      <c r="AC63">
        <v>0</v>
      </c>
      <c r="AD63">
        <v>0</v>
      </c>
      <c r="AE63">
        <v>32.4</v>
      </c>
      <c r="AF63">
        <v>0</v>
      </c>
      <c r="AG63">
        <v>0</v>
      </c>
      <c r="AH63">
        <v>0</v>
      </c>
      <c r="AI63">
        <v>6.11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6</v>
      </c>
      <c r="AT63">
        <v>10</v>
      </c>
      <c r="AU63" t="s">
        <v>6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6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Y63*Source!I43</f>
        <v>0.61499999999999999</v>
      </c>
      <c r="CY63">
        <f>AA63</f>
        <v>197.96</v>
      </c>
      <c r="CZ63">
        <f>AE63</f>
        <v>32.4</v>
      </c>
      <c r="DA63">
        <f>AI63</f>
        <v>6.11</v>
      </c>
      <c r="DB63">
        <f>ROUND(ROUND(AT63*CZ63,2),2)</f>
        <v>324</v>
      </c>
      <c r="DC63">
        <f>ROUND(ROUND(AT63*AG63,2),2)</f>
        <v>0</v>
      </c>
    </row>
    <row r="64" spans="1:107" x14ac:dyDescent="0.2">
      <c r="A64">
        <f>ROW(Source!A43)</f>
        <v>43</v>
      </c>
      <c r="B64">
        <v>16784196</v>
      </c>
      <c r="C64">
        <v>16784325</v>
      </c>
      <c r="D64">
        <v>15202504</v>
      </c>
      <c r="E64">
        <v>1</v>
      </c>
      <c r="F64">
        <v>1</v>
      </c>
      <c r="G64">
        <v>1</v>
      </c>
      <c r="H64">
        <v>3</v>
      </c>
      <c r="I64" t="s">
        <v>534</v>
      </c>
      <c r="J64" t="s">
        <v>535</v>
      </c>
      <c r="K64" t="s">
        <v>536</v>
      </c>
      <c r="L64">
        <v>1346</v>
      </c>
      <c r="N64">
        <v>1009</v>
      </c>
      <c r="O64" t="s">
        <v>60</v>
      </c>
      <c r="P64" t="s">
        <v>60</v>
      </c>
      <c r="Q64">
        <v>1</v>
      </c>
      <c r="W64">
        <v>0</v>
      </c>
      <c r="X64">
        <v>-1230081286</v>
      </c>
      <c r="Y64">
        <v>0.8</v>
      </c>
      <c r="AA64">
        <v>274.95</v>
      </c>
      <c r="AB64">
        <v>0</v>
      </c>
      <c r="AC64">
        <v>0</v>
      </c>
      <c r="AD64">
        <v>0</v>
      </c>
      <c r="AE64">
        <v>45</v>
      </c>
      <c r="AF64">
        <v>0</v>
      </c>
      <c r="AG64">
        <v>0</v>
      </c>
      <c r="AH64">
        <v>0</v>
      </c>
      <c r="AI64">
        <v>6.11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0.8</v>
      </c>
      <c r="AU64" t="s">
        <v>6</v>
      </c>
      <c r="AV64">
        <v>0</v>
      </c>
      <c r="AW64">
        <v>2</v>
      </c>
      <c r="AX64">
        <v>16784331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Y64*Source!I43</f>
        <v>4.9200000000000001E-2</v>
      </c>
      <c r="CY64">
        <f>AA64</f>
        <v>274.95</v>
      </c>
      <c r="CZ64">
        <f>AE64</f>
        <v>45</v>
      </c>
      <c r="DA64">
        <f>AI64</f>
        <v>6.11</v>
      </c>
      <c r="DB64">
        <f>ROUND(ROUND(AT64*CZ64,2),2)</f>
        <v>36</v>
      </c>
      <c r="DC64">
        <f>ROUND(ROUND(AT64*AG64,2),2)</f>
        <v>0</v>
      </c>
    </row>
    <row r="65" spans="1:107" x14ac:dyDescent="0.2">
      <c r="A65">
        <f>ROW(Source!A46)</f>
        <v>46</v>
      </c>
      <c r="B65">
        <v>16784195</v>
      </c>
      <c r="C65">
        <v>16784333</v>
      </c>
      <c r="D65">
        <v>15430767</v>
      </c>
      <c r="E65">
        <v>1</v>
      </c>
      <c r="F65">
        <v>1</v>
      </c>
      <c r="G65">
        <v>1</v>
      </c>
      <c r="H65">
        <v>1</v>
      </c>
      <c r="I65" t="s">
        <v>527</v>
      </c>
      <c r="J65" t="s">
        <v>6</v>
      </c>
      <c r="K65" t="s">
        <v>528</v>
      </c>
      <c r="L65">
        <v>1191</v>
      </c>
      <c r="N65">
        <v>1013</v>
      </c>
      <c r="O65" t="s">
        <v>495</v>
      </c>
      <c r="P65" t="s">
        <v>495</v>
      </c>
      <c r="Q65">
        <v>1</v>
      </c>
      <c r="W65">
        <v>0</v>
      </c>
      <c r="X65">
        <v>-400197608</v>
      </c>
      <c r="Y65">
        <v>35.552999999999997</v>
      </c>
      <c r="AA65">
        <v>0</v>
      </c>
      <c r="AB65">
        <v>0</v>
      </c>
      <c r="AC65">
        <v>0</v>
      </c>
      <c r="AD65">
        <v>8.5299999999999994</v>
      </c>
      <c r="AE65">
        <v>0</v>
      </c>
      <c r="AF65">
        <v>0</v>
      </c>
      <c r="AG65">
        <v>0</v>
      </c>
      <c r="AH65">
        <v>8.5299999999999994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50.79</v>
      </c>
      <c r="AU65" t="s">
        <v>82</v>
      </c>
      <c r="AV65">
        <v>1</v>
      </c>
      <c r="AW65">
        <v>2</v>
      </c>
      <c r="AX65">
        <v>16784352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0.88882499999999998</v>
      </c>
      <c r="CY65">
        <f>AD65</f>
        <v>8.5299999999999994</v>
      </c>
      <c r="CZ65">
        <f>AH65</f>
        <v>8.5299999999999994</v>
      </c>
      <c r="DA65">
        <f>AL65</f>
        <v>1</v>
      </c>
      <c r="DB65">
        <f>ROUND((ROUND(AT65*CZ65,2)*0.7),2)</f>
        <v>303.27</v>
      </c>
      <c r="DC65">
        <f>ROUND((ROUND(AT65*AG65,2)*0.7),2)</f>
        <v>0</v>
      </c>
    </row>
    <row r="66" spans="1:107" x14ac:dyDescent="0.2">
      <c r="A66">
        <f>ROW(Source!A46)</f>
        <v>46</v>
      </c>
      <c r="B66">
        <v>16784195</v>
      </c>
      <c r="C66">
        <v>16784333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496</v>
      </c>
      <c r="J66" t="s">
        <v>6</v>
      </c>
      <c r="K66" t="s">
        <v>497</v>
      </c>
      <c r="L66">
        <v>1191</v>
      </c>
      <c r="N66">
        <v>1013</v>
      </c>
      <c r="O66" t="s">
        <v>495</v>
      </c>
      <c r="P66" t="s">
        <v>495</v>
      </c>
      <c r="Q66">
        <v>1</v>
      </c>
      <c r="W66">
        <v>0</v>
      </c>
      <c r="X66">
        <v>-1417349443</v>
      </c>
      <c r="Y66">
        <v>0.31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0.31</v>
      </c>
      <c r="AU66" t="s">
        <v>6</v>
      </c>
      <c r="AV66">
        <v>2</v>
      </c>
      <c r="AW66">
        <v>2</v>
      </c>
      <c r="AX66">
        <v>16784353</v>
      </c>
      <c r="AY66">
        <v>1</v>
      </c>
      <c r="AZ66">
        <v>2048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Y66*Source!I46</f>
        <v>7.7499999999999999E-3</v>
      </c>
      <c r="CY66">
        <f>AD66</f>
        <v>0</v>
      </c>
      <c r="CZ66">
        <f>AH66</f>
        <v>0</v>
      </c>
      <c r="DA66">
        <f>AL66</f>
        <v>1</v>
      </c>
      <c r="DB66">
        <f>ROUND(ROUND(AT66*CZ66,2),2)</f>
        <v>0</v>
      </c>
      <c r="DC66">
        <f>ROUND(ROUND(AT66*AG66,2),2)</f>
        <v>0</v>
      </c>
    </row>
    <row r="67" spans="1:107" x14ac:dyDescent="0.2">
      <c r="A67">
        <f>ROW(Source!A46)</f>
        <v>46</v>
      </c>
      <c r="B67">
        <v>16784195</v>
      </c>
      <c r="C67">
        <v>16784333</v>
      </c>
      <c r="D67">
        <v>15247680</v>
      </c>
      <c r="E67">
        <v>1</v>
      </c>
      <c r="F67">
        <v>1</v>
      </c>
      <c r="G67">
        <v>1</v>
      </c>
      <c r="H67">
        <v>2</v>
      </c>
      <c r="I67" t="s">
        <v>537</v>
      </c>
      <c r="J67" t="s">
        <v>538</v>
      </c>
      <c r="K67" t="s">
        <v>539</v>
      </c>
      <c r="L67">
        <v>1368</v>
      </c>
      <c r="N67">
        <v>1011</v>
      </c>
      <c r="O67" t="s">
        <v>501</v>
      </c>
      <c r="P67" t="s">
        <v>501</v>
      </c>
      <c r="Q67">
        <v>1</v>
      </c>
      <c r="W67">
        <v>0</v>
      </c>
      <c r="X67">
        <v>-1718674368</v>
      </c>
      <c r="Y67">
        <v>8.3999999999999991E-2</v>
      </c>
      <c r="AA67">
        <v>0</v>
      </c>
      <c r="AB67">
        <v>111.99</v>
      </c>
      <c r="AC67">
        <v>13.5</v>
      </c>
      <c r="AD67">
        <v>0</v>
      </c>
      <c r="AE67">
        <v>0</v>
      </c>
      <c r="AF67">
        <v>111.99</v>
      </c>
      <c r="AG67">
        <v>13.5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0.12</v>
      </c>
      <c r="AU67" t="s">
        <v>82</v>
      </c>
      <c r="AV67">
        <v>0</v>
      </c>
      <c r="AW67">
        <v>2</v>
      </c>
      <c r="AX67">
        <v>16784354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Y67*Source!I46</f>
        <v>2.0999999999999999E-3</v>
      </c>
      <c r="CY67">
        <f>AB67</f>
        <v>111.99</v>
      </c>
      <c r="CZ67">
        <f>AF67</f>
        <v>111.99</v>
      </c>
      <c r="DA67">
        <f>AJ67</f>
        <v>1</v>
      </c>
      <c r="DB67">
        <f>ROUND((ROUND(AT67*CZ67,2)*0.7),2)</f>
        <v>9.41</v>
      </c>
      <c r="DC67">
        <f>ROUND((ROUND(AT67*AG67,2)*0.7),2)</f>
        <v>1.1299999999999999</v>
      </c>
    </row>
    <row r="68" spans="1:107" x14ac:dyDescent="0.2">
      <c r="A68">
        <f>ROW(Source!A46)</f>
        <v>46</v>
      </c>
      <c r="B68">
        <v>16784195</v>
      </c>
      <c r="C68">
        <v>16784333</v>
      </c>
      <c r="D68">
        <v>15247880</v>
      </c>
      <c r="E68">
        <v>1</v>
      </c>
      <c r="F68">
        <v>1</v>
      </c>
      <c r="G68">
        <v>1</v>
      </c>
      <c r="H68">
        <v>2</v>
      </c>
      <c r="I68" t="s">
        <v>540</v>
      </c>
      <c r="J68" t="s">
        <v>541</v>
      </c>
      <c r="K68" t="s">
        <v>542</v>
      </c>
      <c r="L68">
        <v>1368</v>
      </c>
      <c r="N68">
        <v>1011</v>
      </c>
      <c r="O68" t="s">
        <v>501</v>
      </c>
      <c r="P68" t="s">
        <v>501</v>
      </c>
      <c r="Q68">
        <v>1</v>
      </c>
      <c r="W68">
        <v>0</v>
      </c>
      <c r="X68">
        <v>1544661785</v>
      </c>
      <c r="Y68">
        <v>7.3709999999999987</v>
      </c>
      <c r="AA68">
        <v>0</v>
      </c>
      <c r="AB68">
        <v>6.9</v>
      </c>
      <c r="AC68">
        <v>0</v>
      </c>
      <c r="AD68">
        <v>0</v>
      </c>
      <c r="AE68">
        <v>0</v>
      </c>
      <c r="AF68">
        <v>6.9</v>
      </c>
      <c r="AG68">
        <v>0</v>
      </c>
      <c r="AH68">
        <v>0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10.53</v>
      </c>
      <c r="AU68" t="s">
        <v>82</v>
      </c>
      <c r="AV68">
        <v>0</v>
      </c>
      <c r="AW68">
        <v>2</v>
      </c>
      <c r="AX68">
        <v>16784355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Y68*Source!I46</f>
        <v>0.18427499999999997</v>
      </c>
      <c r="CY68">
        <f>AB68</f>
        <v>6.9</v>
      </c>
      <c r="CZ68">
        <f>AF68</f>
        <v>6.9</v>
      </c>
      <c r="DA68">
        <f>AJ68</f>
        <v>1</v>
      </c>
      <c r="DB68">
        <f>ROUND((ROUND(AT68*CZ68,2)*0.7),2)</f>
        <v>50.86</v>
      </c>
      <c r="DC68">
        <f>ROUND((ROUND(AT68*AG68,2)*0.7),2)</f>
        <v>0</v>
      </c>
    </row>
    <row r="69" spans="1:107" x14ac:dyDescent="0.2">
      <c r="A69">
        <f>ROW(Source!A46)</f>
        <v>46</v>
      </c>
      <c r="B69">
        <v>16784195</v>
      </c>
      <c r="C69">
        <v>16784333</v>
      </c>
      <c r="D69">
        <v>15249073</v>
      </c>
      <c r="E69">
        <v>1</v>
      </c>
      <c r="F69">
        <v>1</v>
      </c>
      <c r="G69">
        <v>1</v>
      </c>
      <c r="H69">
        <v>2</v>
      </c>
      <c r="I69" t="s">
        <v>504</v>
      </c>
      <c r="J69" t="s">
        <v>505</v>
      </c>
      <c r="K69" t="s">
        <v>506</v>
      </c>
      <c r="L69">
        <v>1368</v>
      </c>
      <c r="N69">
        <v>1011</v>
      </c>
      <c r="O69" t="s">
        <v>501</v>
      </c>
      <c r="P69" t="s">
        <v>501</v>
      </c>
      <c r="Q69">
        <v>1</v>
      </c>
      <c r="W69">
        <v>0</v>
      </c>
      <c r="X69">
        <v>1372534845</v>
      </c>
      <c r="Y69">
        <v>0.13299999999999998</v>
      </c>
      <c r="AA69">
        <v>0</v>
      </c>
      <c r="AB69">
        <v>65.709999999999994</v>
      </c>
      <c r="AC69">
        <v>11.6</v>
      </c>
      <c r="AD69">
        <v>0</v>
      </c>
      <c r="AE69">
        <v>0</v>
      </c>
      <c r="AF69">
        <v>65.709999999999994</v>
      </c>
      <c r="AG69">
        <v>11.6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6</v>
      </c>
      <c r="AT69">
        <v>0.19</v>
      </c>
      <c r="AU69" t="s">
        <v>82</v>
      </c>
      <c r="AV69">
        <v>0</v>
      </c>
      <c r="AW69">
        <v>2</v>
      </c>
      <c r="AX69">
        <v>16784356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Y69*Source!I46</f>
        <v>3.3249999999999998E-3</v>
      </c>
      <c r="CY69">
        <f>AB69</f>
        <v>65.709999999999994</v>
      </c>
      <c r="CZ69">
        <f>AF69</f>
        <v>65.709999999999994</v>
      </c>
      <c r="DA69">
        <f>AJ69</f>
        <v>1</v>
      </c>
      <c r="DB69">
        <f>ROUND((ROUND(AT69*CZ69,2)*0.7),2)</f>
        <v>8.74</v>
      </c>
      <c r="DC69">
        <f>ROUND((ROUND(AT69*AG69,2)*0.7),2)</f>
        <v>1.54</v>
      </c>
    </row>
    <row r="70" spans="1:107" x14ac:dyDescent="0.2">
      <c r="A70">
        <f>ROW(Source!A46)</f>
        <v>46</v>
      </c>
      <c r="B70">
        <v>16784195</v>
      </c>
      <c r="C70">
        <v>16784333</v>
      </c>
      <c r="D70">
        <v>15249308</v>
      </c>
      <c r="E70">
        <v>1</v>
      </c>
      <c r="F70">
        <v>1</v>
      </c>
      <c r="G70">
        <v>1</v>
      </c>
      <c r="H70">
        <v>2</v>
      </c>
      <c r="I70" t="s">
        <v>543</v>
      </c>
      <c r="J70" t="s">
        <v>544</v>
      </c>
      <c r="K70" t="s">
        <v>545</v>
      </c>
      <c r="L70">
        <v>1368</v>
      </c>
      <c r="N70">
        <v>1011</v>
      </c>
      <c r="O70" t="s">
        <v>501</v>
      </c>
      <c r="P70" t="s">
        <v>501</v>
      </c>
      <c r="Q70">
        <v>1</v>
      </c>
      <c r="W70">
        <v>0</v>
      </c>
      <c r="X70">
        <v>792402865</v>
      </c>
      <c r="Y70">
        <v>1.302</v>
      </c>
      <c r="AA70">
        <v>0</v>
      </c>
      <c r="AB70">
        <v>1.2</v>
      </c>
      <c r="AC70">
        <v>0</v>
      </c>
      <c r="AD70">
        <v>0</v>
      </c>
      <c r="AE70">
        <v>0</v>
      </c>
      <c r="AF70">
        <v>1.2</v>
      </c>
      <c r="AG70">
        <v>0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1.86</v>
      </c>
      <c r="AU70" t="s">
        <v>82</v>
      </c>
      <c r="AV70">
        <v>0</v>
      </c>
      <c r="AW70">
        <v>2</v>
      </c>
      <c r="AX70">
        <v>16784357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Y70*Source!I46</f>
        <v>3.2550000000000003E-2</v>
      </c>
      <c r="CY70">
        <f>AB70</f>
        <v>1.2</v>
      </c>
      <c r="CZ70">
        <f>AF70</f>
        <v>1.2</v>
      </c>
      <c r="DA70">
        <f>AJ70</f>
        <v>1</v>
      </c>
      <c r="DB70">
        <f>ROUND((ROUND(AT70*CZ70,2)*0.7),2)</f>
        <v>1.56</v>
      </c>
      <c r="DC70">
        <f>ROUND((ROUND(AT70*AG70,2)*0.7),2)</f>
        <v>0</v>
      </c>
    </row>
    <row r="71" spans="1:107" x14ac:dyDescent="0.2">
      <c r="A71">
        <f>ROW(Source!A46)</f>
        <v>46</v>
      </c>
      <c r="B71">
        <v>16784195</v>
      </c>
      <c r="C71">
        <v>16784333</v>
      </c>
      <c r="D71">
        <v>15249355</v>
      </c>
      <c r="E71">
        <v>1</v>
      </c>
      <c r="F71">
        <v>1</v>
      </c>
      <c r="G71">
        <v>1</v>
      </c>
      <c r="H71">
        <v>2</v>
      </c>
      <c r="I71" t="s">
        <v>546</v>
      </c>
      <c r="J71" t="s">
        <v>547</v>
      </c>
      <c r="K71" t="s">
        <v>548</v>
      </c>
      <c r="L71">
        <v>1368</v>
      </c>
      <c r="N71">
        <v>1011</v>
      </c>
      <c r="O71" t="s">
        <v>501</v>
      </c>
      <c r="P71" t="s">
        <v>501</v>
      </c>
      <c r="Q71">
        <v>1</v>
      </c>
      <c r="W71">
        <v>0</v>
      </c>
      <c r="X71">
        <v>1323835807</v>
      </c>
      <c r="Y71">
        <v>1.4209999999999998</v>
      </c>
      <c r="AA71">
        <v>0</v>
      </c>
      <c r="AB71">
        <v>12.31</v>
      </c>
      <c r="AC71">
        <v>0</v>
      </c>
      <c r="AD71">
        <v>0</v>
      </c>
      <c r="AE71">
        <v>0</v>
      </c>
      <c r="AF71">
        <v>12.31</v>
      </c>
      <c r="AG71">
        <v>0</v>
      </c>
      <c r="AH71">
        <v>0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2.0299999999999998</v>
      </c>
      <c r="AU71" t="s">
        <v>82</v>
      </c>
      <c r="AV71">
        <v>0</v>
      </c>
      <c r="AW71">
        <v>2</v>
      </c>
      <c r="AX71">
        <v>16784358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Y71*Source!I46</f>
        <v>3.5524999999999994E-2</v>
      </c>
      <c r="CY71">
        <f>AB71</f>
        <v>12.31</v>
      </c>
      <c r="CZ71">
        <f>AF71</f>
        <v>12.31</v>
      </c>
      <c r="DA71">
        <f>AJ71</f>
        <v>1</v>
      </c>
      <c r="DB71">
        <f>ROUND((ROUND(AT71*CZ71,2)*0.7),2)</f>
        <v>17.489999999999998</v>
      </c>
      <c r="DC71">
        <f>ROUND((ROUND(AT71*AG71,2)*0.7),2)</f>
        <v>0</v>
      </c>
    </row>
    <row r="72" spans="1:107" x14ac:dyDescent="0.2">
      <c r="A72">
        <f>ROW(Source!A46)</f>
        <v>46</v>
      </c>
      <c r="B72">
        <v>16784195</v>
      </c>
      <c r="C72">
        <v>16784333</v>
      </c>
      <c r="D72">
        <v>15165653</v>
      </c>
      <c r="E72">
        <v>1</v>
      </c>
      <c r="F72">
        <v>1</v>
      </c>
      <c r="G72">
        <v>1</v>
      </c>
      <c r="H72">
        <v>3</v>
      </c>
      <c r="I72" t="s">
        <v>549</v>
      </c>
      <c r="J72" t="s">
        <v>550</v>
      </c>
      <c r="K72" t="s">
        <v>551</v>
      </c>
      <c r="L72">
        <v>1339</v>
      </c>
      <c r="N72">
        <v>1007</v>
      </c>
      <c r="O72" t="s">
        <v>128</v>
      </c>
      <c r="P72" t="s">
        <v>128</v>
      </c>
      <c r="Q72">
        <v>1</v>
      </c>
      <c r="W72">
        <v>0</v>
      </c>
      <c r="X72">
        <v>1262771840</v>
      </c>
      <c r="Y72">
        <v>0</v>
      </c>
      <c r="AA72">
        <v>6.22</v>
      </c>
      <c r="AB72">
        <v>0</v>
      </c>
      <c r="AC72">
        <v>0</v>
      </c>
      <c r="AD72">
        <v>0</v>
      </c>
      <c r="AE72">
        <v>6.22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6</v>
      </c>
      <c r="AT72">
        <v>1.5</v>
      </c>
      <c r="AU72" t="s">
        <v>81</v>
      </c>
      <c r="AV72">
        <v>0</v>
      </c>
      <c r="AW72">
        <v>2</v>
      </c>
      <c r="AX72">
        <v>16784359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Y72*Source!I46</f>
        <v>0</v>
      </c>
      <c r="CY72">
        <f t="shared" ref="CY72:CY82" si="12">AA72</f>
        <v>6.22</v>
      </c>
      <c r="CZ72">
        <f t="shared" ref="CZ72:CZ82" si="13">AE72</f>
        <v>6.22</v>
      </c>
      <c r="DA72">
        <f t="shared" ref="DA72:DA82" si="14">AI72</f>
        <v>1</v>
      </c>
      <c r="DB72">
        <f t="shared" ref="DB72:DB82" si="15">ROUND((ROUND(AT72*CZ72,2)*0),2)</f>
        <v>0</v>
      </c>
      <c r="DC72">
        <f t="shared" ref="DC72:DC82" si="16">ROUND((ROUND(AT72*AG72,2)*0),2)</f>
        <v>0</v>
      </c>
    </row>
    <row r="73" spans="1:107" x14ac:dyDescent="0.2">
      <c r="A73">
        <f>ROW(Source!A46)</f>
        <v>46</v>
      </c>
      <c r="B73">
        <v>16784195</v>
      </c>
      <c r="C73">
        <v>16784333</v>
      </c>
      <c r="D73">
        <v>15165660</v>
      </c>
      <c r="E73">
        <v>1</v>
      </c>
      <c r="F73">
        <v>1</v>
      </c>
      <c r="G73">
        <v>1</v>
      </c>
      <c r="H73">
        <v>3</v>
      </c>
      <c r="I73" t="s">
        <v>552</v>
      </c>
      <c r="J73" t="s">
        <v>553</v>
      </c>
      <c r="K73" t="s">
        <v>554</v>
      </c>
      <c r="L73">
        <v>1346</v>
      </c>
      <c r="N73">
        <v>1009</v>
      </c>
      <c r="O73" t="s">
        <v>60</v>
      </c>
      <c r="P73" t="s">
        <v>60</v>
      </c>
      <c r="Q73">
        <v>1</v>
      </c>
      <c r="W73">
        <v>0</v>
      </c>
      <c r="X73">
        <v>1721895514</v>
      </c>
      <c r="Y73">
        <v>0</v>
      </c>
      <c r="AA73">
        <v>6.09</v>
      </c>
      <c r="AB73">
        <v>0</v>
      </c>
      <c r="AC73">
        <v>0</v>
      </c>
      <c r="AD73">
        <v>0</v>
      </c>
      <c r="AE73">
        <v>6.09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0.45</v>
      </c>
      <c r="AU73" t="s">
        <v>81</v>
      </c>
      <c r="AV73">
        <v>0</v>
      </c>
      <c r="AW73">
        <v>2</v>
      </c>
      <c r="AX73">
        <v>16784360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Y73*Source!I46</f>
        <v>0</v>
      </c>
      <c r="CY73">
        <f t="shared" si="12"/>
        <v>6.09</v>
      </c>
      <c r="CZ73">
        <f t="shared" si="13"/>
        <v>6.09</v>
      </c>
      <c r="DA73">
        <f t="shared" si="14"/>
        <v>1</v>
      </c>
      <c r="DB73">
        <f t="shared" si="15"/>
        <v>0</v>
      </c>
      <c r="DC73">
        <f t="shared" si="16"/>
        <v>0</v>
      </c>
    </row>
    <row r="74" spans="1:107" x14ac:dyDescent="0.2">
      <c r="A74">
        <f>ROW(Source!A46)</f>
        <v>46</v>
      </c>
      <c r="B74">
        <v>16784195</v>
      </c>
      <c r="C74">
        <v>16784333</v>
      </c>
      <c r="D74">
        <v>15168753</v>
      </c>
      <c r="E74">
        <v>1</v>
      </c>
      <c r="F74">
        <v>1</v>
      </c>
      <c r="G74">
        <v>1</v>
      </c>
      <c r="H74">
        <v>3</v>
      </c>
      <c r="I74" t="s">
        <v>555</v>
      </c>
      <c r="J74" t="s">
        <v>556</v>
      </c>
      <c r="K74" t="s">
        <v>557</v>
      </c>
      <c r="L74">
        <v>1348</v>
      </c>
      <c r="N74">
        <v>1009</v>
      </c>
      <c r="O74" t="s">
        <v>65</v>
      </c>
      <c r="P74" t="s">
        <v>65</v>
      </c>
      <c r="Q74">
        <v>1000</v>
      </c>
      <c r="W74">
        <v>0</v>
      </c>
      <c r="X74">
        <v>1225357214</v>
      </c>
      <c r="Y74">
        <v>0</v>
      </c>
      <c r="AA74">
        <v>10749</v>
      </c>
      <c r="AB74">
        <v>0</v>
      </c>
      <c r="AC74">
        <v>0</v>
      </c>
      <c r="AD74">
        <v>0</v>
      </c>
      <c r="AE74">
        <v>10749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1.4E-3</v>
      </c>
      <c r="AU74" t="s">
        <v>81</v>
      </c>
      <c r="AV74">
        <v>0</v>
      </c>
      <c r="AW74">
        <v>2</v>
      </c>
      <c r="AX74">
        <v>16784361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Y74*Source!I46</f>
        <v>0</v>
      </c>
      <c r="CY74">
        <f t="shared" si="12"/>
        <v>10749</v>
      </c>
      <c r="CZ74">
        <f t="shared" si="13"/>
        <v>10749</v>
      </c>
      <c r="DA74">
        <f t="shared" si="14"/>
        <v>1</v>
      </c>
      <c r="DB74">
        <f t="shared" si="15"/>
        <v>0</v>
      </c>
      <c r="DC74">
        <f t="shared" si="16"/>
        <v>0</v>
      </c>
    </row>
    <row r="75" spans="1:107" x14ac:dyDescent="0.2">
      <c r="A75">
        <f>ROW(Source!A46)</f>
        <v>46</v>
      </c>
      <c r="B75">
        <v>16784195</v>
      </c>
      <c r="C75">
        <v>16784333</v>
      </c>
      <c r="D75">
        <v>15169941</v>
      </c>
      <c r="E75">
        <v>1</v>
      </c>
      <c r="F75">
        <v>1</v>
      </c>
      <c r="G75">
        <v>1</v>
      </c>
      <c r="H75">
        <v>3</v>
      </c>
      <c r="I75" t="s">
        <v>558</v>
      </c>
      <c r="J75" t="s">
        <v>559</v>
      </c>
      <c r="K75" t="s">
        <v>560</v>
      </c>
      <c r="L75">
        <v>1348</v>
      </c>
      <c r="N75">
        <v>1009</v>
      </c>
      <c r="O75" t="s">
        <v>65</v>
      </c>
      <c r="P75" t="s">
        <v>65</v>
      </c>
      <c r="Q75">
        <v>1000</v>
      </c>
      <c r="W75">
        <v>0</v>
      </c>
      <c r="X75">
        <v>-437906794</v>
      </c>
      <c r="Y75">
        <v>0</v>
      </c>
      <c r="AA75">
        <v>9040.01</v>
      </c>
      <c r="AB75">
        <v>0</v>
      </c>
      <c r="AC75">
        <v>0</v>
      </c>
      <c r="AD75">
        <v>0</v>
      </c>
      <c r="AE75">
        <v>9040.01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3.3E-3</v>
      </c>
      <c r="AU75" t="s">
        <v>81</v>
      </c>
      <c r="AV75">
        <v>0</v>
      </c>
      <c r="AW75">
        <v>2</v>
      </c>
      <c r="AX75">
        <v>16784362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Y75*Source!I46</f>
        <v>0</v>
      </c>
      <c r="CY75">
        <f t="shared" si="12"/>
        <v>9040.01</v>
      </c>
      <c r="CZ75">
        <f t="shared" si="13"/>
        <v>9040.01</v>
      </c>
      <c r="DA75">
        <f t="shared" si="14"/>
        <v>1</v>
      </c>
      <c r="DB75">
        <f t="shared" si="15"/>
        <v>0</v>
      </c>
      <c r="DC75">
        <f t="shared" si="16"/>
        <v>0</v>
      </c>
    </row>
    <row r="76" spans="1:107" x14ac:dyDescent="0.2">
      <c r="A76">
        <f>ROW(Source!A46)</f>
        <v>46</v>
      </c>
      <c r="B76">
        <v>16784195</v>
      </c>
      <c r="C76">
        <v>16784333</v>
      </c>
      <c r="D76">
        <v>15170039</v>
      </c>
      <c r="E76">
        <v>1</v>
      </c>
      <c r="F76">
        <v>1</v>
      </c>
      <c r="G76">
        <v>1</v>
      </c>
      <c r="H76">
        <v>3</v>
      </c>
      <c r="I76" t="s">
        <v>561</v>
      </c>
      <c r="J76" t="s">
        <v>562</v>
      </c>
      <c r="K76" t="s">
        <v>563</v>
      </c>
      <c r="L76">
        <v>1348</v>
      </c>
      <c r="N76">
        <v>1009</v>
      </c>
      <c r="O76" t="s">
        <v>65</v>
      </c>
      <c r="P76" t="s">
        <v>65</v>
      </c>
      <c r="Q76">
        <v>1000</v>
      </c>
      <c r="W76">
        <v>0</v>
      </c>
      <c r="X76">
        <v>1174701286</v>
      </c>
      <c r="Y76">
        <v>0</v>
      </c>
      <c r="AA76">
        <v>11978</v>
      </c>
      <c r="AB76">
        <v>0</v>
      </c>
      <c r="AC76">
        <v>0</v>
      </c>
      <c r="AD76">
        <v>0</v>
      </c>
      <c r="AE76">
        <v>11978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1.0000000000000001E-5</v>
      </c>
      <c r="AU76" t="s">
        <v>81</v>
      </c>
      <c r="AV76">
        <v>0</v>
      </c>
      <c r="AW76">
        <v>2</v>
      </c>
      <c r="AX76">
        <v>16784363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Y76*Source!I46</f>
        <v>0</v>
      </c>
      <c r="CY76">
        <f t="shared" si="12"/>
        <v>11978</v>
      </c>
      <c r="CZ76">
        <f t="shared" si="13"/>
        <v>11978</v>
      </c>
      <c r="DA76">
        <f t="shared" si="14"/>
        <v>1</v>
      </c>
      <c r="DB76">
        <f t="shared" si="15"/>
        <v>0</v>
      </c>
      <c r="DC76">
        <f t="shared" si="16"/>
        <v>0</v>
      </c>
    </row>
    <row r="77" spans="1:107" x14ac:dyDescent="0.2">
      <c r="A77">
        <f>ROW(Source!A46)</f>
        <v>46</v>
      </c>
      <c r="B77">
        <v>16784195</v>
      </c>
      <c r="C77">
        <v>16784333</v>
      </c>
      <c r="D77">
        <v>15171021</v>
      </c>
      <c r="E77">
        <v>1</v>
      </c>
      <c r="F77">
        <v>1</v>
      </c>
      <c r="G77">
        <v>1</v>
      </c>
      <c r="H77">
        <v>3</v>
      </c>
      <c r="I77" t="s">
        <v>564</v>
      </c>
      <c r="J77" t="s">
        <v>565</v>
      </c>
      <c r="K77" t="s">
        <v>566</v>
      </c>
      <c r="L77">
        <v>1348</v>
      </c>
      <c r="N77">
        <v>1009</v>
      </c>
      <c r="O77" t="s">
        <v>65</v>
      </c>
      <c r="P77" t="s">
        <v>65</v>
      </c>
      <c r="Q77">
        <v>1000</v>
      </c>
      <c r="W77">
        <v>0</v>
      </c>
      <c r="X77">
        <v>-2116243625</v>
      </c>
      <c r="Y77">
        <v>0</v>
      </c>
      <c r="AA77">
        <v>37900</v>
      </c>
      <c r="AB77">
        <v>0</v>
      </c>
      <c r="AC77">
        <v>0</v>
      </c>
      <c r="AD77">
        <v>0</v>
      </c>
      <c r="AE77">
        <v>37900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6</v>
      </c>
      <c r="AT77">
        <v>1E-4</v>
      </c>
      <c r="AU77" t="s">
        <v>81</v>
      </c>
      <c r="AV77">
        <v>0</v>
      </c>
      <c r="AW77">
        <v>2</v>
      </c>
      <c r="AX77">
        <v>16784364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Y77*Source!I46</f>
        <v>0</v>
      </c>
      <c r="CY77">
        <f t="shared" si="12"/>
        <v>37900</v>
      </c>
      <c r="CZ77">
        <f t="shared" si="13"/>
        <v>37900</v>
      </c>
      <c r="DA77">
        <f t="shared" si="14"/>
        <v>1</v>
      </c>
      <c r="DB77">
        <f t="shared" si="15"/>
        <v>0</v>
      </c>
      <c r="DC77">
        <f t="shared" si="16"/>
        <v>0</v>
      </c>
    </row>
    <row r="78" spans="1:107" x14ac:dyDescent="0.2">
      <c r="A78">
        <f>ROW(Source!A46)</f>
        <v>46</v>
      </c>
      <c r="B78">
        <v>16784195</v>
      </c>
      <c r="C78">
        <v>16784333</v>
      </c>
      <c r="D78">
        <v>15190794</v>
      </c>
      <c r="E78">
        <v>1</v>
      </c>
      <c r="F78">
        <v>1</v>
      </c>
      <c r="G78">
        <v>1</v>
      </c>
      <c r="H78">
        <v>3</v>
      </c>
      <c r="I78" t="s">
        <v>567</v>
      </c>
      <c r="J78" t="s">
        <v>568</v>
      </c>
      <c r="K78" t="s">
        <v>569</v>
      </c>
      <c r="L78">
        <v>1302</v>
      </c>
      <c r="N78">
        <v>1003</v>
      </c>
      <c r="O78" t="s">
        <v>74</v>
      </c>
      <c r="P78" t="s">
        <v>74</v>
      </c>
      <c r="Q78">
        <v>10</v>
      </c>
      <c r="W78">
        <v>0</v>
      </c>
      <c r="X78">
        <v>-1640127157</v>
      </c>
      <c r="Y78">
        <v>0</v>
      </c>
      <c r="AA78">
        <v>50.24</v>
      </c>
      <c r="AB78">
        <v>0</v>
      </c>
      <c r="AC78">
        <v>0</v>
      </c>
      <c r="AD78">
        <v>0</v>
      </c>
      <c r="AE78">
        <v>50.24</v>
      </c>
      <c r="AF78">
        <v>0</v>
      </c>
      <c r="AG78">
        <v>0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1.8700000000000001E-2</v>
      </c>
      <c r="AU78" t="s">
        <v>81</v>
      </c>
      <c r="AV78">
        <v>0</v>
      </c>
      <c r="AW78">
        <v>2</v>
      </c>
      <c r="AX78">
        <v>16784366</v>
      </c>
      <c r="AY78">
        <v>1</v>
      </c>
      <c r="AZ78">
        <v>0</v>
      </c>
      <c r="BA78">
        <v>79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Y78*Source!I46</f>
        <v>0</v>
      </c>
      <c r="CY78">
        <f t="shared" si="12"/>
        <v>50.24</v>
      </c>
      <c r="CZ78">
        <f t="shared" si="13"/>
        <v>50.24</v>
      </c>
      <c r="DA78">
        <f t="shared" si="14"/>
        <v>1</v>
      </c>
      <c r="DB78">
        <f t="shared" si="15"/>
        <v>0</v>
      </c>
      <c r="DC78">
        <f t="shared" si="16"/>
        <v>0</v>
      </c>
    </row>
    <row r="79" spans="1:107" x14ac:dyDescent="0.2">
      <c r="A79">
        <f>ROW(Source!A46)</f>
        <v>46</v>
      </c>
      <c r="B79">
        <v>16784195</v>
      </c>
      <c r="C79">
        <v>16784333</v>
      </c>
      <c r="D79">
        <v>15191153</v>
      </c>
      <c r="E79">
        <v>1</v>
      </c>
      <c r="F79">
        <v>1</v>
      </c>
      <c r="G79">
        <v>1</v>
      </c>
      <c r="H79">
        <v>3</v>
      </c>
      <c r="I79" t="s">
        <v>570</v>
      </c>
      <c r="J79" t="s">
        <v>571</v>
      </c>
      <c r="K79" t="s">
        <v>572</v>
      </c>
      <c r="L79">
        <v>1348</v>
      </c>
      <c r="N79">
        <v>1009</v>
      </c>
      <c r="O79" t="s">
        <v>65</v>
      </c>
      <c r="P79" t="s">
        <v>65</v>
      </c>
      <c r="Q79">
        <v>1000</v>
      </c>
      <c r="W79">
        <v>0</v>
      </c>
      <c r="X79">
        <v>-1396314973</v>
      </c>
      <c r="Y79">
        <v>0</v>
      </c>
      <c r="AA79">
        <v>4455.2</v>
      </c>
      <c r="AB79">
        <v>0</v>
      </c>
      <c r="AC79">
        <v>0</v>
      </c>
      <c r="AD79">
        <v>0</v>
      </c>
      <c r="AE79">
        <v>4455.2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6</v>
      </c>
      <c r="AT79">
        <v>3.0000000000000001E-5</v>
      </c>
      <c r="AU79" t="s">
        <v>81</v>
      </c>
      <c r="AV79">
        <v>0</v>
      </c>
      <c r="AW79">
        <v>2</v>
      </c>
      <c r="AX79">
        <v>16784367</v>
      </c>
      <c r="AY79">
        <v>1</v>
      </c>
      <c r="AZ79">
        <v>0</v>
      </c>
      <c r="BA79">
        <v>80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Y79*Source!I46</f>
        <v>0</v>
      </c>
      <c r="CY79">
        <f t="shared" si="12"/>
        <v>4455.2</v>
      </c>
      <c r="CZ79">
        <f t="shared" si="13"/>
        <v>4455.2</v>
      </c>
      <c r="DA79">
        <f t="shared" si="14"/>
        <v>1</v>
      </c>
      <c r="DB79">
        <f t="shared" si="15"/>
        <v>0</v>
      </c>
      <c r="DC79">
        <f t="shared" si="16"/>
        <v>0</v>
      </c>
    </row>
    <row r="80" spans="1:107" x14ac:dyDescent="0.2">
      <c r="A80">
        <f>ROW(Source!A46)</f>
        <v>46</v>
      </c>
      <c r="B80">
        <v>16784195</v>
      </c>
      <c r="C80">
        <v>16784333</v>
      </c>
      <c r="D80">
        <v>15191913</v>
      </c>
      <c r="E80">
        <v>1</v>
      </c>
      <c r="F80">
        <v>1</v>
      </c>
      <c r="G80">
        <v>1</v>
      </c>
      <c r="H80">
        <v>3</v>
      </c>
      <c r="I80" t="s">
        <v>573</v>
      </c>
      <c r="J80" t="s">
        <v>574</v>
      </c>
      <c r="K80" t="s">
        <v>575</v>
      </c>
      <c r="L80">
        <v>1348</v>
      </c>
      <c r="N80">
        <v>1009</v>
      </c>
      <c r="O80" t="s">
        <v>65</v>
      </c>
      <c r="P80" t="s">
        <v>65</v>
      </c>
      <c r="Q80">
        <v>1000</v>
      </c>
      <c r="W80">
        <v>0</v>
      </c>
      <c r="X80">
        <v>900832145</v>
      </c>
      <c r="Y80">
        <v>0</v>
      </c>
      <c r="AA80">
        <v>4920</v>
      </c>
      <c r="AB80">
        <v>0</v>
      </c>
      <c r="AC80">
        <v>0</v>
      </c>
      <c r="AD80">
        <v>0</v>
      </c>
      <c r="AE80">
        <v>4920</v>
      </c>
      <c r="AF80">
        <v>0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1.9400000000000001E-3</v>
      </c>
      <c r="AU80" t="s">
        <v>81</v>
      </c>
      <c r="AV80">
        <v>0</v>
      </c>
      <c r="AW80">
        <v>2</v>
      </c>
      <c r="AX80">
        <v>16784368</v>
      </c>
      <c r="AY80">
        <v>1</v>
      </c>
      <c r="AZ80">
        <v>0</v>
      </c>
      <c r="BA80">
        <v>81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Y80*Source!I46</f>
        <v>0</v>
      </c>
      <c r="CY80">
        <f t="shared" si="12"/>
        <v>4920</v>
      </c>
      <c r="CZ80">
        <f t="shared" si="13"/>
        <v>4920</v>
      </c>
      <c r="DA80">
        <f t="shared" si="14"/>
        <v>1</v>
      </c>
      <c r="DB80">
        <f t="shared" si="15"/>
        <v>0</v>
      </c>
      <c r="DC80">
        <f t="shared" si="16"/>
        <v>0</v>
      </c>
    </row>
    <row r="81" spans="1:107" x14ac:dyDescent="0.2">
      <c r="A81">
        <f>ROW(Source!A46)</f>
        <v>46</v>
      </c>
      <c r="B81">
        <v>16784195</v>
      </c>
      <c r="C81">
        <v>16784333</v>
      </c>
      <c r="D81">
        <v>15203461</v>
      </c>
      <c r="E81">
        <v>1</v>
      </c>
      <c r="F81">
        <v>1</v>
      </c>
      <c r="G81">
        <v>1</v>
      </c>
      <c r="H81">
        <v>3</v>
      </c>
      <c r="I81" t="s">
        <v>576</v>
      </c>
      <c r="J81" t="s">
        <v>577</v>
      </c>
      <c r="K81" t="s">
        <v>578</v>
      </c>
      <c r="L81">
        <v>1348</v>
      </c>
      <c r="N81">
        <v>1009</v>
      </c>
      <c r="O81" t="s">
        <v>65</v>
      </c>
      <c r="P81" t="s">
        <v>65</v>
      </c>
      <c r="Q81">
        <v>1000</v>
      </c>
      <c r="W81">
        <v>0</v>
      </c>
      <c r="X81">
        <v>-1655298345</v>
      </c>
      <c r="Y81">
        <v>0</v>
      </c>
      <c r="AA81">
        <v>15620</v>
      </c>
      <c r="AB81">
        <v>0</v>
      </c>
      <c r="AC81">
        <v>0</v>
      </c>
      <c r="AD81">
        <v>0</v>
      </c>
      <c r="AE81">
        <v>15620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3.1E-4</v>
      </c>
      <c r="AU81" t="s">
        <v>81</v>
      </c>
      <c r="AV81">
        <v>0</v>
      </c>
      <c r="AW81">
        <v>2</v>
      </c>
      <c r="AX81">
        <v>16784369</v>
      </c>
      <c r="AY81">
        <v>1</v>
      </c>
      <c r="AZ81">
        <v>0</v>
      </c>
      <c r="BA81">
        <v>82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Y81*Source!I46</f>
        <v>0</v>
      </c>
      <c r="CY81">
        <f t="shared" si="12"/>
        <v>15620</v>
      </c>
      <c r="CZ81">
        <f t="shared" si="13"/>
        <v>15620</v>
      </c>
      <c r="DA81">
        <f t="shared" si="14"/>
        <v>1</v>
      </c>
      <c r="DB81">
        <f t="shared" si="15"/>
        <v>0</v>
      </c>
      <c r="DC81">
        <f t="shared" si="16"/>
        <v>0</v>
      </c>
    </row>
    <row r="82" spans="1:107" x14ac:dyDescent="0.2">
      <c r="A82">
        <f>ROW(Source!A46)</f>
        <v>46</v>
      </c>
      <c r="B82">
        <v>16784195</v>
      </c>
      <c r="C82">
        <v>16784333</v>
      </c>
      <c r="D82">
        <v>15204663</v>
      </c>
      <c r="E82">
        <v>1</v>
      </c>
      <c r="F82">
        <v>1</v>
      </c>
      <c r="G82">
        <v>1</v>
      </c>
      <c r="H82">
        <v>3</v>
      </c>
      <c r="I82" t="s">
        <v>579</v>
      </c>
      <c r="J82" t="s">
        <v>580</v>
      </c>
      <c r="K82" t="s">
        <v>581</v>
      </c>
      <c r="L82">
        <v>1348</v>
      </c>
      <c r="N82">
        <v>1009</v>
      </c>
      <c r="O82" t="s">
        <v>65</v>
      </c>
      <c r="P82" t="s">
        <v>65</v>
      </c>
      <c r="Q82">
        <v>1000</v>
      </c>
      <c r="W82">
        <v>0</v>
      </c>
      <c r="X82">
        <v>-639604785</v>
      </c>
      <c r="Y82">
        <v>0</v>
      </c>
      <c r="AA82">
        <v>9420</v>
      </c>
      <c r="AB82">
        <v>0</v>
      </c>
      <c r="AC82">
        <v>0</v>
      </c>
      <c r="AD82">
        <v>0</v>
      </c>
      <c r="AE82">
        <v>9420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5.9999999999999995E-4</v>
      </c>
      <c r="AU82" t="s">
        <v>81</v>
      </c>
      <c r="AV82">
        <v>0</v>
      </c>
      <c r="AW82">
        <v>2</v>
      </c>
      <c r="AX82">
        <v>16784370</v>
      </c>
      <c r="AY82">
        <v>1</v>
      </c>
      <c r="AZ82">
        <v>0</v>
      </c>
      <c r="BA82">
        <v>83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Y82*Source!I46</f>
        <v>0</v>
      </c>
      <c r="CY82">
        <f t="shared" si="12"/>
        <v>9420</v>
      </c>
      <c r="CZ82">
        <f t="shared" si="13"/>
        <v>9420</v>
      </c>
      <c r="DA82">
        <f t="shared" si="14"/>
        <v>1</v>
      </c>
      <c r="DB82">
        <f t="shared" si="15"/>
        <v>0</v>
      </c>
      <c r="DC82">
        <f t="shared" si="16"/>
        <v>0</v>
      </c>
    </row>
    <row r="83" spans="1:107" x14ac:dyDescent="0.2">
      <c r="A83">
        <f>ROW(Source!A47)</f>
        <v>47</v>
      </c>
      <c r="B83">
        <v>16784196</v>
      </c>
      <c r="C83">
        <v>16784333</v>
      </c>
      <c r="D83">
        <v>15430767</v>
      </c>
      <c r="E83">
        <v>1</v>
      </c>
      <c r="F83">
        <v>1</v>
      </c>
      <c r="G83">
        <v>1</v>
      </c>
      <c r="H83">
        <v>1</v>
      </c>
      <c r="I83" t="s">
        <v>527</v>
      </c>
      <c r="J83" t="s">
        <v>6</v>
      </c>
      <c r="K83" t="s">
        <v>528</v>
      </c>
      <c r="L83">
        <v>1191</v>
      </c>
      <c r="N83">
        <v>1013</v>
      </c>
      <c r="O83" t="s">
        <v>495</v>
      </c>
      <c r="P83" t="s">
        <v>495</v>
      </c>
      <c r="Q83">
        <v>1</v>
      </c>
      <c r="W83">
        <v>0</v>
      </c>
      <c r="X83">
        <v>-400197608</v>
      </c>
      <c r="Y83">
        <v>35.552999999999997</v>
      </c>
      <c r="AA83">
        <v>0</v>
      </c>
      <c r="AB83">
        <v>0</v>
      </c>
      <c r="AC83">
        <v>0</v>
      </c>
      <c r="AD83">
        <v>52.12</v>
      </c>
      <c r="AE83">
        <v>0</v>
      </c>
      <c r="AF83">
        <v>0</v>
      </c>
      <c r="AG83">
        <v>0</v>
      </c>
      <c r="AH83">
        <v>8.5299999999999994</v>
      </c>
      <c r="AI83">
        <v>1</v>
      </c>
      <c r="AJ83">
        <v>1</v>
      </c>
      <c r="AK83">
        <v>1</v>
      </c>
      <c r="AL83">
        <v>6.11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50.79</v>
      </c>
      <c r="AU83" t="s">
        <v>82</v>
      </c>
      <c r="AV83">
        <v>1</v>
      </c>
      <c r="AW83">
        <v>2</v>
      </c>
      <c r="AX83">
        <v>16784352</v>
      </c>
      <c r="AY83">
        <v>1</v>
      </c>
      <c r="AZ83">
        <v>0</v>
      </c>
      <c r="BA83">
        <v>84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Y83*Source!I47</f>
        <v>0.88882499999999998</v>
      </c>
      <c r="CY83">
        <f>AD83</f>
        <v>52.12</v>
      </c>
      <c r="CZ83">
        <f>AH83</f>
        <v>8.5299999999999994</v>
      </c>
      <c r="DA83">
        <f>AL83</f>
        <v>6.11</v>
      </c>
      <c r="DB83">
        <f>ROUND((ROUND(AT83*CZ83,2)*0.7),2)</f>
        <v>303.27</v>
      </c>
      <c r="DC83">
        <f>ROUND((ROUND(AT83*AG83,2)*0.7),2)</f>
        <v>0</v>
      </c>
    </row>
    <row r="84" spans="1:107" x14ac:dyDescent="0.2">
      <c r="A84">
        <f>ROW(Source!A47)</f>
        <v>47</v>
      </c>
      <c r="B84">
        <v>16784196</v>
      </c>
      <c r="C84">
        <v>16784333</v>
      </c>
      <c r="D84">
        <v>15430395</v>
      </c>
      <c r="E84">
        <v>1</v>
      </c>
      <c r="F84">
        <v>1</v>
      </c>
      <c r="G84">
        <v>1</v>
      </c>
      <c r="H84">
        <v>1</v>
      </c>
      <c r="I84" t="s">
        <v>496</v>
      </c>
      <c r="J84" t="s">
        <v>6</v>
      </c>
      <c r="K84" t="s">
        <v>497</v>
      </c>
      <c r="L84">
        <v>1191</v>
      </c>
      <c r="N84">
        <v>1013</v>
      </c>
      <c r="O84" t="s">
        <v>495</v>
      </c>
      <c r="P84" t="s">
        <v>495</v>
      </c>
      <c r="Q84">
        <v>1</v>
      </c>
      <c r="W84">
        <v>0</v>
      </c>
      <c r="X84">
        <v>-1417349443</v>
      </c>
      <c r="Y84">
        <v>0.31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6.11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6</v>
      </c>
      <c r="AT84">
        <v>0.31</v>
      </c>
      <c r="AU84" t="s">
        <v>6</v>
      </c>
      <c r="AV84">
        <v>2</v>
      </c>
      <c r="AW84">
        <v>2</v>
      </c>
      <c r="AX84">
        <v>16784353</v>
      </c>
      <c r="AY84">
        <v>1</v>
      </c>
      <c r="AZ84">
        <v>2048</v>
      </c>
      <c r="BA84">
        <v>85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Y84*Source!I47</f>
        <v>7.7499999999999999E-3</v>
      </c>
      <c r="CY84">
        <f>AD84</f>
        <v>0</v>
      </c>
      <c r="CZ84">
        <f>AH84</f>
        <v>0</v>
      </c>
      <c r="DA84">
        <f>AL84</f>
        <v>1</v>
      </c>
      <c r="DB84">
        <f>ROUND(ROUND(AT84*CZ84,2),2)</f>
        <v>0</v>
      </c>
      <c r="DC84">
        <f>ROUND(ROUND(AT84*AG84,2),2)</f>
        <v>0</v>
      </c>
    </row>
    <row r="85" spans="1:107" x14ac:dyDescent="0.2">
      <c r="A85">
        <f>ROW(Source!A47)</f>
        <v>47</v>
      </c>
      <c r="B85">
        <v>16784196</v>
      </c>
      <c r="C85">
        <v>16784333</v>
      </c>
      <c r="D85">
        <v>15247680</v>
      </c>
      <c r="E85">
        <v>1</v>
      </c>
      <c r="F85">
        <v>1</v>
      </c>
      <c r="G85">
        <v>1</v>
      </c>
      <c r="H85">
        <v>2</v>
      </c>
      <c r="I85" t="s">
        <v>537</v>
      </c>
      <c r="J85" t="s">
        <v>538</v>
      </c>
      <c r="K85" t="s">
        <v>539</v>
      </c>
      <c r="L85">
        <v>1368</v>
      </c>
      <c r="N85">
        <v>1011</v>
      </c>
      <c r="O85" t="s">
        <v>501</v>
      </c>
      <c r="P85" t="s">
        <v>501</v>
      </c>
      <c r="Q85">
        <v>1</v>
      </c>
      <c r="W85">
        <v>0</v>
      </c>
      <c r="X85">
        <v>-1718674368</v>
      </c>
      <c r="Y85">
        <v>8.3999999999999991E-2</v>
      </c>
      <c r="AA85">
        <v>0</v>
      </c>
      <c r="AB85">
        <v>684.26</v>
      </c>
      <c r="AC85">
        <v>13.5</v>
      </c>
      <c r="AD85">
        <v>0</v>
      </c>
      <c r="AE85">
        <v>0</v>
      </c>
      <c r="AF85">
        <v>111.99</v>
      </c>
      <c r="AG85">
        <v>13.5</v>
      </c>
      <c r="AH85">
        <v>0</v>
      </c>
      <c r="AI85">
        <v>1</v>
      </c>
      <c r="AJ85">
        <v>6.11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0.12</v>
      </c>
      <c r="AU85" t="s">
        <v>82</v>
      </c>
      <c r="AV85">
        <v>0</v>
      </c>
      <c r="AW85">
        <v>2</v>
      </c>
      <c r="AX85">
        <v>16784354</v>
      </c>
      <c r="AY85">
        <v>1</v>
      </c>
      <c r="AZ85">
        <v>0</v>
      </c>
      <c r="BA85">
        <v>86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Y85*Source!I47</f>
        <v>2.0999999999999999E-3</v>
      </c>
      <c r="CY85">
        <f>AB85</f>
        <v>684.26</v>
      </c>
      <c r="CZ85">
        <f>AF85</f>
        <v>111.99</v>
      </c>
      <c r="DA85">
        <f>AJ85</f>
        <v>6.11</v>
      </c>
      <c r="DB85">
        <f>ROUND((ROUND(AT85*CZ85,2)*0.7),2)</f>
        <v>9.41</v>
      </c>
      <c r="DC85">
        <f>ROUND((ROUND(AT85*AG85,2)*0.7),2)</f>
        <v>1.1299999999999999</v>
      </c>
    </row>
    <row r="86" spans="1:107" x14ac:dyDescent="0.2">
      <c r="A86">
        <f>ROW(Source!A47)</f>
        <v>47</v>
      </c>
      <c r="B86">
        <v>16784196</v>
      </c>
      <c r="C86">
        <v>16784333</v>
      </c>
      <c r="D86">
        <v>15247880</v>
      </c>
      <c r="E86">
        <v>1</v>
      </c>
      <c r="F86">
        <v>1</v>
      </c>
      <c r="G86">
        <v>1</v>
      </c>
      <c r="H86">
        <v>2</v>
      </c>
      <c r="I86" t="s">
        <v>540</v>
      </c>
      <c r="J86" t="s">
        <v>541</v>
      </c>
      <c r="K86" t="s">
        <v>542</v>
      </c>
      <c r="L86">
        <v>1368</v>
      </c>
      <c r="N86">
        <v>1011</v>
      </c>
      <c r="O86" t="s">
        <v>501</v>
      </c>
      <c r="P86" t="s">
        <v>501</v>
      </c>
      <c r="Q86">
        <v>1</v>
      </c>
      <c r="W86">
        <v>0</v>
      </c>
      <c r="X86">
        <v>1544661785</v>
      </c>
      <c r="Y86">
        <v>7.3709999999999987</v>
      </c>
      <c r="AA86">
        <v>0</v>
      </c>
      <c r="AB86">
        <v>42.16</v>
      </c>
      <c r="AC86">
        <v>0</v>
      </c>
      <c r="AD86">
        <v>0</v>
      </c>
      <c r="AE86">
        <v>0</v>
      </c>
      <c r="AF86">
        <v>6.9</v>
      </c>
      <c r="AG86">
        <v>0</v>
      </c>
      <c r="AH86">
        <v>0</v>
      </c>
      <c r="AI86">
        <v>1</v>
      </c>
      <c r="AJ86">
        <v>6.11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10.53</v>
      </c>
      <c r="AU86" t="s">
        <v>82</v>
      </c>
      <c r="AV86">
        <v>0</v>
      </c>
      <c r="AW86">
        <v>2</v>
      </c>
      <c r="AX86">
        <v>16784355</v>
      </c>
      <c r="AY86">
        <v>1</v>
      </c>
      <c r="AZ86">
        <v>0</v>
      </c>
      <c r="BA86">
        <v>87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Y86*Source!I47</f>
        <v>0.18427499999999997</v>
      </c>
      <c r="CY86">
        <f>AB86</f>
        <v>42.16</v>
      </c>
      <c r="CZ86">
        <f>AF86</f>
        <v>6.9</v>
      </c>
      <c r="DA86">
        <f>AJ86</f>
        <v>6.11</v>
      </c>
      <c r="DB86">
        <f>ROUND((ROUND(AT86*CZ86,2)*0.7),2)</f>
        <v>50.86</v>
      </c>
      <c r="DC86">
        <f>ROUND((ROUND(AT86*AG86,2)*0.7),2)</f>
        <v>0</v>
      </c>
    </row>
    <row r="87" spans="1:107" x14ac:dyDescent="0.2">
      <c r="A87">
        <f>ROW(Source!A47)</f>
        <v>47</v>
      </c>
      <c r="B87">
        <v>16784196</v>
      </c>
      <c r="C87">
        <v>16784333</v>
      </c>
      <c r="D87">
        <v>15249073</v>
      </c>
      <c r="E87">
        <v>1</v>
      </c>
      <c r="F87">
        <v>1</v>
      </c>
      <c r="G87">
        <v>1</v>
      </c>
      <c r="H87">
        <v>2</v>
      </c>
      <c r="I87" t="s">
        <v>504</v>
      </c>
      <c r="J87" t="s">
        <v>505</v>
      </c>
      <c r="K87" t="s">
        <v>506</v>
      </c>
      <c r="L87">
        <v>1368</v>
      </c>
      <c r="N87">
        <v>1011</v>
      </c>
      <c r="O87" t="s">
        <v>501</v>
      </c>
      <c r="P87" t="s">
        <v>501</v>
      </c>
      <c r="Q87">
        <v>1</v>
      </c>
      <c r="W87">
        <v>0</v>
      </c>
      <c r="X87">
        <v>1372534845</v>
      </c>
      <c r="Y87">
        <v>0.13299999999999998</v>
      </c>
      <c r="AA87">
        <v>0</v>
      </c>
      <c r="AB87">
        <v>401.49</v>
      </c>
      <c r="AC87">
        <v>11.6</v>
      </c>
      <c r="AD87">
        <v>0</v>
      </c>
      <c r="AE87">
        <v>0</v>
      </c>
      <c r="AF87">
        <v>65.709999999999994</v>
      </c>
      <c r="AG87">
        <v>11.6</v>
      </c>
      <c r="AH87">
        <v>0</v>
      </c>
      <c r="AI87">
        <v>1</v>
      </c>
      <c r="AJ87">
        <v>6.11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0.19</v>
      </c>
      <c r="AU87" t="s">
        <v>82</v>
      </c>
      <c r="AV87">
        <v>0</v>
      </c>
      <c r="AW87">
        <v>2</v>
      </c>
      <c r="AX87">
        <v>16784356</v>
      </c>
      <c r="AY87">
        <v>1</v>
      </c>
      <c r="AZ87">
        <v>0</v>
      </c>
      <c r="BA87">
        <v>88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Y87*Source!I47</f>
        <v>3.3249999999999998E-3</v>
      </c>
      <c r="CY87">
        <f>AB87</f>
        <v>401.49</v>
      </c>
      <c r="CZ87">
        <f>AF87</f>
        <v>65.709999999999994</v>
      </c>
      <c r="DA87">
        <f>AJ87</f>
        <v>6.11</v>
      </c>
      <c r="DB87">
        <f>ROUND((ROUND(AT87*CZ87,2)*0.7),2)</f>
        <v>8.74</v>
      </c>
      <c r="DC87">
        <f>ROUND((ROUND(AT87*AG87,2)*0.7),2)</f>
        <v>1.54</v>
      </c>
    </row>
    <row r="88" spans="1:107" x14ac:dyDescent="0.2">
      <c r="A88">
        <f>ROW(Source!A47)</f>
        <v>47</v>
      </c>
      <c r="B88">
        <v>16784196</v>
      </c>
      <c r="C88">
        <v>16784333</v>
      </c>
      <c r="D88">
        <v>15249308</v>
      </c>
      <c r="E88">
        <v>1</v>
      </c>
      <c r="F88">
        <v>1</v>
      </c>
      <c r="G88">
        <v>1</v>
      </c>
      <c r="H88">
        <v>2</v>
      </c>
      <c r="I88" t="s">
        <v>543</v>
      </c>
      <c r="J88" t="s">
        <v>544</v>
      </c>
      <c r="K88" t="s">
        <v>545</v>
      </c>
      <c r="L88">
        <v>1368</v>
      </c>
      <c r="N88">
        <v>1011</v>
      </c>
      <c r="O88" t="s">
        <v>501</v>
      </c>
      <c r="P88" t="s">
        <v>501</v>
      </c>
      <c r="Q88">
        <v>1</v>
      </c>
      <c r="W88">
        <v>0</v>
      </c>
      <c r="X88">
        <v>792402865</v>
      </c>
      <c r="Y88">
        <v>1.302</v>
      </c>
      <c r="AA88">
        <v>0</v>
      </c>
      <c r="AB88">
        <v>7.33</v>
      </c>
      <c r="AC88">
        <v>0</v>
      </c>
      <c r="AD88">
        <v>0</v>
      </c>
      <c r="AE88">
        <v>0</v>
      </c>
      <c r="AF88">
        <v>1.2</v>
      </c>
      <c r="AG88">
        <v>0</v>
      </c>
      <c r="AH88">
        <v>0</v>
      </c>
      <c r="AI88">
        <v>1</v>
      </c>
      <c r="AJ88">
        <v>6.11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6</v>
      </c>
      <c r="AT88">
        <v>1.86</v>
      </c>
      <c r="AU88" t="s">
        <v>82</v>
      </c>
      <c r="AV88">
        <v>0</v>
      </c>
      <c r="AW88">
        <v>2</v>
      </c>
      <c r="AX88">
        <v>16784357</v>
      </c>
      <c r="AY88">
        <v>1</v>
      </c>
      <c r="AZ88">
        <v>0</v>
      </c>
      <c r="BA88">
        <v>89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Y88*Source!I47</f>
        <v>3.2550000000000003E-2</v>
      </c>
      <c r="CY88">
        <f>AB88</f>
        <v>7.33</v>
      </c>
      <c r="CZ88">
        <f>AF88</f>
        <v>1.2</v>
      </c>
      <c r="DA88">
        <f>AJ88</f>
        <v>6.11</v>
      </c>
      <c r="DB88">
        <f>ROUND((ROUND(AT88*CZ88,2)*0.7),2)</f>
        <v>1.56</v>
      </c>
      <c r="DC88">
        <f>ROUND((ROUND(AT88*AG88,2)*0.7),2)</f>
        <v>0</v>
      </c>
    </row>
    <row r="89" spans="1:107" x14ac:dyDescent="0.2">
      <c r="A89">
        <f>ROW(Source!A47)</f>
        <v>47</v>
      </c>
      <c r="B89">
        <v>16784196</v>
      </c>
      <c r="C89">
        <v>16784333</v>
      </c>
      <c r="D89">
        <v>15249355</v>
      </c>
      <c r="E89">
        <v>1</v>
      </c>
      <c r="F89">
        <v>1</v>
      </c>
      <c r="G89">
        <v>1</v>
      </c>
      <c r="H89">
        <v>2</v>
      </c>
      <c r="I89" t="s">
        <v>546</v>
      </c>
      <c r="J89" t="s">
        <v>547</v>
      </c>
      <c r="K89" t="s">
        <v>548</v>
      </c>
      <c r="L89">
        <v>1368</v>
      </c>
      <c r="N89">
        <v>1011</v>
      </c>
      <c r="O89" t="s">
        <v>501</v>
      </c>
      <c r="P89" t="s">
        <v>501</v>
      </c>
      <c r="Q89">
        <v>1</v>
      </c>
      <c r="W89">
        <v>0</v>
      </c>
      <c r="X89">
        <v>1323835807</v>
      </c>
      <c r="Y89">
        <v>1.4209999999999998</v>
      </c>
      <c r="AA89">
        <v>0</v>
      </c>
      <c r="AB89">
        <v>75.209999999999994</v>
      </c>
      <c r="AC89">
        <v>0</v>
      </c>
      <c r="AD89">
        <v>0</v>
      </c>
      <c r="AE89">
        <v>0</v>
      </c>
      <c r="AF89">
        <v>12.31</v>
      </c>
      <c r="AG89">
        <v>0</v>
      </c>
      <c r="AH89">
        <v>0</v>
      </c>
      <c r="AI89">
        <v>1</v>
      </c>
      <c r="AJ89">
        <v>6.11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2.0299999999999998</v>
      </c>
      <c r="AU89" t="s">
        <v>82</v>
      </c>
      <c r="AV89">
        <v>0</v>
      </c>
      <c r="AW89">
        <v>2</v>
      </c>
      <c r="AX89">
        <v>16784358</v>
      </c>
      <c r="AY89">
        <v>1</v>
      </c>
      <c r="AZ89">
        <v>0</v>
      </c>
      <c r="BA89">
        <v>90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Y89*Source!I47</f>
        <v>3.5524999999999994E-2</v>
      </c>
      <c r="CY89">
        <f>AB89</f>
        <v>75.209999999999994</v>
      </c>
      <c r="CZ89">
        <f>AF89</f>
        <v>12.31</v>
      </c>
      <c r="DA89">
        <f>AJ89</f>
        <v>6.11</v>
      </c>
      <c r="DB89">
        <f>ROUND((ROUND(AT89*CZ89,2)*0.7),2)</f>
        <v>17.489999999999998</v>
      </c>
      <c r="DC89">
        <f>ROUND((ROUND(AT89*AG89,2)*0.7),2)</f>
        <v>0</v>
      </c>
    </row>
    <row r="90" spans="1:107" x14ac:dyDescent="0.2">
      <c r="A90">
        <f>ROW(Source!A47)</f>
        <v>47</v>
      </c>
      <c r="B90">
        <v>16784196</v>
      </c>
      <c r="C90">
        <v>16784333</v>
      </c>
      <c r="D90">
        <v>15165653</v>
      </c>
      <c r="E90">
        <v>1</v>
      </c>
      <c r="F90">
        <v>1</v>
      </c>
      <c r="G90">
        <v>1</v>
      </c>
      <c r="H90">
        <v>3</v>
      </c>
      <c r="I90" t="s">
        <v>549</v>
      </c>
      <c r="J90" t="s">
        <v>550</v>
      </c>
      <c r="K90" t="s">
        <v>551</v>
      </c>
      <c r="L90">
        <v>1339</v>
      </c>
      <c r="N90">
        <v>1007</v>
      </c>
      <c r="O90" t="s">
        <v>128</v>
      </c>
      <c r="P90" t="s">
        <v>128</v>
      </c>
      <c r="Q90">
        <v>1</v>
      </c>
      <c r="W90">
        <v>0</v>
      </c>
      <c r="X90">
        <v>1262771840</v>
      </c>
      <c r="Y90">
        <v>0</v>
      </c>
      <c r="AA90">
        <v>38</v>
      </c>
      <c r="AB90">
        <v>0</v>
      </c>
      <c r="AC90">
        <v>0</v>
      </c>
      <c r="AD90">
        <v>0</v>
      </c>
      <c r="AE90">
        <v>6.22</v>
      </c>
      <c r="AF90">
        <v>0</v>
      </c>
      <c r="AG90">
        <v>0</v>
      </c>
      <c r="AH90">
        <v>0</v>
      </c>
      <c r="AI90">
        <v>6.11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1.5</v>
      </c>
      <c r="AU90" t="s">
        <v>81</v>
      </c>
      <c r="AV90">
        <v>0</v>
      </c>
      <c r="AW90">
        <v>2</v>
      </c>
      <c r="AX90">
        <v>16784359</v>
      </c>
      <c r="AY90">
        <v>1</v>
      </c>
      <c r="AZ90">
        <v>0</v>
      </c>
      <c r="BA90">
        <v>91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Y90*Source!I47</f>
        <v>0</v>
      </c>
      <c r="CY90">
        <f t="shared" ref="CY90:CY100" si="17">AA90</f>
        <v>38</v>
      </c>
      <c r="CZ90">
        <f t="shared" ref="CZ90:CZ100" si="18">AE90</f>
        <v>6.22</v>
      </c>
      <c r="DA90">
        <f t="shared" ref="DA90:DA100" si="19">AI90</f>
        <v>6.11</v>
      </c>
      <c r="DB90">
        <f t="shared" ref="DB90:DB100" si="20">ROUND((ROUND(AT90*CZ90,2)*0),2)</f>
        <v>0</v>
      </c>
      <c r="DC90">
        <f t="shared" ref="DC90:DC100" si="21">ROUND((ROUND(AT90*AG90,2)*0),2)</f>
        <v>0</v>
      </c>
    </row>
    <row r="91" spans="1:107" x14ac:dyDescent="0.2">
      <c r="A91">
        <f>ROW(Source!A47)</f>
        <v>47</v>
      </c>
      <c r="B91">
        <v>16784196</v>
      </c>
      <c r="C91">
        <v>16784333</v>
      </c>
      <c r="D91">
        <v>15165660</v>
      </c>
      <c r="E91">
        <v>1</v>
      </c>
      <c r="F91">
        <v>1</v>
      </c>
      <c r="G91">
        <v>1</v>
      </c>
      <c r="H91">
        <v>3</v>
      </c>
      <c r="I91" t="s">
        <v>552</v>
      </c>
      <c r="J91" t="s">
        <v>553</v>
      </c>
      <c r="K91" t="s">
        <v>554</v>
      </c>
      <c r="L91">
        <v>1346</v>
      </c>
      <c r="N91">
        <v>1009</v>
      </c>
      <c r="O91" t="s">
        <v>60</v>
      </c>
      <c r="P91" t="s">
        <v>60</v>
      </c>
      <c r="Q91">
        <v>1</v>
      </c>
      <c r="W91">
        <v>0</v>
      </c>
      <c r="X91">
        <v>1721895514</v>
      </c>
      <c r="Y91">
        <v>0</v>
      </c>
      <c r="AA91">
        <v>37.21</v>
      </c>
      <c r="AB91">
        <v>0</v>
      </c>
      <c r="AC91">
        <v>0</v>
      </c>
      <c r="AD91">
        <v>0</v>
      </c>
      <c r="AE91">
        <v>6.09</v>
      </c>
      <c r="AF91">
        <v>0</v>
      </c>
      <c r="AG91">
        <v>0</v>
      </c>
      <c r="AH91">
        <v>0</v>
      </c>
      <c r="AI91">
        <v>6.11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1</v>
      </c>
      <c r="AQ91">
        <v>0</v>
      </c>
      <c r="AR91">
        <v>0</v>
      </c>
      <c r="AS91" t="s">
        <v>6</v>
      </c>
      <c r="AT91">
        <v>0.45</v>
      </c>
      <c r="AU91" t="s">
        <v>81</v>
      </c>
      <c r="AV91">
        <v>0</v>
      </c>
      <c r="AW91">
        <v>2</v>
      </c>
      <c r="AX91">
        <v>16784360</v>
      </c>
      <c r="AY91">
        <v>1</v>
      </c>
      <c r="AZ91">
        <v>0</v>
      </c>
      <c r="BA91">
        <v>92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Y91*Source!I47</f>
        <v>0</v>
      </c>
      <c r="CY91">
        <f t="shared" si="17"/>
        <v>37.21</v>
      </c>
      <c r="CZ91">
        <f t="shared" si="18"/>
        <v>6.09</v>
      </c>
      <c r="DA91">
        <f t="shared" si="19"/>
        <v>6.11</v>
      </c>
      <c r="DB91">
        <f t="shared" si="20"/>
        <v>0</v>
      </c>
      <c r="DC91">
        <f t="shared" si="21"/>
        <v>0</v>
      </c>
    </row>
    <row r="92" spans="1:107" x14ac:dyDescent="0.2">
      <c r="A92">
        <f>ROW(Source!A47)</f>
        <v>47</v>
      </c>
      <c r="B92">
        <v>16784196</v>
      </c>
      <c r="C92">
        <v>16784333</v>
      </c>
      <c r="D92">
        <v>15168753</v>
      </c>
      <c r="E92">
        <v>1</v>
      </c>
      <c r="F92">
        <v>1</v>
      </c>
      <c r="G92">
        <v>1</v>
      </c>
      <c r="H92">
        <v>3</v>
      </c>
      <c r="I92" t="s">
        <v>555</v>
      </c>
      <c r="J92" t="s">
        <v>556</v>
      </c>
      <c r="K92" t="s">
        <v>557</v>
      </c>
      <c r="L92">
        <v>1348</v>
      </c>
      <c r="N92">
        <v>1009</v>
      </c>
      <c r="O92" t="s">
        <v>65</v>
      </c>
      <c r="P92" t="s">
        <v>65</v>
      </c>
      <c r="Q92">
        <v>1000</v>
      </c>
      <c r="W92">
        <v>0</v>
      </c>
      <c r="X92">
        <v>1225357214</v>
      </c>
      <c r="Y92">
        <v>0</v>
      </c>
      <c r="AA92">
        <v>65676.39</v>
      </c>
      <c r="AB92">
        <v>0</v>
      </c>
      <c r="AC92">
        <v>0</v>
      </c>
      <c r="AD92">
        <v>0</v>
      </c>
      <c r="AE92">
        <v>10749</v>
      </c>
      <c r="AF92">
        <v>0</v>
      </c>
      <c r="AG92">
        <v>0</v>
      </c>
      <c r="AH92">
        <v>0</v>
      </c>
      <c r="AI92">
        <v>6.11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6</v>
      </c>
      <c r="AT92">
        <v>1.4E-3</v>
      </c>
      <c r="AU92" t="s">
        <v>81</v>
      </c>
      <c r="AV92">
        <v>0</v>
      </c>
      <c r="AW92">
        <v>2</v>
      </c>
      <c r="AX92">
        <v>16784361</v>
      </c>
      <c r="AY92">
        <v>1</v>
      </c>
      <c r="AZ92">
        <v>0</v>
      </c>
      <c r="BA92">
        <v>93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Y92*Source!I47</f>
        <v>0</v>
      </c>
      <c r="CY92">
        <f t="shared" si="17"/>
        <v>65676.39</v>
      </c>
      <c r="CZ92">
        <f t="shared" si="18"/>
        <v>10749</v>
      </c>
      <c r="DA92">
        <f t="shared" si="19"/>
        <v>6.11</v>
      </c>
      <c r="DB92">
        <f t="shared" si="20"/>
        <v>0</v>
      </c>
      <c r="DC92">
        <f t="shared" si="21"/>
        <v>0</v>
      </c>
    </row>
    <row r="93" spans="1:107" x14ac:dyDescent="0.2">
      <c r="A93">
        <f>ROW(Source!A47)</f>
        <v>47</v>
      </c>
      <c r="B93">
        <v>16784196</v>
      </c>
      <c r="C93">
        <v>16784333</v>
      </c>
      <c r="D93">
        <v>15169941</v>
      </c>
      <c r="E93">
        <v>1</v>
      </c>
      <c r="F93">
        <v>1</v>
      </c>
      <c r="G93">
        <v>1</v>
      </c>
      <c r="H93">
        <v>3</v>
      </c>
      <c r="I93" t="s">
        <v>558</v>
      </c>
      <c r="J93" t="s">
        <v>559</v>
      </c>
      <c r="K93" t="s">
        <v>560</v>
      </c>
      <c r="L93">
        <v>1348</v>
      </c>
      <c r="N93">
        <v>1009</v>
      </c>
      <c r="O93" t="s">
        <v>65</v>
      </c>
      <c r="P93" t="s">
        <v>65</v>
      </c>
      <c r="Q93">
        <v>1000</v>
      </c>
      <c r="W93">
        <v>0</v>
      </c>
      <c r="X93">
        <v>-437906794</v>
      </c>
      <c r="Y93">
        <v>0</v>
      </c>
      <c r="AA93">
        <v>55234.46</v>
      </c>
      <c r="AB93">
        <v>0</v>
      </c>
      <c r="AC93">
        <v>0</v>
      </c>
      <c r="AD93">
        <v>0</v>
      </c>
      <c r="AE93">
        <v>9040.01</v>
      </c>
      <c r="AF93">
        <v>0</v>
      </c>
      <c r="AG93">
        <v>0</v>
      </c>
      <c r="AH93">
        <v>0</v>
      </c>
      <c r="AI93">
        <v>6.11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3.3E-3</v>
      </c>
      <c r="AU93" t="s">
        <v>81</v>
      </c>
      <c r="AV93">
        <v>0</v>
      </c>
      <c r="AW93">
        <v>2</v>
      </c>
      <c r="AX93">
        <v>16784362</v>
      </c>
      <c r="AY93">
        <v>1</v>
      </c>
      <c r="AZ93">
        <v>0</v>
      </c>
      <c r="BA93">
        <v>94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Y93*Source!I47</f>
        <v>0</v>
      </c>
      <c r="CY93">
        <f t="shared" si="17"/>
        <v>55234.46</v>
      </c>
      <c r="CZ93">
        <f t="shared" si="18"/>
        <v>9040.01</v>
      </c>
      <c r="DA93">
        <f t="shared" si="19"/>
        <v>6.11</v>
      </c>
      <c r="DB93">
        <f t="shared" si="20"/>
        <v>0</v>
      </c>
      <c r="DC93">
        <f t="shared" si="21"/>
        <v>0</v>
      </c>
    </row>
    <row r="94" spans="1:107" x14ac:dyDescent="0.2">
      <c r="A94">
        <f>ROW(Source!A47)</f>
        <v>47</v>
      </c>
      <c r="B94">
        <v>16784196</v>
      </c>
      <c r="C94">
        <v>16784333</v>
      </c>
      <c r="D94">
        <v>15170039</v>
      </c>
      <c r="E94">
        <v>1</v>
      </c>
      <c r="F94">
        <v>1</v>
      </c>
      <c r="G94">
        <v>1</v>
      </c>
      <c r="H94">
        <v>3</v>
      </c>
      <c r="I94" t="s">
        <v>561</v>
      </c>
      <c r="J94" t="s">
        <v>562</v>
      </c>
      <c r="K94" t="s">
        <v>563</v>
      </c>
      <c r="L94">
        <v>1348</v>
      </c>
      <c r="N94">
        <v>1009</v>
      </c>
      <c r="O94" t="s">
        <v>65</v>
      </c>
      <c r="P94" t="s">
        <v>65</v>
      </c>
      <c r="Q94">
        <v>1000</v>
      </c>
      <c r="W94">
        <v>0</v>
      </c>
      <c r="X94">
        <v>1174701286</v>
      </c>
      <c r="Y94">
        <v>0</v>
      </c>
      <c r="AA94">
        <v>73185.58</v>
      </c>
      <c r="AB94">
        <v>0</v>
      </c>
      <c r="AC94">
        <v>0</v>
      </c>
      <c r="AD94">
        <v>0</v>
      </c>
      <c r="AE94">
        <v>11978</v>
      </c>
      <c r="AF94">
        <v>0</v>
      </c>
      <c r="AG94">
        <v>0</v>
      </c>
      <c r="AH94">
        <v>0</v>
      </c>
      <c r="AI94">
        <v>6.11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6</v>
      </c>
      <c r="AT94">
        <v>1.0000000000000001E-5</v>
      </c>
      <c r="AU94" t="s">
        <v>81</v>
      </c>
      <c r="AV94">
        <v>0</v>
      </c>
      <c r="AW94">
        <v>2</v>
      </c>
      <c r="AX94">
        <v>16784363</v>
      </c>
      <c r="AY94">
        <v>1</v>
      </c>
      <c r="AZ94">
        <v>0</v>
      </c>
      <c r="BA94">
        <v>95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Y94*Source!I47</f>
        <v>0</v>
      </c>
      <c r="CY94">
        <f t="shared" si="17"/>
        <v>73185.58</v>
      </c>
      <c r="CZ94">
        <f t="shared" si="18"/>
        <v>11978</v>
      </c>
      <c r="DA94">
        <f t="shared" si="19"/>
        <v>6.11</v>
      </c>
      <c r="DB94">
        <f t="shared" si="20"/>
        <v>0</v>
      </c>
      <c r="DC94">
        <f t="shared" si="21"/>
        <v>0</v>
      </c>
    </row>
    <row r="95" spans="1:107" x14ac:dyDescent="0.2">
      <c r="A95">
        <f>ROW(Source!A47)</f>
        <v>47</v>
      </c>
      <c r="B95">
        <v>16784196</v>
      </c>
      <c r="C95">
        <v>16784333</v>
      </c>
      <c r="D95">
        <v>15171021</v>
      </c>
      <c r="E95">
        <v>1</v>
      </c>
      <c r="F95">
        <v>1</v>
      </c>
      <c r="G95">
        <v>1</v>
      </c>
      <c r="H95">
        <v>3</v>
      </c>
      <c r="I95" t="s">
        <v>564</v>
      </c>
      <c r="J95" t="s">
        <v>565</v>
      </c>
      <c r="K95" t="s">
        <v>566</v>
      </c>
      <c r="L95">
        <v>1348</v>
      </c>
      <c r="N95">
        <v>1009</v>
      </c>
      <c r="O95" t="s">
        <v>65</v>
      </c>
      <c r="P95" t="s">
        <v>65</v>
      </c>
      <c r="Q95">
        <v>1000</v>
      </c>
      <c r="W95">
        <v>0</v>
      </c>
      <c r="X95">
        <v>-2116243625</v>
      </c>
      <c r="Y95">
        <v>0</v>
      </c>
      <c r="AA95">
        <v>231569</v>
      </c>
      <c r="AB95">
        <v>0</v>
      </c>
      <c r="AC95">
        <v>0</v>
      </c>
      <c r="AD95">
        <v>0</v>
      </c>
      <c r="AE95">
        <v>37900</v>
      </c>
      <c r="AF95">
        <v>0</v>
      </c>
      <c r="AG95">
        <v>0</v>
      </c>
      <c r="AH95">
        <v>0</v>
      </c>
      <c r="AI95">
        <v>6.11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1E-4</v>
      </c>
      <c r="AU95" t="s">
        <v>81</v>
      </c>
      <c r="AV95">
        <v>0</v>
      </c>
      <c r="AW95">
        <v>2</v>
      </c>
      <c r="AX95">
        <v>16784364</v>
      </c>
      <c r="AY95">
        <v>1</v>
      </c>
      <c r="AZ95">
        <v>0</v>
      </c>
      <c r="BA95">
        <v>96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Y95*Source!I47</f>
        <v>0</v>
      </c>
      <c r="CY95">
        <f t="shared" si="17"/>
        <v>231569</v>
      </c>
      <c r="CZ95">
        <f t="shared" si="18"/>
        <v>37900</v>
      </c>
      <c r="DA95">
        <f t="shared" si="19"/>
        <v>6.11</v>
      </c>
      <c r="DB95">
        <f t="shared" si="20"/>
        <v>0</v>
      </c>
      <c r="DC95">
        <f t="shared" si="21"/>
        <v>0</v>
      </c>
    </row>
    <row r="96" spans="1:107" x14ac:dyDescent="0.2">
      <c r="A96">
        <f>ROW(Source!A47)</f>
        <v>47</v>
      </c>
      <c r="B96">
        <v>16784196</v>
      </c>
      <c r="C96">
        <v>16784333</v>
      </c>
      <c r="D96">
        <v>15190794</v>
      </c>
      <c r="E96">
        <v>1</v>
      </c>
      <c r="F96">
        <v>1</v>
      </c>
      <c r="G96">
        <v>1</v>
      </c>
      <c r="H96">
        <v>3</v>
      </c>
      <c r="I96" t="s">
        <v>567</v>
      </c>
      <c r="J96" t="s">
        <v>568</v>
      </c>
      <c r="K96" t="s">
        <v>569</v>
      </c>
      <c r="L96">
        <v>1302</v>
      </c>
      <c r="N96">
        <v>1003</v>
      </c>
      <c r="O96" t="s">
        <v>74</v>
      </c>
      <c r="P96" t="s">
        <v>74</v>
      </c>
      <c r="Q96">
        <v>10</v>
      </c>
      <c r="W96">
        <v>0</v>
      </c>
      <c r="X96">
        <v>-1640127157</v>
      </c>
      <c r="Y96">
        <v>0</v>
      </c>
      <c r="AA96">
        <v>306.97000000000003</v>
      </c>
      <c r="AB96">
        <v>0</v>
      </c>
      <c r="AC96">
        <v>0</v>
      </c>
      <c r="AD96">
        <v>0</v>
      </c>
      <c r="AE96">
        <v>50.24</v>
      </c>
      <c r="AF96">
        <v>0</v>
      </c>
      <c r="AG96">
        <v>0</v>
      </c>
      <c r="AH96">
        <v>0</v>
      </c>
      <c r="AI96">
        <v>6.11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6</v>
      </c>
      <c r="AT96">
        <v>1.8700000000000001E-2</v>
      </c>
      <c r="AU96" t="s">
        <v>81</v>
      </c>
      <c r="AV96">
        <v>0</v>
      </c>
      <c r="AW96">
        <v>2</v>
      </c>
      <c r="AX96">
        <v>16784366</v>
      </c>
      <c r="AY96">
        <v>1</v>
      </c>
      <c r="AZ96">
        <v>0</v>
      </c>
      <c r="BA96">
        <v>98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Y96*Source!I47</f>
        <v>0</v>
      </c>
      <c r="CY96">
        <f t="shared" si="17"/>
        <v>306.97000000000003</v>
      </c>
      <c r="CZ96">
        <f t="shared" si="18"/>
        <v>50.24</v>
      </c>
      <c r="DA96">
        <f t="shared" si="19"/>
        <v>6.11</v>
      </c>
      <c r="DB96">
        <f t="shared" si="20"/>
        <v>0</v>
      </c>
      <c r="DC96">
        <f t="shared" si="21"/>
        <v>0</v>
      </c>
    </row>
    <row r="97" spans="1:107" x14ac:dyDescent="0.2">
      <c r="A97">
        <f>ROW(Source!A47)</f>
        <v>47</v>
      </c>
      <c r="B97">
        <v>16784196</v>
      </c>
      <c r="C97">
        <v>16784333</v>
      </c>
      <c r="D97">
        <v>15191153</v>
      </c>
      <c r="E97">
        <v>1</v>
      </c>
      <c r="F97">
        <v>1</v>
      </c>
      <c r="G97">
        <v>1</v>
      </c>
      <c r="H97">
        <v>3</v>
      </c>
      <c r="I97" t="s">
        <v>570</v>
      </c>
      <c r="J97" t="s">
        <v>571</v>
      </c>
      <c r="K97" t="s">
        <v>572</v>
      </c>
      <c r="L97">
        <v>1348</v>
      </c>
      <c r="N97">
        <v>1009</v>
      </c>
      <c r="O97" t="s">
        <v>65</v>
      </c>
      <c r="P97" t="s">
        <v>65</v>
      </c>
      <c r="Q97">
        <v>1000</v>
      </c>
      <c r="W97">
        <v>0</v>
      </c>
      <c r="X97">
        <v>-1396314973</v>
      </c>
      <c r="Y97">
        <v>0</v>
      </c>
      <c r="AA97">
        <v>27221.27</v>
      </c>
      <c r="AB97">
        <v>0</v>
      </c>
      <c r="AC97">
        <v>0</v>
      </c>
      <c r="AD97">
        <v>0</v>
      </c>
      <c r="AE97">
        <v>4455.2</v>
      </c>
      <c r="AF97">
        <v>0</v>
      </c>
      <c r="AG97">
        <v>0</v>
      </c>
      <c r="AH97">
        <v>0</v>
      </c>
      <c r="AI97">
        <v>6.11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6</v>
      </c>
      <c r="AT97">
        <v>3.0000000000000001E-5</v>
      </c>
      <c r="AU97" t="s">
        <v>81</v>
      </c>
      <c r="AV97">
        <v>0</v>
      </c>
      <c r="AW97">
        <v>2</v>
      </c>
      <c r="AX97">
        <v>16784367</v>
      </c>
      <c r="AY97">
        <v>1</v>
      </c>
      <c r="AZ97">
        <v>0</v>
      </c>
      <c r="BA97">
        <v>99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Y97*Source!I47</f>
        <v>0</v>
      </c>
      <c r="CY97">
        <f t="shared" si="17"/>
        <v>27221.27</v>
      </c>
      <c r="CZ97">
        <f t="shared" si="18"/>
        <v>4455.2</v>
      </c>
      <c r="DA97">
        <f t="shared" si="19"/>
        <v>6.11</v>
      </c>
      <c r="DB97">
        <f t="shared" si="20"/>
        <v>0</v>
      </c>
      <c r="DC97">
        <f t="shared" si="21"/>
        <v>0</v>
      </c>
    </row>
    <row r="98" spans="1:107" x14ac:dyDescent="0.2">
      <c r="A98">
        <f>ROW(Source!A47)</f>
        <v>47</v>
      </c>
      <c r="B98">
        <v>16784196</v>
      </c>
      <c r="C98">
        <v>16784333</v>
      </c>
      <c r="D98">
        <v>15191913</v>
      </c>
      <c r="E98">
        <v>1</v>
      </c>
      <c r="F98">
        <v>1</v>
      </c>
      <c r="G98">
        <v>1</v>
      </c>
      <c r="H98">
        <v>3</v>
      </c>
      <c r="I98" t="s">
        <v>573</v>
      </c>
      <c r="J98" t="s">
        <v>574</v>
      </c>
      <c r="K98" t="s">
        <v>575</v>
      </c>
      <c r="L98">
        <v>1348</v>
      </c>
      <c r="N98">
        <v>1009</v>
      </c>
      <c r="O98" t="s">
        <v>65</v>
      </c>
      <c r="P98" t="s">
        <v>65</v>
      </c>
      <c r="Q98">
        <v>1000</v>
      </c>
      <c r="W98">
        <v>0</v>
      </c>
      <c r="X98">
        <v>900832145</v>
      </c>
      <c r="Y98">
        <v>0</v>
      </c>
      <c r="AA98">
        <v>30061.200000000001</v>
      </c>
      <c r="AB98">
        <v>0</v>
      </c>
      <c r="AC98">
        <v>0</v>
      </c>
      <c r="AD98">
        <v>0</v>
      </c>
      <c r="AE98">
        <v>4920</v>
      </c>
      <c r="AF98">
        <v>0</v>
      </c>
      <c r="AG98">
        <v>0</v>
      </c>
      <c r="AH98">
        <v>0</v>
      </c>
      <c r="AI98">
        <v>6.11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6</v>
      </c>
      <c r="AT98">
        <v>1.9400000000000001E-3</v>
      </c>
      <c r="AU98" t="s">
        <v>81</v>
      </c>
      <c r="AV98">
        <v>0</v>
      </c>
      <c r="AW98">
        <v>2</v>
      </c>
      <c r="AX98">
        <v>16784368</v>
      </c>
      <c r="AY98">
        <v>1</v>
      </c>
      <c r="AZ98">
        <v>0</v>
      </c>
      <c r="BA98">
        <v>100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Y98*Source!I47</f>
        <v>0</v>
      </c>
      <c r="CY98">
        <f t="shared" si="17"/>
        <v>30061.200000000001</v>
      </c>
      <c r="CZ98">
        <f t="shared" si="18"/>
        <v>4920</v>
      </c>
      <c r="DA98">
        <f t="shared" si="19"/>
        <v>6.11</v>
      </c>
      <c r="DB98">
        <f t="shared" si="20"/>
        <v>0</v>
      </c>
      <c r="DC98">
        <f t="shared" si="21"/>
        <v>0</v>
      </c>
    </row>
    <row r="99" spans="1:107" x14ac:dyDescent="0.2">
      <c r="A99">
        <f>ROW(Source!A47)</f>
        <v>47</v>
      </c>
      <c r="B99">
        <v>16784196</v>
      </c>
      <c r="C99">
        <v>16784333</v>
      </c>
      <c r="D99">
        <v>15203461</v>
      </c>
      <c r="E99">
        <v>1</v>
      </c>
      <c r="F99">
        <v>1</v>
      </c>
      <c r="G99">
        <v>1</v>
      </c>
      <c r="H99">
        <v>3</v>
      </c>
      <c r="I99" t="s">
        <v>576</v>
      </c>
      <c r="J99" t="s">
        <v>577</v>
      </c>
      <c r="K99" t="s">
        <v>578</v>
      </c>
      <c r="L99">
        <v>1348</v>
      </c>
      <c r="N99">
        <v>1009</v>
      </c>
      <c r="O99" t="s">
        <v>65</v>
      </c>
      <c r="P99" t="s">
        <v>65</v>
      </c>
      <c r="Q99">
        <v>1000</v>
      </c>
      <c r="W99">
        <v>0</v>
      </c>
      <c r="X99">
        <v>-1655298345</v>
      </c>
      <c r="Y99">
        <v>0</v>
      </c>
      <c r="AA99">
        <v>95438.2</v>
      </c>
      <c r="AB99">
        <v>0</v>
      </c>
      <c r="AC99">
        <v>0</v>
      </c>
      <c r="AD99">
        <v>0</v>
      </c>
      <c r="AE99">
        <v>15620</v>
      </c>
      <c r="AF99">
        <v>0</v>
      </c>
      <c r="AG99">
        <v>0</v>
      </c>
      <c r="AH99">
        <v>0</v>
      </c>
      <c r="AI99">
        <v>6.11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3.1E-4</v>
      </c>
      <c r="AU99" t="s">
        <v>81</v>
      </c>
      <c r="AV99">
        <v>0</v>
      </c>
      <c r="AW99">
        <v>2</v>
      </c>
      <c r="AX99">
        <v>16784369</v>
      </c>
      <c r="AY99">
        <v>1</v>
      </c>
      <c r="AZ99">
        <v>0</v>
      </c>
      <c r="BA99">
        <v>101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Y99*Source!I47</f>
        <v>0</v>
      </c>
      <c r="CY99">
        <f t="shared" si="17"/>
        <v>95438.2</v>
      </c>
      <c r="CZ99">
        <f t="shared" si="18"/>
        <v>15620</v>
      </c>
      <c r="DA99">
        <f t="shared" si="19"/>
        <v>6.11</v>
      </c>
      <c r="DB99">
        <f t="shared" si="20"/>
        <v>0</v>
      </c>
      <c r="DC99">
        <f t="shared" si="21"/>
        <v>0</v>
      </c>
    </row>
    <row r="100" spans="1:107" x14ac:dyDescent="0.2">
      <c r="A100">
        <f>ROW(Source!A47)</f>
        <v>47</v>
      </c>
      <c r="B100">
        <v>16784196</v>
      </c>
      <c r="C100">
        <v>16784333</v>
      </c>
      <c r="D100">
        <v>15204663</v>
      </c>
      <c r="E100">
        <v>1</v>
      </c>
      <c r="F100">
        <v>1</v>
      </c>
      <c r="G100">
        <v>1</v>
      </c>
      <c r="H100">
        <v>3</v>
      </c>
      <c r="I100" t="s">
        <v>579</v>
      </c>
      <c r="J100" t="s">
        <v>580</v>
      </c>
      <c r="K100" t="s">
        <v>581</v>
      </c>
      <c r="L100">
        <v>1348</v>
      </c>
      <c r="N100">
        <v>1009</v>
      </c>
      <c r="O100" t="s">
        <v>65</v>
      </c>
      <c r="P100" t="s">
        <v>65</v>
      </c>
      <c r="Q100">
        <v>1000</v>
      </c>
      <c r="W100">
        <v>0</v>
      </c>
      <c r="X100">
        <v>-639604785</v>
      </c>
      <c r="Y100">
        <v>0</v>
      </c>
      <c r="AA100">
        <v>57556.2</v>
      </c>
      <c r="AB100">
        <v>0</v>
      </c>
      <c r="AC100">
        <v>0</v>
      </c>
      <c r="AD100">
        <v>0</v>
      </c>
      <c r="AE100">
        <v>9420</v>
      </c>
      <c r="AF100">
        <v>0</v>
      </c>
      <c r="AG100">
        <v>0</v>
      </c>
      <c r="AH100">
        <v>0</v>
      </c>
      <c r="AI100">
        <v>6.11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6</v>
      </c>
      <c r="AT100">
        <v>5.9999999999999995E-4</v>
      </c>
      <c r="AU100" t="s">
        <v>81</v>
      </c>
      <c r="AV100">
        <v>0</v>
      </c>
      <c r="AW100">
        <v>2</v>
      </c>
      <c r="AX100">
        <v>16784370</v>
      </c>
      <c r="AY100">
        <v>1</v>
      </c>
      <c r="AZ100">
        <v>0</v>
      </c>
      <c r="BA100">
        <v>102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Y100*Source!I47</f>
        <v>0</v>
      </c>
      <c r="CY100">
        <f t="shared" si="17"/>
        <v>57556.2</v>
      </c>
      <c r="CZ100">
        <f t="shared" si="18"/>
        <v>9420</v>
      </c>
      <c r="DA100">
        <f t="shared" si="19"/>
        <v>6.11</v>
      </c>
      <c r="DB100">
        <f t="shared" si="20"/>
        <v>0</v>
      </c>
      <c r="DC100">
        <f t="shared" si="21"/>
        <v>0</v>
      </c>
    </row>
    <row r="101" spans="1:107" x14ac:dyDescent="0.2">
      <c r="A101">
        <f>ROW(Source!A48)</f>
        <v>48</v>
      </c>
      <c r="B101">
        <v>16784195</v>
      </c>
      <c r="C101">
        <v>16784371</v>
      </c>
      <c r="D101">
        <v>15430767</v>
      </c>
      <c r="E101">
        <v>1</v>
      </c>
      <c r="F101">
        <v>1</v>
      </c>
      <c r="G101">
        <v>1</v>
      </c>
      <c r="H101">
        <v>1</v>
      </c>
      <c r="I101" t="s">
        <v>527</v>
      </c>
      <c r="J101" t="s">
        <v>6</v>
      </c>
      <c r="K101" t="s">
        <v>528</v>
      </c>
      <c r="L101">
        <v>1191</v>
      </c>
      <c r="N101">
        <v>1013</v>
      </c>
      <c r="O101" t="s">
        <v>495</v>
      </c>
      <c r="P101" t="s">
        <v>495</v>
      </c>
      <c r="Q101">
        <v>1</v>
      </c>
      <c r="W101">
        <v>0</v>
      </c>
      <c r="X101">
        <v>-400197608</v>
      </c>
      <c r="Y101">
        <v>41.41</v>
      </c>
      <c r="AA101">
        <v>0</v>
      </c>
      <c r="AB101">
        <v>0</v>
      </c>
      <c r="AC101">
        <v>0</v>
      </c>
      <c r="AD101">
        <v>8.5299999999999994</v>
      </c>
      <c r="AE101">
        <v>0</v>
      </c>
      <c r="AF101">
        <v>0</v>
      </c>
      <c r="AG101">
        <v>0</v>
      </c>
      <c r="AH101">
        <v>8.5299999999999994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6</v>
      </c>
      <c r="AT101">
        <v>41.41</v>
      </c>
      <c r="AU101" t="s">
        <v>6</v>
      </c>
      <c r="AV101">
        <v>1</v>
      </c>
      <c r="AW101">
        <v>2</v>
      </c>
      <c r="AX101">
        <v>16784380</v>
      </c>
      <c r="AY101">
        <v>1</v>
      </c>
      <c r="AZ101">
        <v>0</v>
      </c>
      <c r="BA101">
        <v>103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Y101*Source!I48</f>
        <v>0.57973999999999992</v>
      </c>
      <c r="CY101">
        <f>AD101</f>
        <v>8.5299999999999994</v>
      </c>
      <c r="CZ101">
        <f>AH101</f>
        <v>8.5299999999999994</v>
      </c>
      <c r="DA101">
        <f>AL101</f>
        <v>1</v>
      </c>
      <c r="DB101">
        <f t="shared" ref="DB101:DB116" si="22">ROUND(ROUND(AT101*CZ101,2),2)</f>
        <v>353.23</v>
      </c>
      <c r="DC101">
        <f t="shared" ref="DC101:DC116" si="23">ROUND(ROUND(AT101*AG101,2),2)</f>
        <v>0</v>
      </c>
    </row>
    <row r="102" spans="1:107" x14ac:dyDescent="0.2">
      <c r="A102">
        <f>ROW(Source!A48)</f>
        <v>48</v>
      </c>
      <c r="B102">
        <v>16784195</v>
      </c>
      <c r="C102">
        <v>16784371</v>
      </c>
      <c r="D102">
        <v>15430395</v>
      </c>
      <c r="E102">
        <v>1</v>
      </c>
      <c r="F102">
        <v>1</v>
      </c>
      <c r="G102">
        <v>1</v>
      </c>
      <c r="H102">
        <v>1</v>
      </c>
      <c r="I102" t="s">
        <v>496</v>
      </c>
      <c r="J102" t="s">
        <v>6</v>
      </c>
      <c r="K102" t="s">
        <v>497</v>
      </c>
      <c r="L102">
        <v>1191</v>
      </c>
      <c r="N102">
        <v>1013</v>
      </c>
      <c r="O102" t="s">
        <v>495</v>
      </c>
      <c r="P102" t="s">
        <v>495</v>
      </c>
      <c r="Q102">
        <v>1</v>
      </c>
      <c r="W102">
        <v>0</v>
      </c>
      <c r="X102">
        <v>-1417349443</v>
      </c>
      <c r="Y102">
        <v>0.12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6</v>
      </c>
      <c r="AT102">
        <v>0.12</v>
      </c>
      <c r="AU102" t="s">
        <v>6</v>
      </c>
      <c r="AV102">
        <v>2</v>
      </c>
      <c r="AW102">
        <v>2</v>
      </c>
      <c r="AX102">
        <v>16784381</v>
      </c>
      <c r="AY102">
        <v>1</v>
      </c>
      <c r="AZ102">
        <v>0</v>
      </c>
      <c r="BA102">
        <v>104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Y102*Source!I48</f>
        <v>1.6800000000000001E-3</v>
      </c>
      <c r="CY102">
        <f>AD102</f>
        <v>0</v>
      </c>
      <c r="CZ102">
        <f>AH102</f>
        <v>0</v>
      </c>
      <c r="DA102">
        <f>AL102</f>
        <v>1</v>
      </c>
      <c r="DB102">
        <f t="shared" si="22"/>
        <v>0</v>
      </c>
      <c r="DC102">
        <f t="shared" si="23"/>
        <v>0</v>
      </c>
    </row>
    <row r="103" spans="1:107" x14ac:dyDescent="0.2">
      <c r="A103">
        <f>ROW(Source!A48)</f>
        <v>48</v>
      </c>
      <c r="B103">
        <v>16784195</v>
      </c>
      <c r="C103">
        <v>16784371</v>
      </c>
      <c r="D103">
        <v>15247974</v>
      </c>
      <c r="E103">
        <v>1</v>
      </c>
      <c r="F103">
        <v>1</v>
      </c>
      <c r="G103">
        <v>1</v>
      </c>
      <c r="H103">
        <v>2</v>
      </c>
      <c r="I103" t="s">
        <v>498</v>
      </c>
      <c r="J103" t="s">
        <v>499</v>
      </c>
      <c r="K103" t="s">
        <v>500</v>
      </c>
      <c r="L103">
        <v>1368</v>
      </c>
      <c r="N103">
        <v>1011</v>
      </c>
      <c r="O103" t="s">
        <v>501</v>
      </c>
      <c r="P103" t="s">
        <v>501</v>
      </c>
      <c r="Q103">
        <v>1</v>
      </c>
      <c r="W103">
        <v>0</v>
      </c>
      <c r="X103">
        <v>1188625873</v>
      </c>
      <c r="Y103">
        <v>0.08</v>
      </c>
      <c r="AA103">
        <v>0</v>
      </c>
      <c r="AB103">
        <v>31.26</v>
      </c>
      <c r="AC103">
        <v>13.5</v>
      </c>
      <c r="AD103">
        <v>0</v>
      </c>
      <c r="AE103">
        <v>0</v>
      </c>
      <c r="AF103">
        <v>31.26</v>
      </c>
      <c r="AG103">
        <v>13.5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6</v>
      </c>
      <c r="AT103">
        <v>0.08</v>
      </c>
      <c r="AU103" t="s">
        <v>6</v>
      </c>
      <c r="AV103">
        <v>0</v>
      </c>
      <c r="AW103">
        <v>2</v>
      </c>
      <c r="AX103">
        <v>16784382</v>
      </c>
      <c r="AY103">
        <v>1</v>
      </c>
      <c r="AZ103">
        <v>0</v>
      </c>
      <c r="BA103">
        <v>105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Y103*Source!I48</f>
        <v>1.1200000000000001E-3</v>
      </c>
      <c r="CY103">
        <f>AB103</f>
        <v>31.26</v>
      </c>
      <c r="CZ103">
        <f>AF103</f>
        <v>31.26</v>
      </c>
      <c r="DA103">
        <f>AJ103</f>
        <v>1</v>
      </c>
      <c r="DB103">
        <f t="shared" si="22"/>
        <v>2.5</v>
      </c>
      <c r="DC103">
        <f t="shared" si="23"/>
        <v>1.08</v>
      </c>
    </row>
    <row r="104" spans="1:107" x14ac:dyDescent="0.2">
      <c r="A104">
        <f>ROW(Source!A48)</f>
        <v>48</v>
      </c>
      <c r="B104">
        <v>16784195</v>
      </c>
      <c r="C104">
        <v>16784371</v>
      </c>
      <c r="D104">
        <v>15249073</v>
      </c>
      <c r="E104">
        <v>1</v>
      </c>
      <c r="F104">
        <v>1</v>
      </c>
      <c r="G104">
        <v>1</v>
      </c>
      <c r="H104">
        <v>2</v>
      </c>
      <c r="I104" t="s">
        <v>504</v>
      </c>
      <c r="J104" t="s">
        <v>505</v>
      </c>
      <c r="K104" t="s">
        <v>506</v>
      </c>
      <c r="L104">
        <v>1368</v>
      </c>
      <c r="N104">
        <v>1011</v>
      </c>
      <c r="O104" t="s">
        <v>501</v>
      </c>
      <c r="P104" t="s">
        <v>501</v>
      </c>
      <c r="Q104">
        <v>1</v>
      </c>
      <c r="W104">
        <v>0</v>
      </c>
      <c r="X104">
        <v>1372534845</v>
      </c>
      <c r="Y104">
        <v>0.04</v>
      </c>
      <c r="AA104">
        <v>0</v>
      </c>
      <c r="AB104">
        <v>65.709999999999994</v>
      </c>
      <c r="AC104">
        <v>11.6</v>
      </c>
      <c r="AD104">
        <v>0</v>
      </c>
      <c r="AE104">
        <v>0</v>
      </c>
      <c r="AF104">
        <v>65.709999999999994</v>
      </c>
      <c r="AG104">
        <v>11.6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6</v>
      </c>
      <c r="AT104">
        <v>0.04</v>
      </c>
      <c r="AU104" t="s">
        <v>6</v>
      </c>
      <c r="AV104">
        <v>0</v>
      </c>
      <c r="AW104">
        <v>2</v>
      </c>
      <c r="AX104">
        <v>16784383</v>
      </c>
      <c r="AY104">
        <v>1</v>
      </c>
      <c r="AZ104">
        <v>0</v>
      </c>
      <c r="BA104">
        <v>106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Y104*Source!I48</f>
        <v>5.6000000000000006E-4</v>
      </c>
      <c r="CY104">
        <f>AB104</f>
        <v>65.709999999999994</v>
      </c>
      <c r="CZ104">
        <f>AF104</f>
        <v>65.709999999999994</v>
      </c>
      <c r="DA104">
        <f>AJ104</f>
        <v>1</v>
      </c>
      <c r="DB104">
        <f t="shared" si="22"/>
        <v>2.63</v>
      </c>
      <c r="DC104">
        <f t="shared" si="23"/>
        <v>0.46</v>
      </c>
    </row>
    <row r="105" spans="1:107" x14ac:dyDescent="0.2">
      <c r="A105">
        <f>ROW(Source!A48)</f>
        <v>48</v>
      </c>
      <c r="B105">
        <v>16784195</v>
      </c>
      <c r="C105">
        <v>16784371</v>
      </c>
      <c r="D105">
        <v>15170039</v>
      </c>
      <c r="E105">
        <v>1</v>
      </c>
      <c r="F105">
        <v>1</v>
      </c>
      <c r="G105">
        <v>1</v>
      </c>
      <c r="H105">
        <v>3</v>
      </c>
      <c r="I105" t="s">
        <v>561</v>
      </c>
      <c r="J105" t="s">
        <v>562</v>
      </c>
      <c r="K105" t="s">
        <v>563</v>
      </c>
      <c r="L105">
        <v>1348</v>
      </c>
      <c r="N105">
        <v>1009</v>
      </c>
      <c r="O105" t="s">
        <v>65</v>
      </c>
      <c r="P105" t="s">
        <v>65</v>
      </c>
      <c r="Q105">
        <v>1000</v>
      </c>
      <c r="W105">
        <v>0</v>
      </c>
      <c r="X105">
        <v>1174701286</v>
      </c>
      <c r="Y105">
        <v>4.0000000000000001E-3</v>
      </c>
      <c r="AA105">
        <v>11978</v>
      </c>
      <c r="AB105">
        <v>0</v>
      </c>
      <c r="AC105">
        <v>0</v>
      </c>
      <c r="AD105">
        <v>0</v>
      </c>
      <c r="AE105">
        <v>11978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1</v>
      </c>
      <c r="AP105">
        <v>0</v>
      </c>
      <c r="AQ105">
        <v>0</v>
      </c>
      <c r="AR105">
        <v>0</v>
      </c>
      <c r="AS105" t="s">
        <v>6</v>
      </c>
      <c r="AT105">
        <v>4.0000000000000001E-3</v>
      </c>
      <c r="AU105" t="s">
        <v>6</v>
      </c>
      <c r="AV105">
        <v>0</v>
      </c>
      <c r="AW105">
        <v>2</v>
      </c>
      <c r="AX105">
        <v>16784385</v>
      </c>
      <c r="AY105">
        <v>1</v>
      </c>
      <c r="AZ105">
        <v>0</v>
      </c>
      <c r="BA105">
        <v>108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Y105*Source!I48</f>
        <v>5.5999999999999999E-5</v>
      </c>
      <c r="CY105">
        <f>AA105</f>
        <v>11978</v>
      </c>
      <c r="CZ105">
        <f>AE105</f>
        <v>11978</v>
      </c>
      <c r="DA105">
        <f>AI105</f>
        <v>1</v>
      </c>
      <c r="DB105">
        <f t="shared" si="22"/>
        <v>47.91</v>
      </c>
      <c r="DC105">
        <f t="shared" si="23"/>
        <v>0</v>
      </c>
    </row>
    <row r="106" spans="1:107" x14ac:dyDescent="0.2">
      <c r="A106">
        <f>ROW(Source!A48)</f>
        <v>48</v>
      </c>
      <c r="B106">
        <v>16784195</v>
      </c>
      <c r="C106">
        <v>16784371</v>
      </c>
      <c r="D106">
        <v>15189640</v>
      </c>
      <c r="E106">
        <v>1</v>
      </c>
      <c r="F106">
        <v>1</v>
      </c>
      <c r="G106">
        <v>1</v>
      </c>
      <c r="H106">
        <v>3</v>
      </c>
      <c r="I106" t="s">
        <v>97</v>
      </c>
      <c r="J106" t="s">
        <v>100</v>
      </c>
      <c r="K106" t="s">
        <v>98</v>
      </c>
      <c r="L106">
        <v>2233</v>
      </c>
      <c r="N106">
        <v>1013</v>
      </c>
      <c r="O106" t="s">
        <v>99</v>
      </c>
      <c r="P106" t="s">
        <v>99</v>
      </c>
      <c r="Q106">
        <v>1</v>
      </c>
      <c r="W106">
        <v>0</v>
      </c>
      <c r="X106">
        <v>-892718151</v>
      </c>
      <c r="Y106">
        <v>100</v>
      </c>
      <c r="AA106">
        <v>26.41</v>
      </c>
      <c r="AB106">
        <v>0</v>
      </c>
      <c r="AC106">
        <v>0</v>
      </c>
      <c r="AD106">
        <v>0</v>
      </c>
      <c r="AE106">
        <v>26.41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6</v>
      </c>
      <c r="AT106">
        <v>100</v>
      </c>
      <c r="AU106" t="s">
        <v>6</v>
      </c>
      <c r="AV106">
        <v>0</v>
      </c>
      <c r="AW106">
        <v>1</v>
      </c>
      <c r="AX106">
        <v>-1</v>
      </c>
      <c r="AY106">
        <v>0</v>
      </c>
      <c r="AZ106">
        <v>0</v>
      </c>
      <c r="BA106" t="s">
        <v>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Y106*Source!I48</f>
        <v>1.4000000000000001</v>
      </c>
      <c r="CY106">
        <f>AA106</f>
        <v>26.41</v>
      </c>
      <c r="CZ106">
        <f>AE106</f>
        <v>26.41</v>
      </c>
      <c r="DA106">
        <f>AI106</f>
        <v>1</v>
      </c>
      <c r="DB106">
        <f t="shared" si="22"/>
        <v>2641</v>
      </c>
      <c r="DC106">
        <f t="shared" si="23"/>
        <v>0</v>
      </c>
    </row>
    <row r="107" spans="1:107" x14ac:dyDescent="0.2">
      <c r="A107">
        <f>ROW(Source!A48)</f>
        <v>48</v>
      </c>
      <c r="B107">
        <v>16784195</v>
      </c>
      <c r="C107">
        <v>16784371</v>
      </c>
      <c r="D107">
        <v>15191139</v>
      </c>
      <c r="E107">
        <v>1</v>
      </c>
      <c r="F107">
        <v>1</v>
      </c>
      <c r="G107">
        <v>1</v>
      </c>
      <c r="H107">
        <v>3</v>
      </c>
      <c r="I107" t="s">
        <v>582</v>
      </c>
      <c r="J107" t="s">
        <v>583</v>
      </c>
      <c r="K107" t="s">
        <v>584</v>
      </c>
      <c r="L107">
        <v>1348</v>
      </c>
      <c r="N107">
        <v>1009</v>
      </c>
      <c r="O107" t="s">
        <v>65</v>
      </c>
      <c r="P107" t="s">
        <v>65</v>
      </c>
      <c r="Q107">
        <v>1000</v>
      </c>
      <c r="W107">
        <v>0</v>
      </c>
      <c r="X107">
        <v>-740471490</v>
      </c>
      <c r="Y107">
        <v>6.0000000000000001E-3</v>
      </c>
      <c r="AA107">
        <v>8023</v>
      </c>
      <c r="AB107">
        <v>0</v>
      </c>
      <c r="AC107">
        <v>0</v>
      </c>
      <c r="AD107">
        <v>0</v>
      </c>
      <c r="AE107">
        <v>8023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1</v>
      </c>
      <c r="AP107">
        <v>0</v>
      </c>
      <c r="AQ107">
        <v>0</v>
      </c>
      <c r="AR107">
        <v>0</v>
      </c>
      <c r="AS107" t="s">
        <v>6</v>
      </c>
      <c r="AT107">
        <v>6.0000000000000001E-3</v>
      </c>
      <c r="AU107" t="s">
        <v>6</v>
      </c>
      <c r="AV107">
        <v>0</v>
      </c>
      <c r="AW107">
        <v>2</v>
      </c>
      <c r="AX107">
        <v>16784386</v>
      </c>
      <c r="AY107">
        <v>1</v>
      </c>
      <c r="AZ107">
        <v>0</v>
      </c>
      <c r="BA107">
        <v>109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Y107*Source!I48</f>
        <v>8.4000000000000009E-5</v>
      </c>
      <c r="CY107">
        <f>AA107</f>
        <v>8023</v>
      </c>
      <c r="CZ107">
        <f>AE107</f>
        <v>8023</v>
      </c>
      <c r="DA107">
        <f>AI107</f>
        <v>1</v>
      </c>
      <c r="DB107">
        <f t="shared" si="22"/>
        <v>48.14</v>
      </c>
      <c r="DC107">
        <f t="shared" si="23"/>
        <v>0</v>
      </c>
    </row>
    <row r="108" spans="1:107" x14ac:dyDescent="0.2">
      <c r="A108">
        <f>ROW(Source!A48)</f>
        <v>48</v>
      </c>
      <c r="B108">
        <v>16784195</v>
      </c>
      <c r="C108">
        <v>16784371</v>
      </c>
      <c r="D108">
        <v>15164570</v>
      </c>
      <c r="E108">
        <v>17</v>
      </c>
      <c r="F108">
        <v>1</v>
      </c>
      <c r="G108">
        <v>1</v>
      </c>
      <c r="H108">
        <v>3</v>
      </c>
      <c r="I108" t="s">
        <v>94</v>
      </c>
      <c r="J108" t="s">
        <v>6</v>
      </c>
      <c r="K108" t="s">
        <v>95</v>
      </c>
      <c r="L108">
        <v>1348</v>
      </c>
      <c r="N108">
        <v>1009</v>
      </c>
      <c r="O108" t="s">
        <v>65</v>
      </c>
      <c r="P108" t="s">
        <v>65</v>
      </c>
      <c r="Q108">
        <v>1000</v>
      </c>
      <c r="W108">
        <v>0</v>
      </c>
      <c r="X108">
        <v>789990620</v>
      </c>
      <c r="Y108">
        <v>0.184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6</v>
      </c>
      <c r="AT108">
        <v>0.184</v>
      </c>
      <c r="AU108" t="s">
        <v>6</v>
      </c>
      <c r="AV108">
        <v>0</v>
      </c>
      <c r="AW108">
        <v>2</v>
      </c>
      <c r="AX108">
        <v>16784387</v>
      </c>
      <c r="AY108">
        <v>1</v>
      </c>
      <c r="AZ108">
        <v>0</v>
      </c>
      <c r="BA108">
        <v>110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Y108*Source!I48</f>
        <v>2.5760000000000002E-3</v>
      </c>
      <c r="CY108">
        <f>AA108</f>
        <v>0</v>
      </c>
      <c r="CZ108">
        <f>AE108</f>
        <v>0</v>
      </c>
      <c r="DA108">
        <f>AI108</f>
        <v>1</v>
      </c>
      <c r="DB108">
        <f t="shared" si="22"/>
        <v>0</v>
      </c>
      <c r="DC108">
        <f t="shared" si="23"/>
        <v>0</v>
      </c>
    </row>
    <row r="109" spans="1:107" x14ac:dyDescent="0.2">
      <c r="A109">
        <f>ROW(Source!A49)</f>
        <v>49</v>
      </c>
      <c r="B109">
        <v>16784196</v>
      </c>
      <c r="C109">
        <v>16784371</v>
      </c>
      <c r="D109">
        <v>15430767</v>
      </c>
      <c r="E109">
        <v>1</v>
      </c>
      <c r="F109">
        <v>1</v>
      </c>
      <c r="G109">
        <v>1</v>
      </c>
      <c r="H109">
        <v>1</v>
      </c>
      <c r="I109" t="s">
        <v>527</v>
      </c>
      <c r="J109" t="s">
        <v>6</v>
      </c>
      <c r="K109" t="s">
        <v>528</v>
      </c>
      <c r="L109">
        <v>1191</v>
      </c>
      <c r="N109">
        <v>1013</v>
      </c>
      <c r="O109" t="s">
        <v>495</v>
      </c>
      <c r="P109" t="s">
        <v>495</v>
      </c>
      <c r="Q109">
        <v>1</v>
      </c>
      <c r="W109">
        <v>0</v>
      </c>
      <c r="X109">
        <v>-400197608</v>
      </c>
      <c r="Y109">
        <v>41.41</v>
      </c>
      <c r="AA109">
        <v>0</v>
      </c>
      <c r="AB109">
        <v>0</v>
      </c>
      <c r="AC109">
        <v>0</v>
      </c>
      <c r="AD109">
        <v>52.12</v>
      </c>
      <c r="AE109">
        <v>0</v>
      </c>
      <c r="AF109">
        <v>0</v>
      </c>
      <c r="AG109">
        <v>0</v>
      </c>
      <c r="AH109">
        <v>8.5299999999999994</v>
      </c>
      <c r="AI109">
        <v>1</v>
      </c>
      <c r="AJ109">
        <v>1</v>
      </c>
      <c r="AK109">
        <v>1</v>
      </c>
      <c r="AL109">
        <v>6.11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41.41</v>
      </c>
      <c r="AU109" t="s">
        <v>6</v>
      </c>
      <c r="AV109">
        <v>1</v>
      </c>
      <c r="AW109">
        <v>2</v>
      </c>
      <c r="AX109">
        <v>16784380</v>
      </c>
      <c r="AY109">
        <v>1</v>
      </c>
      <c r="AZ109">
        <v>0</v>
      </c>
      <c r="BA109">
        <v>111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Y109*Source!I49</f>
        <v>0.57973999999999992</v>
      </c>
      <c r="CY109">
        <f>AD109</f>
        <v>52.12</v>
      </c>
      <c r="CZ109">
        <f>AH109</f>
        <v>8.5299999999999994</v>
      </c>
      <c r="DA109">
        <f>AL109</f>
        <v>6.11</v>
      </c>
      <c r="DB109">
        <f t="shared" si="22"/>
        <v>353.23</v>
      </c>
      <c r="DC109">
        <f t="shared" si="23"/>
        <v>0</v>
      </c>
    </row>
    <row r="110" spans="1:107" x14ac:dyDescent="0.2">
      <c r="A110">
        <f>ROW(Source!A49)</f>
        <v>49</v>
      </c>
      <c r="B110">
        <v>16784196</v>
      </c>
      <c r="C110">
        <v>16784371</v>
      </c>
      <c r="D110">
        <v>15430395</v>
      </c>
      <c r="E110">
        <v>1</v>
      </c>
      <c r="F110">
        <v>1</v>
      </c>
      <c r="G110">
        <v>1</v>
      </c>
      <c r="H110">
        <v>1</v>
      </c>
      <c r="I110" t="s">
        <v>496</v>
      </c>
      <c r="J110" t="s">
        <v>6</v>
      </c>
      <c r="K110" t="s">
        <v>497</v>
      </c>
      <c r="L110">
        <v>1191</v>
      </c>
      <c r="N110">
        <v>1013</v>
      </c>
      <c r="O110" t="s">
        <v>495</v>
      </c>
      <c r="P110" t="s">
        <v>495</v>
      </c>
      <c r="Q110">
        <v>1</v>
      </c>
      <c r="W110">
        <v>0</v>
      </c>
      <c r="X110">
        <v>-1417349443</v>
      </c>
      <c r="Y110">
        <v>0.12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6.11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0.12</v>
      </c>
      <c r="AU110" t="s">
        <v>6</v>
      </c>
      <c r="AV110">
        <v>2</v>
      </c>
      <c r="AW110">
        <v>2</v>
      </c>
      <c r="AX110">
        <v>16784381</v>
      </c>
      <c r="AY110">
        <v>1</v>
      </c>
      <c r="AZ110">
        <v>0</v>
      </c>
      <c r="BA110">
        <v>112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Y110*Source!I49</f>
        <v>1.6800000000000001E-3</v>
      </c>
      <c r="CY110">
        <f>AD110</f>
        <v>0</v>
      </c>
      <c r="CZ110">
        <f>AH110</f>
        <v>0</v>
      </c>
      <c r="DA110">
        <f>AL110</f>
        <v>1</v>
      </c>
      <c r="DB110">
        <f t="shared" si="22"/>
        <v>0</v>
      </c>
      <c r="DC110">
        <f t="shared" si="23"/>
        <v>0</v>
      </c>
    </row>
    <row r="111" spans="1:107" x14ac:dyDescent="0.2">
      <c r="A111">
        <f>ROW(Source!A49)</f>
        <v>49</v>
      </c>
      <c r="B111">
        <v>16784196</v>
      </c>
      <c r="C111">
        <v>16784371</v>
      </c>
      <c r="D111">
        <v>15247974</v>
      </c>
      <c r="E111">
        <v>1</v>
      </c>
      <c r="F111">
        <v>1</v>
      </c>
      <c r="G111">
        <v>1</v>
      </c>
      <c r="H111">
        <v>2</v>
      </c>
      <c r="I111" t="s">
        <v>498</v>
      </c>
      <c r="J111" t="s">
        <v>499</v>
      </c>
      <c r="K111" t="s">
        <v>500</v>
      </c>
      <c r="L111">
        <v>1368</v>
      </c>
      <c r="N111">
        <v>1011</v>
      </c>
      <c r="O111" t="s">
        <v>501</v>
      </c>
      <c r="P111" t="s">
        <v>501</v>
      </c>
      <c r="Q111">
        <v>1</v>
      </c>
      <c r="W111">
        <v>0</v>
      </c>
      <c r="X111">
        <v>1188625873</v>
      </c>
      <c r="Y111">
        <v>0.08</v>
      </c>
      <c r="AA111">
        <v>0</v>
      </c>
      <c r="AB111">
        <v>191</v>
      </c>
      <c r="AC111">
        <v>13.5</v>
      </c>
      <c r="AD111">
        <v>0</v>
      </c>
      <c r="AE111">
        <v>0</v>
      </c>
      <c r="AF111">
        <v>31.26</v>
      </c>
      <c r="AG111">
        <v>13.5</v>
      </c>
      <c r="AH111">
        <v>0</v>
      </c>
      <c r="AI111">
        <v>1</v>
      </c>
      <c r="AJ111">
        <v>6.11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6</v>
      </c>
      <c r="AT111">
        <v>0.08</v>
      </c>
      <c r="AU111" t="s">
        <v>6</v>
      </c>
      <c r="AV111">
        <v>0</v>
      </c>
      <c r="AW111">
        <v>2</v>
      </c>
      <c r="AX111">
        <v>16784382</v>
      </c>
      <c r="AY111">
        <v>1</v>
      </c>
      <c r="AZ111">
        <v>0</v>
      </c>
      <c r="BA111">
        <v>113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Y111*Source!I49</f>
        <v>1.1200000000000001E-3</v>
      </c>
      <c r="CY111">
        <f>AB111</f>
        <v>191</v>
      </c>
      <c r="CZ111">
        <f>AF111</f>
        <v>31.26</v>
      </c>
      <c r="DA111">
        <f>AJ111</f>
        <v>6.11</v>
      </c>
      <c r="DB111">
        <f t="shared" si="22"/>
        <v>2.5</v>
      </c>
      <c r="DC111">
        <f t="shared" si="23"/>
        <v>1.08</v>
      </c>
    </row>
    <row r="112" spans="1:107" x14ac:dyDescent="0.2">
      <c r="A112">
        <f>ROW(Source!A49)</f>
        <v>49</v>
      </c>
      <c r="B112">
        <v>16784196</v>
      </c>
      <c r="C112">
        <v>16784371</v>
      </c>
      <c r="D112">
        <v>15249073</v>
      </c>
      <c r="E112">
        <v>1</v>
      </c>
      <c r="F112">
        <v>1</v>
      </c>
      <c r="G112">
        <v>1</v>
      </c>
      <c r="H112">
        <v>2</v>
      </c>
      <c r="I112" t="s">
        <v>504</v>
      </c>
      <c r="J112" t="s">
        <v>505</v>
      </c>
      <c r="K112" t="s">
        <v>506</v>
      </c>
      <c r="L112">
        <v>1368</v>
      </c>
      <c r="N112">
        <v>1011</v>
      </c>
      <c r="O112" t="s">
        <v>501</v>
      </c>
      <c r="P112" t="s">
        <v>501</v>
      </c>
      <c r="Q112">
        <v>1</v>
      </c>
      <c r="W112">
        <v>0</v>
      </c>
      <c r="X112">
        <v>1372534845</v>
      </c>
      <c r="Y112">
        <v>0.04</v>
      </c>
      <c r="AA112">
        <v>0</v>
      </c>
      <c r="AB112">
        <v>401.49</v>
      </c>
      <c r="AC112">
        <v>11.6</v>
      </c>
      <c r="AD112">
        <v>0</v>
      </c>
      <c r="AE112">
        <v>0</v>
      </c>
      <c r="AF112">
        <v>65.709999999999994</v>
      </c>
      <c r="AG112">
        <v>11.6</v>
      </c>
      <c r="AH112">
        <v>0</v>
      </c>
      <c r="AI112">
        <v>1</v>
      </c>
      <c r="AJ112">
        <v>6.11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0.04</v>
      </c>
      <c r="AU112" t="s">
        <v>6</v>
      </c>
      <c r="AV112">
        <v>0</v>
      </c>
      <c r="AW112">
        <v>2</v>
      </c>
      <c r="AX112">
        <v>16784383</v>
      </c>
      <c r="AY112">
        <v>1</v>
      </c>
      <c r="AZ112">
        <v>0</v>
      </c>
      <c r="BA112">
        <v>114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Y112*Source!I49</f>
        <v>5.6000000000000006E-4</v>
      </c>
      <c r="CY112">
        <f>AB112</f>
        <v>401.49</v>
      </c>
      <c r="CZ112">
        <f>AF112</f>
        <v>65.709999999999994</v>
      </c>
      <c r="DA112">
        <f>AJ112</f>
        <v>6.11</v>
      </c>
      <c r="DB112">
        <f t="shared" si="22"/>
        <v>2.63</v>
      </c>
      <c r="DC112">
        <f t="shared" si="23"/>
        <v>0.46</v>
      </c>
    </row>
    <row r="113" spans="1:107" x14ac:dyDescent="0.2">
      <c r="A113">
        <f>ROW(Source!A49)</f>
        <v>49</v>
      </c>
      <c r="B113">
        <v>16784196</v>
      </c>
      <c r="C113">
        <v>16784371</v>
      </c>
      <c r="D113">
        <v>15170039</v>
      </c>
      <c r="E113">
        <v>1</v>
      </c>
      <c r="F113">
        <v>1</v>
      </c>
      <c r="G113">
        <v>1</v>
      </c>
      <c r="H113">
        <v>3</v>
      </c>
      <c r="I113" t="s">
        <v>561</v>
      </c>
      <c r="J113" t="s">
        <v>562</v>
      </c>
      <c r="K113" t="s">
        <v>563</v>
      </c>
      <c r="L113">
        <v>1348</v>
      </c>
      <c r="N113">
        <v>1009</v>
      </c>
      <c r="O113" t="s">
        <v>65</v>
      </c>
      <c r="P113" t="s">
        <v>65</v>
      </c>
      <c r="Q113">
        <v>1000</v>
      </c>
      <c r="W113">
        <v>0</v>
      </c>
      <c r="X113">
        <v>1174701286</v>
      </c>
      <c r="Y113">
        <v>4.0000000000000001E-3</v>
      </c>
      <c r="AA113">
        <v>73185.58</v>
      </c>
      <c r="AB113">
        <v>0</v>
      </c>
      <c r="AC113">
        <v>0</v>
      </c>
      <c r="AD113">
        <v>0</v>
      </c>
      <c r="AE113">
        <v>11978</v>
      </c>
      <c r="AF113">
        <v>0</v>
      </c>
      <c r="AG113">
        <v>0</v>
      </c>
      <c r="AH113">
        <v>0</v>
      </c>
      <c r="AI113">
        <v>6.11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6</v>
      </c>
      <c r="AT113">
        <v>4.0000000000000001E-3</v>
      </c>
      <c r="AU113" t="s">
        <v>6</v>
      </c>
      <c r="AV113">
        <v>0</v>
      </c>
      <c r="AW113">
        <v>2</v>
      </c>
      <c r="AX113">
        <v>16784385</v>
      </c>
      <c r="AY113">
        <v>1</v>
      </c>
      <c r="AZ113">
        <v>0</v>
      </c>
      <c r="BA113">
        <v>116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Y113*Source!I49</f>
        <v>5.5999999999999999E-5</v>
      </c>
      <c r="CY113">
        <f>AA113</f>
        <v>73185.58</v>
      </c>
      <c r="CZ113">
        <f>AE113</f>
        <v>11978</v>
      </c>
      <c r="DA113">
        <f>AI113</f>
        <v>6.11</v>
      </c>
      <c r="DB113">
        <f t="shared" si="22"/>
        <v>47.91</v>
      </c>
      <c r="DC113">
        <f t="shared" si="23"/>
        <v>0</v>
      </c>
    </row>
    <row r="114" spans="1:107" x14ac:dyDescent="0.2">
      <c r="A114">
        <f>ROW(Source!A49)</f>
        <v>49</v>
      </c>
      <c r="B114">
        <v>16784196</v>
      </c>
      <c r="C114">
        <v>16784371</v>
      </c>
      <c r="D114">
        <v>15189640</v>
      </c>
      <c r="E114">
        <v>1</v>
      </c>
      <c r="F114">
        <v>1</v>
      </c>
      <c r="G114">
        <v>1</v>
      </c>
      <c r="H114">
        <v>3</v>
      </c>
      <c r="I114" t="s">
        <v>97</v>
      </c>
      <c r="J114" t="s">
        <v>100</v>
      </c>
      <c r="K114" t="s">
        <v>98</v>
      </c>
      <c r="L114">
        <v>2233</v>
      </c>
      <c r="N114">
        <v>1013</v>
      </c>
      <c r="O114" t="s">
        <v>99</v>
      </c>
      <c r="P114" t="s">
        <v>99</v>
      </c>
      <c r="Q114">
        <v>1</v>
      </c>
      <c r="W114">
        <v>0</v>
      </c>
      <c r="X114">
        <v>-892718151</v>
      </c>
      <c r="Y114">
        <v>100</v>
      </c>
      <c r="AA114">
        <v>161.37</v>
      </c>
      <c r="AB114">
        <v>0</v>
      </c>
      <c r="AC114">
        <v>0</v>
      </c>
      <c r="AD114">
        <v>0</v>
      </c>
      <c r="AE114">
        <v>26.41</v>
      </c>
      <c r="AF114">
        <v>0</v>
      </c>
      <c r="AG114">
        <v>0</v>
      </c>
      <c r="AH114">
        <v>0</v>
      </c>
      <c r="AI114">
        <v>6.11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6</v>
      </c>
      <c r="AT114">
        <v>100</v>
      </c>
      <c r="AU114" t="s">
        <v>6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6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Y114*Source!I49</f>
        <v>1.4000000000000001</v>
      </c>
      <c r="CY114">
        <f>AA114</f>
        <v>161.37</v>
      </c>
      <c r="CZ114">
        <f>AE114</f>
        <v>26.41</v>
      </c>
      <c r="DA114">
        <f>AI114</f>
        <v>6.11</v>
      </c>
      <c r="DB114">
        <f t="shared" si="22"/>
        <v>2641</v>
      </c>
      <c r="DC114">
        <f t="shared" si="23"/>
        <v>0</v>
      </c>
    </row>
    <row r="115" spans="1:107" x14ac:dyDescent="0.2">
      <c r="A115">
        <f>ROW(Source!A49)</f>
        <v>49</v>
      </c>
      <c r="B115">
        <v>16784196</v>
      </c>
      <c r="C115">
        <v>16784371</v>
      </c>
      <c r="D115">
        <v>15191139</v>
      </c>
      <c r="E115">
        <v>1</v>
      </c>
      <c r="F115">
        <v>1</v>
      </c>
      <c r="G115">
        <v>1</v>
      </c>
      <c r="H115">
        <v>3</v>
      </c>
      <c r="I115" t="s">
        <v>582</v>
      </c>
      <c r="J115" t="s">
        <v>583</v>
      </c>
      <c r="K115" t="s">
        <v>584</v>
      </c>
      <c r="L115">
        <v>1348</v>
      </c>
      <c r="N115">
        <v>1009</v>
      </c>
      <c r="O115" t="s">
        <v>65</v>
      </c>
      <c r="P115" t="s">
        <v>65</v>
      </c>
      <c r="Q115">
        <v>1000</v>
      </c>
      <c r="W115">
        <v>0</v>
      </c>
      <c r="X115">
        <v>-740471490</v>
      </c>
      <c r="Y115">
        <v>6.0000000000000001E-3</v>
      </c>
      <c r="AA115">
        <v>49020.53</v>
      </c>
      <c r="AB115">
        <v>0</v>
      </c>
      <c r="AC115">
        <v>0</v>
      </c>
      <c r="AD115">
        <v>0</v>
      </c>
      <c r="AE115">
        <v>8023</v>
      </c>
      <c r="AF115">
        <v>0</v>
      </c>
      <c r="AG115">
        <v>0</v>
      </c>
      <c r="AH115">
        <v>0</v>
      </c>
      <c r="AI115">
        <v>6.11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0</v>
      </c>
      <c r="AQ115">
        <v>0</v>
      </c>
      <c r="AR115">
        <v>0</v>
      </c>
      <c r="AS115" t="s">
        <v>6</v>
      </c>
      <c r="AT115">
        <v>6.0000000000000001E-3</v>
      </c>
      <c r="AU115" t="s">
        <v>6</v>
      </c>
      <c r="AV115">
        <v>0</v>
      </c>
      <c r="AW115">
        <v>2</v>
      </c>
      <c r="AX115">
        <v>16784386</v>
      </c>
      <c r="AY115">
        <v>1</v>
      </c>
      <c r="AZ115">
        <v>0</v>
      </c>
      <c r="BA115">
        <v>117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Y115*Source!I49</f>
        <v>8.4000000000000009E-5</v>
      </c>
      <c r="CY115">
        <f>AA115</f>
        <v>49020.53</v>
      </c>
      <c r="CZ115">
        <f>AE115</f>
        <v>8023</v>
      </c>
      <c r="DA115">
        <f>AI115</f>
        <v>6.11</v>
      </c>
      <c r="DB115">
        <f t="shared" si="22"/>
        <v>48.14</v>
      </c>
      <c r="DC115">
        <f t="shared" si="23"/>
        <v>0</v>
      </c>
    </row>
    <row r="116" spans="1:107" x14ac:dyDescent="0.2">
      <c r="A116">
        <f>ROW(Source!A49)</f>
        <v>49</v>
      </c>
      <c r="B116">
        <v>16784196</v>
      </c>
      <c r="C116">
        <v>16784371</v>
      </c>
      <c r="D116">
        <v>15164570</v>
      </c>
      <c r="E116">
        <v>17</v>
      </c>
      <c r="F116">
        <v>1</v>
      </c>
      <c r="G116">
        <v>1</v>
      </c>
      <c r="H116">
        <v>3</v>
      </c>
      <c r="I116" t="s">
        <v>94</v>
      </c>
      <c r="J116" t="s">
        <v>6</v>
      </c>
      <c r="K116" t="s">
        <v>95</v>
      </c>
      <c r="L116">
        <v>1348</v>
      </c>
      <c r="N116">
        <v>1009</v>
      </c>
      <c r="O116" t="s">
        <v>65</v>
      </c>
      <c r="P116" t="s">
        <v>65</v>
      </c>
      <c r="Q116">
        <v>1000</v>
      </c>
      <c r="W116">
        <v>0</v>
      </c>
      <c r="X116">
        <v>789990620</v>
      </c>
      <c r="Y116">
        <v>0.184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6.11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</v>
      </c>
      <c r="AT116">
        <v>0.184</v>
      </c>
      <c r="AU116" t="s">
        <v>6</v>
      </c>
      <c r="AV116">
        <v>0</v>
      </c>
      <c r="AW116">
        <v>2</v>
      </c>
      <c r="AX116">
        <v>16784387</v>
      </c>
      <c r="AY116">
        <v>1</v>
      </c>
      <c r="AZ116">
        <v>0</v>
      </c>
      <c r="BA116">
        <v>118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Y116*Source!I49</f>
        <v>2.5760000000000002E-3</v>
      </c>
      <c r="CY116">
        <f>AA116</f>
        <v>0</v>
      </c>
      <c r="CZ116">
        <f>AE116</f>
        <v>0</v>
      </c>
      <c r="DA116">
        <f>AI116</f>
        <v>6.11</v>
      </c>
      <c r="DB116">
        <f t="shared" si="22"/>
        <v>0</v>
      </c>
      <c r="DC116">
        <f t="shared" si="23"/>
        <v>0</v>
      </c>
    </row>
    <row r="117" spans="1:107" x14ac:dyDescent="0.2">
      <c r="A117">
        <f>ROW(Source!A54)</f>
        <v>54</v>
      </c>
      <c r="B117">
        <v>16784195</v>
      </c>
      <c r="C117">
        <v>16784926</v>
      </c>
      <c r="D117">
        <v>15430397</v>
      </c>
      <c r="E117">
        <v>1</v>
      </c>
      <c r="F117">
        <v>1</v>
      </c>
      <c r="G117">
        <v>1</v>
      </c>
      <c r="H117">
        <v>1</v>
      </c>
      <c r="I117" t="s">
        <v>585</v>
      </c>
      <c r="J117" t="s">
        <v>6</v>
      </c>
      <c r="K117" t="s">
        <v>586</v>
      </c>
      <c r="L117">
        <v>1191</v>
      </c>
      <c r="N117">
        <v>1013</v>
      </c>
      <c r="O117" t="s">
        <v>495</v>
      </c>
      <c r="P117" t="s">
        <v>495</v>
      </c>
      <c r="Q117">
        <v>1</v>
      </c>
      <c r="W117">
        <v>0</v>
      </c>
      <c r="X117">
        <v>-1081351934</v>
      </c>
      <c r="Y117">
        <v>117.82899999999998</v>
      </c>
      <c r="AA117">
        <v>0</v>
      </c>
      <c r="AB117">
        <v>0</v>
      </c>
      <c r="AC117">
        <v>0</v>
      </c>
      <c r="AD117">
        <v>9.4</v>
      </c>
      <c r="AE117">
        <v>0</v>
      </c>
      <c r="AF117">
        <v>0</v>
      </c>
      <c r="AG117">
        <v>0</v>
      </c>
      <c r="AH117">
        <v>9.4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6</v>
      </c>
      <c r="AT117">
        <v>102.46</v>
      </c>
      <c r="AU117" t="s">
        <v>28</v>
      </c>
      <c r="AV117">
        <v>1</v>
      </c>
      <c r="AW117">
        <v>2</v>
      </c>
      <c r="AX117">
        <v>16784927</v>
      </c>
      <c r="AY117">
        <v>1</v>
      </c>
      <c r="AZ117">
        <v>0</v>
      </c>
      <c r="BA117">
        <v>119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Y117*Source!I54</f>
        <v>57.264893999999991</v>
      </c>
      <c r="CY117">
        <f>AD117</f>
        <v>9.4</v>
      </c>
      <c r="CZ117">
        <f>AH117</f>
        <v>9.4</v>
      </c>
      <c r="DA117">
        <f>AL117</f>
        <v>1</v>
      </c>
      <c r="DB117">
        <f>ROUND((ROUND(AT117*CZ117,2)*1.15),2)</f>
        <v>1107.5899999999999</v>
      </c>
      <c r="DC117">
        <f>ROUND((ROUND(AT117*AG117,2)*1.15),2)</f>
        <v>0</v>
      </c>
    </row>
    <row r="118" spans="1:107" x14ac:dyDescent="0.2">
      <c r="A118">
        <f>ROW(Source!A54)</f>
        <v>54</v>
      </c>
      <c r="B118">
        <v>16784195</v>
      </c>
      <c r="C118">
        <v>16784926</v>
      </c>
      <c r="D118">
        <v>15430395</v>
      </c>
      <c r="E118">
        <v>1</v>
      </c>
      <c r="F118">
        <v>1</v>
      </c>
      <c r="G118">
        <v>1</v>
      </c>
      <c r="H118">
        <v>1</v>
      </c>
      <c r="I118" t="s">
        <v>496</v>
      </c>
      <c r="J118" t="s">
        <v>6</v>
      </c>
      <c r="K118" t="s">
        <v>497</v>
      </c>
      <c r="L118">
        <v>1191</v>
      </c>
      <c r="N118">
        <v>1013</v>
      </c>
      <c r="O118" t="s">
        <v>495</v>
      </c>
      <c r="P118" t="s">
        <v>495</v>
      </c>
      <c r="Q118">
        <v>1</v>
      </c>
      <c r="W118">
        <v>0</v>
      </c>
      <c r="X118">
        <v>-1417349443</v>
      </c>
      <c r="Y118">
        <v>5.34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5.34</v>
      </c>
      <c r="AU118" t="s">
        <v>6</v>
      </c>
      <c r="AV118">
        <v>2</v>
      </c>
      <c r="AW118">
        <v>2</v>
      </c>
      <c r="AX118">
        <v>16784928</v>
      </c>
      <c r="AY118">
        <v>1</v>
      </c>
      <c r="AZ118">
        <v>2048</v>
      </c>
      <c r="BA118">
        <v>120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Y118*Source!I54</f>
        <v>2.59524</v>
      </c>
      <c r="CY118">
        <f>AD118</f>
        <v>0</v>
      </c>
      <c r="CZ118">
        <f>AH118</f>
        <v>0</v>
      </c>
      <c r="DA118">
        <f>AL118</f>
        <v>1</v>
      </c>
      <c r="DB118">
        <f>ROUND(ROUND(AT118*CZ118,2),2)</f>
        <v>0</v>
      </c>
      <c r="DC118">
        <f>ROUND(ROUND(AT118*AG118,2),2)</f>
        <v>0</v>
      </c>
    </row>
    <row r="119" spans="1:107" x14ac:dyDescent="0.2">
      <c r="A119">
        <f>ROW(Source!A54)</f>
        <v>54</v>
      </c>
      <c r="B119">
        <v>16784195</v>
      </c>
      <c r="C119">
        <v>16784926</v>
      </c>
      <c r="D119">
        <v>15247974</v>
      </c>
      <c r="E119">
        <v>1</v>
      </c>
      <c r="F119">
        <v>1</v>
      </c>
      <c r="G119">
        <v>1</v>
      </c>
      <c r="H119">
        <v>2</v>
      </c>
      <c r="I119" t="s">
        <v>498</v>
      </c>
      <c r="J119" t="s">
        <v>499</v>
      </c>
      <c r="K119" t="s">
        <v>500</v>
      </c>
      <c r="L119">
        <v>1368</v>
      </c>
      <c r="N119">
        <v>1011</v>
      </c>
      <c r="O119" t="s">
        <v>501</v>
      </c>
      <c r="P119" t="s">
        <v>501</v>
      </c>
      <c r="Q119">
        <v>1</v>
      </c>
      <c r="W119">
        <v>0</v>
      </c>
      <c r="X119">
        <v>1188625873</v>
      </c>
      <c r="Y119">
        <v>0.95</v>
      </c>
      <c r="AA119">
        <v>0</v>
      </c>
      <c r="AB119">
        <v>31.26</v>
      </c>
      <c r="AC119">
        <v>13.5</v>
      </c>
      <c r="AD119">
        <v>0</v>
      </c>
      <c r="AE119">
        <v>0</v>
      </c>
      <c r="AF119">
        <v>31.26</v>
      </c>
      <c r="AG119">
        <v>13.5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0.76</v>
      </c>
      <c r="AU119" t="s">
        <v>27</v>
      </c>
      <c r="AV119">
        <v>0</v>
      </c>
      <c r="AW119">
        <v>2</v>
      </c>
      <c r="AX119">
        <v>16784929</v>
      </c>
      <c r="AY119">
        <v>1</v>
      </c>
      <c r="AZ119">
        <v>0</v>
      </c>
      <c r="BA119">
        <v>121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Y119*Source!I54</f>
        <v>0.46169999999999994</v>
      </c>
      <c r="CY119">
        <f>AB119</f>
        <v>31.26</v>
      </c>
      <c r="CZ119">
        <f>AF119</f>
        <v>31.26</v>
      </c>
      <c r="DA119">
        <f>AJ119</f>
        <v>1</v>
      </c>
      <c r="DB119">
        <f>ROUND((ROUND(AT119*CZ119,2)*1.25),2)</f>
        <v>29.7</v>
      </c>
      <c r="DC119">
        <f>ROUND((ROUND(AT119*AG119,2)*1.25),2)</f>
        <v>12.83</v>
      </c>
    </row>
    <row r="120" spans="1:107" x14ac:dyDescent="0.2">
      <c r="A120">
        <f>ROW(Source!A54)</f>
        <v>54</v>
      </c>
      <c r="B120">
        <v>16784195</v>
      </c>
      <c r="C120">
        <v>16784926</v>
      </c>
      <c r="D120">
        <v>15249073</v>
      </c>
      <c r="E120">
        <v>1</v>
      </c>
      <c r="F120">
        <v>1</v>
      </c>
      <c r="G120">
        <v>1</v>
      </c>
      <c r="H120">
        <v>2</v>
      </c>
      <c r="I120" t="s">
        <v>504</v>
      </c>
      <c r="J120" t="s">
        <v>505</v>
      </c>
      <c r="K120" t="s">
        <v>506</v>
      </c>
      <c r="L120">
        <v>1368</v>
      </c>
      <c r="N120">
        <v>1011</v>
      </c>
      <c r="O120" t="s">
        <v>501</v>
      </c>
      <c r="P120" t="s">
        <v>501</v>
      </c>
      <c r="Q120">
        <v>1</v>
      </c>
      <c r="W120">
        <v>0</v>
      </c>
      <c r="X120">
        <v>1372534845</v>
      </c>
      <c r="Y120">
        <v>5.7249999999999996</v>
      </c>
      <c r="AA120">
        <v>0</v>
      </c>
      <c r="AB120">
        <v>65.709999999999994</v>
      </c>
      <c r="AC120">
        <v>11.6</v>
      </c>
      <c r="AD120">
        <v>0</v>
      </c>
      <c r="AE120">
        <v>0</v>
      </c>
      <c r="AF120">
        <v>65.709999999999994</v>
      </c>
      <c r="AG120">
        <v>11.6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6</v>
      </c>
      <c r="AT120">
        <v>4.58</v>
      </c>
      <c r="AU120" t="s">
        <v>27</v>
      </c>
      <c r="AV120">
        <v>0</v>
      </c>
      <c r="AW120">
        <v>2</v>
      </c>
      <c r="AX120">
        <v>16784930</v>
      </c>
      <c r="AY120">
        <v>1</v>
      </c>
      <c r="AZ120">
        <v>0</v>
      </c>
      <c r="BA120">
        <v>122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Y120*Source!I54</f>
        <v>2.7823499999999997</v>
      </c>
      <c r="CY120">
        <f>AB120</f>
        <v>65.709999999999994</v>
      </c>
      <c r="CZ120">
        <f>AF120</f>
        <v>65.709999999999994</v>
      </c>
      <c r="DA120">
        <f>AJ120</f>
        <v>1</v>
      </c>
      <c r="DB120">
        <f>ROUND((ROUND(AT120*CZ120,2)*1.25),2)</f>
        <v>376.19</v>
      </c>
      <c r="DC120">
        <f>ROUND((ROUND(AT120*AG120,2)*1.25),2)</f>
        <v>66.41</v>
      </c>
    </row>
    <row r="121" spans="1:107" x14ac:dyDescent="0.2">
      <c r="A121">
        <f>ROW(Source!A54)</f>
        <v>54</v>
      </c>
      <c r="B121">
        <v>16784195</v>
      </c>
      <c r="C121">
        <v>16784926</v>
      </c>
      <c r="D121">
        <v>15167143</v>
      </c>
      <c r="E121">
        <v>1</v>
      </c>
      <c r="F121">
        <v>1</v>
      </c>
      <c r="G121">
        <v>1</v>
      </c>
      <c r="H121">
        <v>3</v>
      </c>
      <c r="I121" t="s">
        <v>587</v>
      </c>
      <c r="J121" t="s">
        <v>588</v>
      </c>
      <c r="K121" t="s">
        <v>589</v>
      </c>
      <c r="L121">
        <v>1327</v>
      </c>
      <c r="N121">
        <v>1005</v>
      </c>
      <c r="O121" t="s">
        <v>35</v>
      </c>
      <c r="P121" t="s">
        <v>35</v>
      </c>
      <c r="Q121">
        <v>1</v>
      </c>
      <c r="W121">
        <v>0</v>
      </c>
      <c r="X121">
        <v>1385600515</v>
      </c>
      <c r="Y121">
        <v>103</v>
      </c>
      <c r="AA121">
        <v>51.8</v>
      </c>
      <c r="AB121">
        <v>0</v>
      </c>
      <c r="AC121">
        <v>0</v>
      </c>
      <c r="AD121">
        <v>0</v>
      </c>
      <c r="AE121">
        <v>51.8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103</v>
      </c>
      <c r="AU121" t="s">
        <v>6</v>
      </c>
      <c r="AV121">
        <v>0</v>
      </c>
      <c r="AW121">
        <v>2</v>
      </c>
      <c r="AX121">
        <v>16784931</v>
      </c>
      <c r="AY121">
        <v>1</v>
      </c>
      <c r="AZ121">
        <v>0</v>
      </c>
      <c r="BA121">
        <v>123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Y121*Source!I54</f>
        <v>50.058</v>
      </c>
      <c r="CY121">
        <f>AA121</f>
        <v>51.8</v>
      </c>
      <c r="CZ121">
        <f>AE121</f>
        <v>51.8</v>
      </c>
      <c r="DA121">
        <f>AI121</f>
        <v>1</v>
      </c>
      <c r="DB121">
        <f>ROUND(ROUND(AT121*CZ121,2),2)</f>
        <v>5335.4</v>
      </c>
      <c r="DC121">
        <f>ROUND(ROUND(AT121*AG121,2),2)</f>
        <v>0</v>
      </c>
    </row>
    <row r="122" spans="1:107" x14ac:dyDescent="0.2">
      <c r="A122">
        <f>ROW(Source!A55)</f>
        <v>55</v>
      </c>
      <c r="B122">
        <v>16784196</v>
      </c>
      <c r="C122">
        <v>16784926</v>
      </c>
      <c r="D122">
        <v>15430397</v>
      </c>
      <c r="E122">
        <v>1</v>
      </c>
      <c r="F122">
        <v>1</v>
      </c>
      <c r="G122">
        <v>1</v>
      </c>
      <c r="H122">
        <v>1</v>
      </c>
      <c r="I122" t="s">
        <v>585</v>
      </c>
      <c r="J122" t="s">
        <v>6</v>
      </c>
      <c r="K122" t="s">
        <v>586</v>
      </c>
      <c r="L122">
        <v>1191</v>
      </c>
      <c r="N122">
        <v>1013</v>
      </c>
      <c r="O122" t="s">
        <v>495</v>
      </c>
      <c r="P122" t="s">
        <v>495</v>
      </c>
      <c r="Q122">
        <v>1</v>
      </c>
      <c r="W122">
        <v>0</v>
      </c>
      <c r="X122">
        <v>-1081351934</v>
      </c>
      <c r="Y122">
        <v>117.82899999999998</v>
      </c>
      <c r="AA122">
        <v>0</v>
      </c>
      <c r="AB122">
        <v>0</v>
      </c>
      <c r="AC122">
        <v>0</v>
      </c>
      <c r="AD122">
        <v>57.43</v>
      </c>
      <c r="AE122">
        <v>0</v>
      </c>
      <c r="AF122">
        <v>0</v>
      </c>
      <c r="AG122">
        <v>0</v>
      </c>
      <c r="AH122">
        <v>9.4</v>
      </c>
      <c r="AI122">
        <v>1</v>
      </c>
      <c r="AJ122">
        <v>1</v>
      </c>
      <c r="AK122">
        <v>1</v>
      </c>
      <c r="AL122">
        <v>6.11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6</v>
      </c>
      <c r="AT122">
        <v>102.46</v>
      </c>
      <c r="AU122" t="s">
        <v>28</v>
      </c>
      <c r="AV122">
        <v>1</v>
      </c>
      <c r="AW122">
        <v>2</v>
      </c>
      <c r="AX122">
        <v>16784927</v>
      </c>
      <c r="AY122">
        <v>1</v>
      </c>
      <c r="AZ122">
        <v>0</v>
      </c>
      <c r="BA122">
        <v>124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Y122*Source!I55</f>
        <v>57.264893999999991</v>
      </c>
      <c r="CY122">
        <f>AD122</f>
        <v>57.43</v>
      </c>
      <c r="CZ122">
        <f>AH122</f>
        <v>9.4</v>
      </c>
      <c r="DA122">
        <f>AL122</f>
        <v>6.11</v>
      </c>
      <c r="DB122">
        <f>ROUND((ROUND(AT122*CZ122,2)*1.15),2)</f>
        <v>1107.5899999999999</v>
      </c>
      <c r="DC122">
        <f>ROUND((ROUND(AT122*AG122,2)*1.15),2)</f>
        <v>0</v>
      </c>
    </row>
    <row r="123" spans="1:107" x14ac:dyDescent="0.2">
      <c r="A123">
        <f>ROW(Source!A55)</f>
        <v>55</v>
      </c>
      <c r="B123">
        <v>16784196</v>
      </c>
      <c r="C123">
        <v>16784926</v>
      </c>
      <c r="D123">
        <v>15430395</v>
      </c>
      <c r="E123">
        <v>1</v>
      </c>
      <c r="F123">
        <v>1</v>
      </c>
      <c r="G123">
        <v>1</v>
      </c>
      <c r="H123">
        <v>1</v>
      </c>
      <c r="I123" t="s">
        <v>496</v>
      </c>
      <c r="J123" t="s">
        <v>6</v>
      </c>
      <c r="K123" t="s">
        <v>497</v>
      </c>
      <c r="L123">
        <v>1191</v>
      </c>
      <c r="N123">
        <v>1013</v>
      </c>
      <c r="O123" t="s">
        <v>495</v>
      </c>
      <c r="P123" t="s">
        <v>495</v>
      </c>
      <c r="Q123">
        <v>1</v>
      </c>
      <c r="W123">
        <v>0</v>
      </c>
      <c r="X123">
        <v>-1417349443</v>
      </c>
      <c r="Y123">
        <v>5.34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6.11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6</v>
      </c>
      <c r="AT123">
        <v>5.34</v>
      </c>
      <c r="AU123" t="s">
        <v>6</v>
      </c>
      <c r="AV123">
        <v>2</v>
      </c>
      <c r="AW123">
        <v>2</v>
      </c>
      <c r="AX123">
        <v>16784928</v>
      </c>
      <c r="AY123">
        <v>1</v>
      </c>
      <c r="AZ123">
        <v>2048</v>
      </c>
      <c r="BA123">
        <v>125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Y123*Source!I55</f>
        <v>2.59524</v>
      </c>
      <c r="CY123">
        <f>AD123</f>
        <v>0</v>
      </c>
      <c r="CZ123">
        <f>AH123</f>
        <v>0</v>
      </c>
      <c r="DA123">
        <f>AL123</f>
        <v>1</v>
      </c>
      <c r="DB123">
        <f>ROUND(ROUND(AT123*CZ123,2),2)</f>
        <v>0</v>
      </c>
      <c r="DC123">
        <f>ROUND(ROUND(AT123*AG123,2),2)</f>
        <v>0</v>
      </c>
    </row>
    <row r="124" spans="1:107" x14ac:dyDescent="0.2">
      <c r="A124">
        <f>ROW(Source!A55)</f>
        <v>55</v>
      </c>
      <c r="B124">
        <v>16784196</v>
      </c>
      <c r="C124">
        <v>16784926</v>
      </c>
      <c r="D124">
        <v>15247974</v>
      </c>
      <c r="E124">
        <v>1</v>
      </c>
      <c r="F124">
        <v>1</v>
      </c>
      <c r="G124">
        <v>1</v>
      </c>
      <c r="H124">
        <v>2</v>
      </c>
      <c r="I124" t="s">
        <v>498</v>
      </c>
      <c r="J124" t="s">
        <v>499</v>
      </c>
      <c r="K124" t="s">
        <v>500</v>
      </c>
      <c r="L124">
        <v>1368</v>
      </c>
      <c r="N124">
        <v>1011</v>
      </c>
      <c r="O124" t="s">
        <v>501</v>
      </c>
      <c r="P124" t="s">
        <v>501</v>
      </c>
      <c r="Q124">
        <v>1</v>
      </c>
      <c r="W124">
        <v>0</v>
      </c>
      <c r="X124">
        <v>1188625873</v>
      </c>
      <c r="Y124">
        <v>0.95</v>
      </c>
      <c r="AA124">
        <v>0</v>
      </c>
      <c r="AB124">
        <v>191</v>
      </c>
      <c r="AC124">
        <v>13.5</v>
      </c>
      <c r="AD124">
        <v>0</v>
      </c>
      <c r="AE124">
        <v>0</v>
      </c>
      <c r="AF124">
        <v>31.26</v>
      </c>
      <c r="AG124">
        <v>13.5</v>
      </c>
      <c r="AH124">
        <v>0</v>
      </c>
      <c r="AI124">
        <v>1</v>
      </c>
      <c r="AJ124">
        <v>6.11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6</v>
      </c>
      <c r="AT124">
        <v>0.76</v>
      </c>
      <c r="AU124" t="s">
        <v>27</v>
      </c>
      <c r="AV124">
        <v>0</v>
      </c>
      <c r="AW124">
        <v>2</v>
      </c>
      <c r="AX124">
        <v>16784929</v>
      </c>
      <c r="AY124">
        <v>1</v>
      </c>
      <c r="AZ124">
        <v>0</v>
      </c>
      <c r="BA124">
        <v>126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Y124*Source!I55</f>
        <v>0.46169999999999994</v>
      </c>
      <c r="CY124">
        <f>AB124</f>
        <v>191</v>
      </c>
      <c r="CZ124">
        <f>AF124</f>
        <v>31.26</v>
      </c>
      <c r="DA124">
        <f>AJ124</f>
        <v>6.11</v>
      </c>
      <c r="DB124">
        <f>ROUND((ROUND(AT124*CZ124,2)*1.25),2)</f>
        <v>29.7</v>
      </c>
      <c r="DC124">
        <f>ROUND((ROUND(AT124*AG124,2)*1.25),2)</f>
        <v>12.83</v>
      </c>
    </row>
    <row r="125" spans="1:107" x14ac:dyDescent="0.2">
      <c r="A125">
        <f>ROW(Source!A55)</f>
        <v>55</v>
      </c>
      <c r="B125">
        <v>16784196</v>
      </c>
      <c r="C125">
        <v>16784926</v>
      </c>
      <c r="D125">
        <v>15249073</v>
      </c>
      <c r="E125">
        <v>1</v>
      </c>
      <c r="F125">
        <v>1</v>
      </c>
      <c r="G125">
        <v>1</v>
      </c>
      <c r="H125">
        <v>2</v>
      </c>
      <c r="I125" t="s">
        <v>504</v>
      </c>
      <c r="J125" t="s">
        <v>505</v>
      </c>
      <c r="K125" t="s">
        <v>506</v>
      </c>
      <c r="L125">
        <v>1368</v>
      </c>
      <c r="N125">
        <v>1011</v>
      </c>
      <c r="O125" t="s">
        <v>501</v>
      </c>
      <c r="P125" t="s">
        <v>501</v>
      </c>
      <c r="Q125">
        <v>1</v>
      </c>
      <c r="W125">
        <v>0</v>
      </c>
      <c r="X125">
        <v>1372534845</v>
      </c>
      <c r="Y125">
        <v>5.7249999999999996</v>
      </c>
      <c r="AA125">
        <v>0</v>
      </c>
      <c r="AB125">
        <v>401.49</v>
      </c>
      <c r="AC125">
        <v>11.6</v>
      </c>
      <c r="AD125">
        <v>0</v>
      </c>
      <c r="AE125">
        <v>0</v>
      </c>
      <c r="AF125">
        <v>65.709999999999994</v>
      </c>
      <c r="AG125">
        <v>11.6</v>
      </c>
      <c r="AH125">
        <v>0</v>
      </c>
      <c r="AI125">
        <v>1</v>
      </c>
      <c r="AJ125">
        <v>6.11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4.58</v>
      </c>
      <c r="AU125" t="s">
        <v>27</v>
      </c>
      <c r="AV125">
        <v>0</v>
      </c>
      <c r="AW125">
        <v>2</v>
      </c>
      <c r="AX125">
        <v>16784930</v>
      </c>
      <c r="AY125">
        <v>1</v>
      </c>
      <c r="AZ125">
        <v>0</v>
      </c>
      <c r="BA125">
        <v>127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Y125*Source!I55</f>
        <v>2.7823499999999997</v>
      </c>
      <c r="CY125">
        <f>AB125</f>
        <v>401.49</v>
      </c>
      <c r="CZ125">
        <f>AF125</f>
        <v>65.709999999999994</v>
      </c>
      <c r="DA125">
        <f>AJ125</f>
        <v>6.11</v>
      </c>
      <c r="DB125">
        <f>ROUND((ROUND(AT125*CZ125,2)*1.25),2)</f>
        <v>376.19</v>
      </c>
      <c r="DC125">
        <f>ROUND((ROUND(AT125*AG125,2)*1.25),2)</f>
        <v>66.41</v>
      </c>
    </row>
    <row r="126" spans="1:107" x14ac:dyDescent="0.2">
      <c r="A126">
        <f>ROW(Source!A55)</f>
        <v>55</v>
      </c>
      <c r="B126">
        <v>16784196</v>
      </c>
      <c r="C126">
        <v>16784926</v>
      </c>
      <c r="D126">
        <v>15167143</v>
      </c>
      <c r="E126">
        <v>1</v>
      </c>
      <c r="F126">
        <v>1</v>
      </c>
      <c r="G126">
        <v>1</v>
      </c>
      <c r="H126">
        <v>3</v>
      </c>
      <c r="I126" t="s">
        <v>587</v>
      </c>
      <c r="J126" t="s">
        <v>588</v>
      </c>
      <c r="K126" t="s">
        <v>589</v>
      </c>
      <c r="L126">
        <v>1327</v>
      </c>
      <c r="N126">
        <v>1005</v>
      </c>
      <c r="O126" t="s">
        <v>35</v>
      </c>
      <c r="P126" t="s">
        <v>35</v>
      </c>
      <c r="Q126">
        <v>1</v>
      </c>
      <c r="W126">
        <v>0</v>
      </c>
      <c r="X126">
        <v>1385600515</v>
      </c>
      <c r="Y126">
        <v>103</v>
      </c>
      <c r="AA126">
        <v>316.5</v>
      </c>
      <c r="AB126">
        <v>0</v>
      </c>
      <c r="AC126">
        <v>0</v>
      </c>
      <c r="AD126">
        <v>0</v>
      </c>
      <c r="AE126">
        <v>51.8</v>
      </c>
      <c r="AF126">
        <v>0</v>
      </c>
      <c r="AG126">
        <v>0</v>
      </c>
      <c r="AH126">
        <v>0</v>
      </c>
      <c r="AI126">
        <v>6.11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6</v>
      </c>
      <c r="AT126">
        <v>103</v>
      </c>
      <c r="AU126" t="s">
        <v>6</v>
      </c>
      <c r="AV126">
        <v>0</v>
      </c>
      <c r="AW126">
        <v>2</v>
      </c>
      <c r="AX126">
        <v>16784931</v>
      </c>
      <c r="AY126">
        <v>1</v>
      </c>
      <c r="AZ126">
        <v>0</v>
      </c>
      <c r="BA126">
        <v>128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Y126*Source!I55</f>
        <v>50.058</v>
      </c>
      <c r="CY126">
        <f>AA126</f>
        <v>316.5</v>
      </c>
      <c r="CZ126">
        <f>AE126</f>
        <v>51.8</v>
      </c>
      <c r="DA126">
        <f>AI126</f>
        <v>6.11</v>
      </c>
      <c r="DB126">
        <f t="shared" ref="DB126:DB132" si="24">ROUND(ROUND(AT126*CZ126,2),2)</f>
        <v>5335.4</v>
      </c>
      <c r="DC126">
        <f t="shared" ref="DC126:DC132" si="25">ROUND(ROUND(AT126*AG126,2),2)</f>
        <v>0</v>
      </c>
    </row>
    <row r="127" spans="1:107" x14ac:dyDescent="0.2">
      <c r="A127">
        <f>ROW(Source!A56)</f>
        <v>56</v>
      </c>
      <c r="B127">
        <v>16784195</v>
      </c>
      <c r="C127">
        <v>16784404</v>
      </c>
      <c r="D127">
        <v>15430767</v>
      </c>
      <c r="E127">
        <v>1</v>
      </c>
      <c r="F127">
        <v>1</v>
      </c>
      <c r="G127">
        <v>1</v>
      </c>
      <c r="H127">
        <v>1</v>
      </c>
      <c r="I127" t="s">
        <v>527</v>
      </c>
      <c r="J127" t="s">
        <v>6</v>
      </c>
      <c r="K127" t="s">
        <v>528</v>
      </c>
      <c r="L127">
        <v>1191</v>
      </c>
      <c r="N127">
        <v>1013</v>
      </c>
      <c r="O127" t="s">
        <v>495</v>
      </c>
      <c r="P127" t="s">
        <v>495</v>
      </c>
      <c r="Q127">
        <v>1</v>
      </c>
      <c r="W127">
        <v>0</v>
      </c>
      <c r="X127">
        <v>-400197608</v>
      </c>
      <c r="Y127">
        <v>69.87</v>
      </c>
      <c r="AA127">
        <v>0</v>
      </c>
      <c r="AB127">
        <v>0</v>
      </c>
      <c r="AC127">
        <v>0</v>
      </c>
      <c r="AD127">
        <v>8.5299999999999994</v>
      </c>
      <c r="AE127">
        <v>0</v>
      </c>
      <c r="AF127">
        <v>0</v>
      </c>
      <c r="AG127">
        <v>0</v>
      </c>
      <c r="AH127">
        <v>8.5299999999999994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69.87</v>
      </c>
      <c r="AU127" t="s">
        <v>6</v>
      </c>
      <c r="AV127">
        <v>1</v>
      </c>
      <c r="AW127">
        <v>2</v>
      </c>
      <c r="AX127">
        <v>16784408</v>
      </c>
      <c r="AY127">
        <v>1</v>
      </c>
      <c r="AZ127">
        <v>0</v>
      </c>
      <c r="BA127">
        <v>129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Y127*Source!I56</f>
        <v>32.978639999999999</v>
      </c>
      <c r="CY127">
        <f>AD127</f>
        <v>8.5299999999999994</v>
      </c>
      <c r="CZ127">
        <f>AH127</f>
        <v>8.5299999999999994</v>
      </c>
      <c r="DA127">
        <f>AL127</f>
        <v>1</v>
      </c>
      <c r="DB127">
        <f t="shared" si="24"/>
        <v>595.99</v>
      </c>
      <c r="DC127">
        <f t="shared" si="25"/>
        <v>0</v>
      </c>
    </row>
    <row r="128" spans="1:107" x14ac:dyDescent="0.2">
      <c r="A128">
        <f>ROW(Source!A56)</f>
        <v>56</v>
      </c>
      <c r="B128">
        <v>16784195</v>
      </c>
      <c r="C128">
        <v>16784404</v>
      </c>
      <c r="D128">
        <v>15430395</v>
      </c>
      <c r="E128">
        <v>1</v>
      </c>
      <c r="F128">
        <v>1</v>
      </c>
      <c r="G128">
        <v>1</v>
      </c>
      <c r="H128">
        <v>1</v>
      </c>
      <c r="I128" t="s">
        <v>496</v>
      </c>
      <c r="J128" t="s">
        <v>6</v>
      </c>
      <c r="K128" t="s">
        <v>497</v>
      </c>
      <c r="L128">
        <v>1191</v>
      </c>
      <c r="N128">
        <v>1013</v>
      </c>
      <c r="O128" t="s">
        <v>495</v>
      </c>
      <c r="P128" t="s">
        <v>495</v>
      </c>
      <c r="Q128">
        <v>1</v>
      </c>
      <c r="W128">
        <v>0</v>
      </c>
      <c r="X128">
        <v>-1417349443</v>
      </c>
      <c r="Y128">
        <v>1.44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1.44</v>
      </c>
      <c r="AU128" t="s">
        <v>6</v>
      </c>
      <c r="AV128">
        <v>2</v>
      </c>
      <c r="AW128">
        <v>2</v>
      </c>
      <c r="AX128">
        <v>16784409</v>
      </c>
      <c r="AY128">
        <v>1</v>
      </c>
      <c r="AZ128">
        <v>0</v>
      </c>
      <c r="BA128">
        <v>130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Y128*Source!I56</f>
        <v>0.67967999999999995</v>
      </c>
      <c r="CY128">
        <f>AD128</f>
        <v>0</v>
      </c>
      <c r="CZ128">
        <f>AH128</f>
        <v>0</v>
      </c>
      <c r="DA128">
        <f>AL128</f>
        <v>1</v>
      </c>
      <c r="DB128">
        <f t="shared" si="24"/>
        <v>0</v>
      </c>
      <c r="DC128">
        <f t="shared" si="25"/>
        <v>0</v>
      </c>
    </row>
    <row r="129" spans="1:107" x14ac:dyDescent="0.2">
      <c r="A129">
        <f>ROW(Source!A56)</f>
        <v>56</v>
      </c>
      <c r="B129">
        <v>16784195</v>
      </c>
      <c r="C129">
        <v>16784404</v>
      </c>
      <c r="D129">
        <v>15247974</v>
      </c>
      <c r="E129">
        <v>1</v>
      </c>
      <c r="F129">
        <v>1</v>
      </c>
      <c r="G129">
        <v>1</v>
      </c>
      <c r="H129">
        <v>2</v>
      </c>
      <c r="I129" t="s">
        <v>498</v>
      </c>
      <c r="J129" t="s">
        <v>499</v>
      </c>
      <c r="K129" t="s">
        <v>500</v>
      </c>
      <c r="L129">
        <v>1368</v>
      </c>
      <c r="N129">
        <v>1011</v>
      </c>
      <c r="O129" t="s">
        <v>501</v>
      </c>
      <c r="P129" t="s">
        <v>501</v>
      </c>
      <c r="Q129">
        <v>1</v>
      </c>
      <c r="W129">
        <v>0</v>
      </c>
      <c r="X129">
        <v>1188625873</v>
      </c>
      <c r="Y129">
        <v>1.44</v>
      </c>
      <c r="AA129">
        <v>0</v>
      </c>
      <c r="AB129">
        <v>31.26</v>
      </c>
      <c r="AC129">
        <v>13.5</v>
      </c>
      <c r="AD129">
        <v>0</v>
      </c>
      <c r="AE129">
        <v>0</v>
      </c>
      <c r="AF129">
        <v>31.26</v>
      </c>
      <c r="AG129">
        <v>13.5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6</v>
      </c>
      <c r="AT129">
        <v>1.44</v>
      </c>
      <c r="AU129" t="s">
        <v>6</v>
      </c>
      <c r="AV129">
        <v>0</v>
      </c>
      <c r="AW129">
        <v>2</v>
      </c>
      <c r="AX129">
        <v>16784410</v>
      </c>
      <c r="AY129">
        <v>1</v>
      </c>
      <c r="AZ129">
        <v>0</v>
      </c>
      <c r="BA129">
        <v>131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Y129*Source!I56</f>
        <v>0.67967999999999995</v>
      </c>
      <c r="CY129">
        <f>AB129</f>
        <v>31.26</v>
      </c>
      <c r="CZ129">
        <f>AF129</f>
        <v>31.26</v>
      </c>
      <c r="DA129">
        <f>AJ129</f>
        <v>1</v>
      </c>
      <c r="DB129">
        <f t="shared" si="24"/>
        <v>45.01</v>
      </c>
      <c r="DC129">
        <f t="shared" si="25"/>
        <v>19.440000000000001</v>
      </c>
    </row>
    <row r="130" spans="1:107" x14ac:dyDescent="0.2">
      <c r="A130">
        <f>ROW(Source!A57)</f>
        <v>57</v>
      </c>
      <c r="B130">
        <v>16784196</v>
      </c>
      <c r="C130">
        <v>16784404</v>
      </c>
      <c r="D130">
        <v>15430767</v>
      </c>
      <c r="E130">
        <v>1</v>
      </c>
      <c r="F130">
        <v>1</v>
      </c>
      <c r="G130">
        <v>1</v>
      </c>
      <c r="H130">
        <v>1</v>
      </c>
      <c r="I130" t="s">
        <v>527</v>
      </c>
      <c r="J130" t="s">
        <v>6</v>
      </c>
      <c r="K130" t="s">
        <v>528</v>
      </c>
      <c r="L130">
        <v>1191</v>
      </c>
      <c r="N130">
        <v>1013</v>
      </c>
      <c r="O130" t="s">
        <v>495</v>
      </c>
      <c r="P130" t="s">
        <v>495</v>
      </c>
      <c r="Q130">
        <v>1</v>
      </c>
      <c r="W130">
        <v>0</v>
      </c>
      <c r="X130">
        <v>-400197608</v>
      </c>
      <c r="Y130">
        <v>69.87</v>
      </c>
      <c r="AA130">
        <v>0</v>
      </c>
      <c r="AB130">
        <v>0</v>
      </c>
      <c r="AC130">
        <v>0</v>
      </c>
      <c r="AD130">
        <v>52.12</v>
      </c>
      <c r="AE130">
        <v>0</v>
      </c>
      <c r="AF130">
        <v>0</v>
      </c>
      <c r="AG130">
        <v>0</v>
      </c>
      <c r="AH130">
        <v>8.5299999999999994</v>
      </c>
      <c r="AI130">
        <v>1</v>
      </c>
      <c r="AJ130">
        <v>1</v>
      </c>
      <c r="AK130">
        <v>1</v>
      </c>
      <c r="AL130">
        <v>6.11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69.87</v>
      </c>
      <c r="AU130" t="s">
        <v>6</v>
      </c>
      <c r="AV130">
        <v>1</v>
      </c>
      <c r="AW130">
        <v>2</v>
      </c>
      <c r="AX130">
        <v>16784408</v>
      </c>
      <c r="AY130">
        <v>1</v>
      </c>
      <c r="AZ130">
        <v>0</v>
      </c>
      <c r="BA130">
        <v>133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Y130*Source!I57</f>
        <v>32.978639999999999</v>
      </c>
      <c r="CY130">
        <f>AD130</f>
        <v>52.12</v>
      </c>
      <c r="CZ130">
        <f>AH130</f>
        <v>8.5299999999999994</v>
      </c>
      <c r="DA130">
        <f>AL130</f>
        <v>6.11</v>
      </c>
      <c r="DB130">
        <f t="shared" si="24"/>
        <v>595.99</v>
      </c>
      <c r="DC130">
        <f t="shared" si="25"/>
        <v>0</v>
      </c>
    </row>
    <row r="131" spans="1:107" x14ac:dyDescent="0.2">
      <c r="A131">
        <f>ROW(Source!A57)</f>
        <v>57</v>
      </c>
      <c r="B131">
        <v>16784196</v>
      </c>
      <c r="C131">
        <v>16784404</v>
      </c>
      <c r="D131">
        <v>15430395</v>
      </c>
      <c r="E131">
        <v>1</v>
      </c>
      <c r="F131">
        <v>1</v>
      </c>
      <c r="G131">
        <v>1</v>
      </c>
      <c r="H131">
        <v>1</v>
      </c>
      <c r="I131" t="s">
        <v>496</v>
      </c>
      <c r="J131" t="s">
        <v>6</v>
      </c>
      <c r="K131" t="s">
        <v>497</v>
      </c>
      <c r="L131">
        <v>1191</v>
      </c>
      <c r="N131">
        <v>1013</v>
      </c>
      <c r="O131" t="s">
        <v>495</v>
      </c>
      <c r="P131" t="s">
        <v>495</v>
      </c>
      <c r="Q131">
        <v>1</v>
      </c>
      <c r="W131">
        <v>0</v>
      </c>
      <c r="X131">
        <v>-1417349443</v>
      </c>
      <c r="Y131">
        <v>1.44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6.11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1.44</v>
      </c>
      <c r="AU131" t="s">
        <v>6</v>
      </c>
      <c r="AV131">
        <v>2</v>
      </c>
      <c r="AW131">
        <v>2</v>
      </c>
      <c r="AX131">
        <v>16784409</v>
      </c>
      <c r="AY131">
        <v>1</v>
      </c>
      <c r="AZ131">
        <v>0</v>
      </c>
      <c r="BA131">
        <v>134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Y131*Source!I57</f>
        <v>0.67967999999999995</v>
      </c>
      <c r="CY131">
        <f>AD131</f>
        <v>0</v>
      </c>
      <c r="CZ131">
        <f>AH131</f>
        <v>0</v>
      </c>
      <c r="DA131">
        <f>AL131</f>
        <v>1</v>
      </c>
      <c r="DB131">
        <f t="shared" si="24"/>
        <v>0</v>
      </c>
      <c r="DC131">
        <f t="shared" si="25"/>
        <v>0</v>
      </c>
    </row>
    <row r="132" spans="1:107" x14ac:dyDescent="0.2">
      <c r="A132">
        <f>ROW(Source!A57)</f>
        <v>57</v>
      </c>
      <c r="B132">
        <v>16784196</v>
      </c>
      <c r="C132">
        <v>16784404</v>
      </c>
      <c r="D132">
        <v>15247974</v>
      </c>
      <c r="E132">
        <v>1</v>
      </c>
      <c r="F132">
        <v>1</v>
      </c>
      <c r="G132">
        <v>1</v>
      </c>
      <c r="H132">
        <v>2</v>
      </c>
      <c r="I132" t="s">
        <v>498</v>
      </c>
      <c r="J132" t="s">
        <v>499</v>
      </c>
      <c r="K132" t="s">
        <v>500</v>
      </c>
      <c r="L132">
        <v>1368</v>
      </c>
      <c r="N132">
        <v>1011</v>
      </c>
      <c r="O132" t="s">
        <v>501</v>
      </c>
      <c r="P132" t="s">
        <v>501</v>
      </c>
      <c r="Q132">
        <v>1</v>
      </c>
      <c r="W132">
        <v>0</v>
      </c>
      <c r="X132">
        <v>1188625873</v>
      </c>
      <c r="Y132">
        <v>1.44</v>
      </c>
      <c r="AA132">
        <v>0</v>
      </c>
      <c r="AB132">
        <v>191</v>
      </c>
      <c r="AC132">
        <v>13.5</v>
      </c>
      <c r="AD132">
        <v>0</v>
      </c>
      <c r="AE132">
        <v>0</v>
      </c>
      <c r="AF132">
        <v>31.26</v>
      </c>
      <c r="AG132">
        <v>13.5</v>
      </c>
      <c r="AH132">
        <v>0</v>
      </c>
      <c r="AI132">
        <v>1</v>
      </c>
      <c r="AJ132">
        <v>6.11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1.44</v>
      </c>
      <c r="AU132" t="s">
        <v>6</v>
      </c>
      <c r="AV132">
        <v>0</v>
      </c>
      <c r="AW132">
        <v>2</v>
      </c>
      <c r="AX132">
        <v>16784410</v>
      </c>
      <c r="AY132">
        <v>1</v>
      </c>
      <c r="AZ132">
        <v>0</v>
      </c>
      <c r="BA132">
        <v>135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Y132*Source!I57</f>
        <v>0.67967999999999995</v>
      </c>
      <c r="CY132">
        <f>AB132</f>
        <v>191</v>
      </c>
      <c r="CZ132">
        <f>AF132</f>
        <v>31.26</v>
      </c>
      <c r="DA132">
        <f>AJ132</f>
        <v>6.11</v>
      </c>
      <c r="DB132">
        <f t="shared" si="24"/>
        <v>45.01</v>
      </c>
      <c r="DC132">
        <f t="shared" si="25"/>
        <v>19.440000000000001</v>
      </c>
    </row>
    <row r="133" spans="1:107" x14ac:dyDescent="0.2">
      <c r="A133">
        <f>ROW(Source!A58)</f>
        <v>58</v>
      </c>
      <c r="B133">
        <v>16784195</v>
      </c>
      <c r="C133">
        <v>16784946</v>
      </c>
      <c r="D133">
        <v>15430517</v>
      </c>
      <c r="E133">
        <v>1</v>
      </c>
      <c r="F133">
        <v>1</v>
      </c>
      <c r="G133">
        <v>1</v>
      </c>
      <c r="H133">
        <v>1</v>
      </c>
      <c r="I133" t="s">
        <v>590</v>
      </c>
      <c r="J133" t="s">
        <v>6</v>
      </c>
      <c r="K133" t="s">
        <v>591</v>
      </c>
      <c r="L133">
        <v>1191</v>
      </c>
      <c r="N133">
        <v>1013</v>
      </c>
      <c r="O133" t="s">
        <v>495</v>
      </c>
      <c r="P133" t="s">
        <v>495</v>
      </c>
      <c r="Q133">
        <v>1</v>
      </c>
      <c r="W133">
        <v>0</v>
      </c>
      <c r="X133">
        <v>735429535</v>
      </c>
      <c r="Y133">
        <v>40.813499999999998</v>
      </c>
      <c r="AA133">
        <v>0</v>
      </c>
      <c r="AB133">
        <v>0</v>
      </c>
      <c r="AC133">
        <v>0</v>
      </c>
      <c r="AD133">
        <v>7.8</v>
      </c>
      <c r="AE133">
        <v>0</v>
      </c>
      <c r="AF133">
        <v>0</v>
      </c>
      <c r="AG133">
        <v>0</v>
      </c>
      <c r="AH133">
        <v>7.8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6</v>
      </c>
      <c r="AT133">
        <v>35.49</v>
      </c>
      <c r="AU133" t="s">
        <v>28</v>
      </c>
      <c r="AV133">
        <v>1</v>
      </c>
      <c r="AW133">
        <v>2</v>
      </c>
      <c r="AX133">
        <v>16784947</v>
      </c>
      <c r="AY133">
        <v>1</v>
      </c>
      <c r="AZ133">
        <v>0</v>
      </c>
      <c r="BA133">
        <v>137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Y133*Source!I58</f>
        <v>19.263971999999999</v>
      </c>
      <c r="CY133">
        <f>AD133</f>
        <v>7.8</v>
      </c>
      <c r="CZ133">
        <f>AH133</f>
        <v>7.8</v>
      </c>
      <c r="DA133">
        <f>AL133</f>
        <v>1</v>
      </c>
      <c r="DB133">
        <f>ROUND((ROUND(AT133*CZ133,2)*1.15),2)</f>
        <v>318.33999999999997</v>
      </c>
      <c r="DC133">
        <f>ROUND((ROUND(AT133*AG133,2)*1.15),2)</f>
        <v>0</v>
      </c>
    </row>
    <row r="134" spans="1:107" x14ac:dyDescent="0.2">
      <c r="A134">
        <f>ROW(Source!A58)</f>
        <v>58</v>
      </c>
      <c r="B134">
        <v>16784195</v>
      </c>
      <c r="C134">
        <v>16784946</v>
      </c>
      <c r="D134">
        <v>15430395</v>
      </c>
      <c r="E134">
        <v>1</v>
      </c>
      <c r="F134">
        <v>1</v>
      </c>
      <c r="G134">
        <v>1</v>
      </c>
      <c r="H134">
        <v>1</v>
      </c>
      <c r="I134" t="s">
        <v>496</v>
      </c>
      <c r="J134" t="s">
        <v>6</v>
      </c>
      <c r="K134" t="s">
        <v>497</v>
      </c>
      <c r="L134">
        <v>1191</v>
      </c>
      <c r="N134">
        <v>1013</v>
      </c>
      <c r="O134" t="s">
        <v>495</v>
      </c>
      <c r="P134" t="s">
        <v>495</v>
      </c>
      <c r="Q134">
        <v>1</v>
      </c>
      <c r="W134">
        <v>0</v>
      </c>
      <c r="X134">
        <v>-1417349443</v>
      </c>
      <c r="Y134">
        <v>0.13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0.13</v>
      </c>
      <c r="AU134" t="s">
        <v>6</v>
      </c>
      <c r="AV134">
        <v>2</v>
      </c>
      <c r="AW134">
        <v>2</v>
      </c>
      <c r="AX134">
        <v>16784948</v>
      </c>
      <c r="AY134">
        <v>1</v>
      </c>
      <c r="AZ134">
        <v>0</v>
      </c>
      <c r="BA134">
        <v>138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Y134*Source!I58</f>
        <v>6.1359999999999998E-2</v>
      </c>
      <c r="CY134">
        <f>AD134</f>
        <v>0</v>
      </c>
      <c r="CZ134">
        <f>AH134</f>
        <v>0</v>
      </c>
      <c r="DA134">
        <f>AL134</f>
        <v>1</v>
      </c>
      <c r="DB134">
        <f>ROUND(ROUND(AT134*CZ134,2),2)</f>
        <v>0</v>
      </c>
      <c r="DC134">
        <f>ROUND(ROUND(AT134*AG134,2),2)</f>
        <v>0</v>
      </c>
    </row>
    <row r="135" spans="1:107" x14ac:dyDescent="0.2">
      <c r="A135">
        <f>ROW(Source!A58)</f>
        <v>58</v>
      </c>
      <c r="B135">
        <v>16784195</v>
      </c>
      <c r="C135">
        <v>16784946</v>
      </c>
      <c r="D135">
        <v>15247974</v>
      </c>
      <c r="E135">
        <v>1</v>
      </c>
      <c r="F135">
        <v>1</v>
      </c>
      <c r="G135">
        <v>1</v>
      </c>
      <c r="H135">
        <v>2</v>
      </c>
      <c r="I135" t="s">
        <v>498</v>
      </c>
      <c r="J135" t="s">
        <v>499</v>
      </c>
      <c r="K135" t="s">
        <v>500</v>
      </c>
      <c r="L135">
        <v>1368</v>
      </c>
      <c r="N135">
        <v>1011</v>
      </c>
      <c r="O135" t="s">
        <v>501</v>
      </c>
      <c r="P135" t="s">
        <v>501</v>
      </c>
      <c r="Q135">
        <v>1</v>
      </c>
      <c r="W135">
        <v>0</v>
      </c>
      <c r="X135">
        <v>1188625873</v>
      </c>
      <c r="Y135">
        <v>0.13</v>
      </c>
      <c r="AA135">
        <v>0</v>
      </c>
      <c r="AB135">
        <v>31.26</v>
      </c>
      <c r="AC135">
        <v>13.5</v>
      </c>
      <c r="AD135">
        <v>0</v>
      </c>
      <c r="AE135">
        <v>0</v>
      </c>
      <c r="AF135">
        <v>31.26</v>
      </c>
      <c r="AG135">
        <v>13.5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0.13</v>
      </c>
      <c r="AU135" t="s">
        <v>6</v>
      </c>
      <c r="AV135">
        <v>0</v>
      </c>
      <c r="AW135">
        <v>2</v>
      </c>
      <c r="AX135">
        <v>16784949</v>
      </c>
      <c r="AY135">
        <v>1</v>
      </c>
      <c r="AZ135">
        <v>0</v>
      </c>
      <c r="BA135">
        <v>139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Y135*Source!I58</f>
        <v>6.1359999999999998E-2</v>
      </c>
      <c r="CY135">
        <f>AB135</f>
        <v>31.26</v>
      </c>
      <c r="CZ135">
        <f>AF135</f>
        <v>31.26</v>
      </c>
      <c r="DA135">
        <f>AJ135</f>
        <v>1</v>
      </c>
      <c r="DB135">
        <f>ROUND(ROUND(AT135*CZ135,2),2)</f>
        <v>4.0599999999999996</v>
      </c>
      <c r="DC135">
        <f>ROUND(ROUND(AT135*AG135,2),2)</f>
        <v>1.76</v>
      </c>
    </row>
    <row r="136" spans="1:107" x14ac:dyDescent="0.2">
      <c r="A136">
        <f>ROW(Source!A59)</f>
        <v>59</v>
      </c>
      <c r="B136">
        <v>16784196</v>
      </c>
      <c r="C136">
        <v>16784946</v>
      </c>
      <c r="D136">
        <v>15430517</v>
      </c>
      <c r="E136">
        <v>1</v>
      </c>
      <c r="F136">
        <v>1</v>
      </c>
      <c r="G136">
        <v>1</v>
      </c>
      <c r="H136">
        <v>1</v>
      </c>
      <c r="I136" t="s">
        <v>590</v>
      </c>
      <c r="J136" t="s">
        <v>6</v>
      </c>
      <c r="K136" t="s">
        <v>591</v>
      </c>
      <c r="L136">
        <v>1191</v>
      </c>
      <c r="N136">
        <v>1013</v>
      </c>
      <c r="O136" t="s">
        <v>495</v>
      </c>
      <c r="P136" t="s">
        <v>495</v>
      </c>
      <c r="Q136">
        <v>1</v>
      </c>
      <c r="W136">
        <v>0</v>
      </c>
      <c r="X136">
        <v>735429535</v>
      </c>
      <c r="Y136">
        <v>40.813499999999998</v>
      </c>
      <c r="AA136">
        <v>0</v>
      </c>
      <c r="AB136">
        <v>0</v>
      </c>
      <c r="AC136">
        <v>0</v>
      </c>
      <c r="AD136">
        <v>47.66</v>
      </c>
      <c r="AE136">
        <v>0</v>
      </c>
      <c r="AF136">
        <v>0</v>
      </c>
      <c r="AG136">
        <v>0</v>
      </c>
      <c r="AH136">
        <v>7.8</v>
      </c>
      <c r="AI136">
        <v>1</v>
      </c>
      <c r="AJ136">
        <v>1</v>
      </c>
      <c r="AK136">
        <v>1</v>
      </c>
      <c r="AL136">
        <v>6.11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6</v>
      </c>
      <c r="AT136">
        <v>35.49</v>
      </c>
      <c r="AU136" t="s">
        <v>28</v>
      </c>
      <c r="AV136">
        <v>1</v>
      </c>
      <c r="AW136">
        <v>2</v>
      </c>
      <c r="AX136">
        <v>16784947</v>
      </c>
      <c r="AY136">
        <v>1</v>
      </c>
      <c r="AZ136">
        <v>0</v>
      </c>
      <c r="BA136">
        <v>141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Y136*Source!I59</f>
        <v>19.263971999999999</v>
      </c>
      <c r="CY136">
        <f>AD136</f>
        <v>47.66</v>
      </c>
      <c r="CZ136">
        <f>AH136</f>
        <v>7.8</v>
      </c>
      <c r="DA136">
        <f>AL136</f>
        <v>6.11</v>
      </c>
      <c r="DB136">
        <f>ROUND((ROUND(AT136*CZ136,2)*1.15),2)</f>
        <v>318.33999999999997</v>
      </c>
      <c r="DC136">
        <f>ROUND((ROUND(AT136*AG136,2)*1.15),2)</f>
        <v>0</v>
      </c>
    </row>
    <row r="137" spans="1:107" x14ac:dyDescent="0.2">
      <c r="A137">
        <f>ROW(Source!A59)</f>
        <v>59</v>
      </c>
      <c r="B137">
        <v>16784196</v>
      </c>
      <c r="C137">
        <v>16784946</v>
      </c>
      <c r="D137">
        <v>15430395</v>
      </c>
      <c r="E137">
        <v>1</v>
      </c>
      <c r="F137">
        <v>1</v>
      </c>
      <c r="G137">
        <v>1</v>
      </c>
      <c r="H137">
        <v>1</v>
      </c>
      <c r="I137" t="s">
        <v>496</v>
      </c>
      <c r="J137" t="s">
        <v>6</v>
      </c>
      <c r="K137" t="s">
        <v>497</v>
      </c>
      <c r="L137">
        <v>1191</v>
      </c>
      <c r="N137">
        <v>1013</v>
      </c>
      <c r="O137" t="s">
        <v>495</v>
      </c>
      <c r="P137" t="s">
        <v>495</v>
      </c>
      <c r="Q137">
        <v>1</v>
      </c>
      <c r="W137">
        <v>0</v>
      </c>
      <c r="X137">
        <v>-1417349443</v>
      </c>
      <c r="Y137">
        <v>0.13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6.11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0.13</v>
      </c>
      <c r="AU137" t="s">
        <v>6</v>
      </c>
      <c r="AV137">
        <v>2</v>
      </c>
      <c r="AW137">
        <v>2</v>
      </c>
      <c r="AX137">
        <v>16784948</v>
      </c>
      <c r="AY137">
        <v>1</v>
      </c>
      <c r="AZ137">
        <v>0</v>
      </c>
      <c r="BA137">
        <v>142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Y137*Source!I59</f>
        <v>6.1359999999999998E-2</v>
      </c>
      <c r="CY137">
        <f>AD137</f>
        <v>0</v>
      </c>
      <c r="CZ137">
        <f>AH137</f>
        <v>0</v>
      </c>
      <c r="DA137">
        <f>AL137</f>
        <v>1</v>
      </c>
      <c r="DB137">
        <f>ROUND(ROUND(AT137*CZ137,2),2)</f>
        <v>0</v>
      </c>
      <c r="DC137">
        <f>ROUND(ROUND(AT137*AG137,2),2)</f>
        <v>0</v>
      </c>
    </row>
    <row r="138" spans="1:107" x14ac:dyDescent="0.2">
      <c r="A138">
        <f>ROW(Source!A59)</f>
        <v>59</v>
      </c>
      <c r="B138">
        <v>16784196</v>
      </c>
      <c r="C138">
        <v>16784946</v>
      </c>
      <c r="D138">
        <v>15247974</v>
      </c>
      <c r="E138">
        <v>1</v>
      </c>
      <c r="F138">
        <v>1</v>
      </c>
      <c r="G138">
        <v>1</v>
      </c>
      <c r="H138">
        <v>2</v>
      </c>
      <c r="I138" t="s">
        <v>498</v>
      </c>
      <c r="J138" t="s">
        <v>499</v>
      </c>
      <c r="K138" t="s">
        <v>500</v>
      </c>
      <c r="L138">
        <v>1368</v>
      </c>
      <c r="N138">
        <v>1011</v>
      </c>
      <c r="O138" t="s">
        <v>501</v>
      </c>
      <c r="P138" t="s">
        <v>501</v>
      </c>
      <c r="Q138">
        <v>1</v>
      </c>
      <c r="W138">
        <v>0</v>
      </c>
      <c r="X138">
        <v>1188625873</v>
      </c>
      <c r="Y138">
        <v>0.13</v>
      </c>
      <c r="AA138">
        <v>0</v>
      </c>
      <c r="AB138">
        <v>191</v>
      </c>
      <c r="AC138">
        <v>13.5</v>
      </c>
      <c r="AD138">
        <v>0</v>
      </c>
      <c r="AE138">
        <v>0</v>
      </c>
      <c r="AF138">
        <v>31.26</v>
      </c>
      <c r="AG138">
        <v>13.5</v>
      </c>
      <c r="AH138">
        <v>0</v>
      </c>
      <c r="AI138">
        <v>1</v>
      </c>
      <c r="AJ138">
        <v>6.11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0.13</v>
      </c>
      <c r="AU138" t="s">
        <v>6</v>
      </c>
      <c r="AV138">
        <v>0</v>
      </c>
      <c r="AW138">
        <v>2</v>
      </c>
      <c r="AX138">
        <v>16784949</v>
      </c>
      <c r="AY138">
        <v>1</v>
      </c>
      <c r="AZ138">
        <v>0</v>
      </c>
      <c r="BA138">
        <v>143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Y138*Source!I59</f>
        <v>6.1359999999999998E-2</v>
      </c>
      <c r="CY138">
        <f>AB138</f>
        <v>191</v>
      </c>
      <c r="CZ138">
        <f>AF138</f>
        <v>31.26</v>
      </c>
      <c r="DA138">
        <f>AJ138</f>
        <v>6.11</v>
      </c>
      <c r="DB138">
        <f>ROUND(ROUND(AT138*CZ138,2),2)</f>
        <v>4.0599999999999996</v>
      </c>
      <c r="DC138">
        <f>ROUND(ROUND(AT138*AG138,2),2)</f>
        <v>1.76</v>
      </c>
    </row>
    <row r="139" spans="1:107" x14ac:dyDescent="0.2">
      <c r="A139">
        <f>ROW(Source!A60)</f>
        <v>60</v>
      </c>
      <c r="B139">
        <v>16784195</v>
      </c>
      <c r="C139">
        <v>16784942</v>
      </c>
      <c r="D139">
        <v>15430517</v>
      </c>
      <c r="E139">
        <v>1</v>
      </c>
      <c r="F139">
        <v>1</v>
      </c>
      <c r="G139">
        <v>1</v>
      </c>
      <c r="H139">
        <v>1</v>
      </c>
      <c r="I139" t="s">
        <v>590</v>
      </c>
      <c r="J139" t="s">
        <v>6</v>
      </c>
      <c r="K139" t="s">
        <v>591</v>
      </c>
      <c r="L139">
        <v>1191</v>
      </c>
      <c r="N139">
        <v>1013</v>
      </c>
      <c r="O139" t="s">
        <v>495</v>
      </c>
      <c r="P139" t="s">
        <v>495</v>
      </c>
      <c r="Q139">
        <v>1</v>
      </c>
      <c r="W139">
        <v>0</v>
      </c>
      <c r="X139">
        <v>735429535</v>
      </c>
      <c r="Y139">
        <v>16.421999999999997</v>
      </c>
      <c r="AA139">
        <v>0</v>
      </c>
      <c r="AB139">
        <v>0</v>
      </c>
      <c r="AC139">
        <v>0</v>
      </c>
      <c r="AD139">
        <v>7.8</v>
      </c>
      <c r="AE139">
        <v>0</v>
      </c>
      <c r="AF139">
        <v>0</v>
      </c>
      <c r="AG139">
        <v>0</v>
      </c>
      <c r="AH139">
        <v>7.8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6</v>
      </c>
      <c r="AT139">
        <v>14.28</v>
      </c>
      <c r="AU139" t="s">
        <v>28</v>
      </c>
      <c r="AV139">
        <v>1</v>
      </c>
      <c r="AW139">
        <v>2</v>
      </c>
      <c r="AX139">
        <v>16784943</v>
      </c>
      <c r="AY139">
        <v>1</v>
      </c>
      <c r="AZ139">
        <v>0</v>
      </c>
      <c r="BA139">
        <v>145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Y139*Source!I60</f>
        <v>4.0233899999999991</v>
      </c>
      <c r="CY139">
        <f>AD139</f>
        <v>7.8</v>
      </c>
      <c r="CZ139">
        <f>AH139</f>
        <v>7.8</v>
      </c>
      <c r="DA139">
        <f>AL139</f>
        <v>1</v>
      </c>
      <c r="DB139">
        <f>ROUND((ROUND(AT139*CZ139,2)*1.15),2)</f>
        <v>128.09</v>
      </c>
      <c r="DC139">
        <f>ROUND((ROUND(AT139*AG139,2)*1.15),2)</f>
        <v>0</v>
      </c>
    </row>
    <row r="140" spans="1:107" x14ac:dyDescent="0.2">
      <c r="A140">
        <f>ROW(Source!A61)</f>
        <v>61</v>
      </c>
      <c r="B140">
        <v>16784196</v>
      </c>
      <c r="C140">
        <v>16784942</v>
      </c>
      <c r="D140">
        <v>15430517</v>
      </c>
      <c r="E140">
        <v>1</v>
      </c>
      <c r="F140">
        <v>1</v>
      </c>
      <c r="G140">
        <v>1</v>
      </c>
      <c r="H140">
        <v>1</v>
      </c>
      <c r="I140" t="s">
        <v>590</v>
      </c>
      <c r="J140" t="s">
        <v>6</v>
      </c>
      <c r="K140" t="s">
        <v>591</v>
      </c>
      <c r="L140">
        <v>1191</v>
      </c>
      <c r="N140">
        <v>1013</v>
      </c>
      <c r="O140" t="s">
        <v>495</v>
      </c>
      <c r="P140" t="s">
        <v>495</v>
      </c>
      <c r="Q140">
        <v>1</v>
      </c>
      <c r="W140">
        <v>0</v>
      </c>
      <c r="X140">
        <v>735429535</v>
      </c>
      <c r="Y140">
        <v>16.421999999999997</v>
      </c>
      <c r="AA140">
        <v>0</v>
      </c>
      <c r="AB140">
        <v>0</v>
      </c>
      <c r="AC140">
        <v>0</v>
      </c>
      <c r="AD140">
        <v>47.66</v>
      </c>
      <c r="AE140">
        <v>0</v>
      </c>
      <c r="AF140">
        <v>0</v>
      </c>
      <c r="AG140">
        <v>0</v>
      </c>
      <c r="AH140">
        <v>7.8</v>
      </c>
      <c r="AI140">
        <v>1</v>
      </c>
      <c r="AJ140">
        <v>1</v>
      </c>
      <c r="AK140">
        <v>1</v>
      </c>
      <c r="AL140">
        <v>6.11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6</v>
      </c>
      <c r="AT140">
        <v>14.28</v>
      </c>
      <c r="AU140" t="s">
        <v>28</v>
      </c>
      <c r="AV140">
        <v>1</v>
      </c>
      <c r="AW140">
        <v>2</v>
      </c>
      <c r="AX140">
        <v>16784943</v>
      </c>
      <c r="AY140">
        <v>1</v>
      </c>
      <c r="AZ140">
        <v>0</v>
      </c>
      <c r="BA140">
        <v>147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Y140*Source!I61</f>
        <v>4.0233899999999991</v>
      </c>
      <c r="CY140">
        <f>AD140</f>
        <v>47.66</v>
      </c>
      <c r="CZ140">
        <f>AH140</f>
        <v>7.8</v>
      </c>
      <c r="DA140">
        <f>AL140</f>
        <v>6.11</v>
      </c>
      <c r="DB140">
        <f>ROUND((ROUND(AT140*CZ140,2)*1.15),2)</f>
        <v>128.09</v>
      </c>
      <c r="DC140">
        <f>ROUND((ROUND(AT140*AG140,2)*1.15),2)</f>
        <v>0</v>
      </c>
    </row>
    <row r="141" spans="1:107" x14ac:dyDescent="0.2">
      <c r="A141">
        <f>ROW(Source!A62)</f>
        <v>62</v>
      </c>
      <c r="B141">
        <v>16784195</v>
      </c>
      <c r="C141">
        <v>16784416</v>
      </c>
      <c r="D141">
        <v>15433640</v>
      </c>
      <c r="E141">
        <v>1</v>
      </c>
      <c r="F141">
        <v>1</v>
      </c>
      <c r="G141">
        <v>1</v>
      </c>
      <c r="H141">
        <v>1</v>
      </c>
      <c r="I141" t="s">
        <v>592</v>
      </c>
      <c r="J141" t="s">
        <v>6</v>
      </c>
      <c r="K141" t="s">
        <v>593</v>
      </c>
      <c r="L141">
        <v>1191</v>
      </c>
      <c r="N141">
        <v>1013</v>
      </c>
      <c r="O141" t="s">
        <v>495</v>
      </c>
      <c r="P141" t="s">
        <v>495</v>
      </c>
      <c r="Q141">
        <v>1</v>
      </c>
      <c r="W141">
        <v>0</v>
      </c>
      <c r="X141">
        <v>-1366118074</v>
      </c>
      <c r="Y141">
        <v>45.436499999999995</v>
      </c>
      <c r="AA141">
        <v>0</v>
      </c>
      <c r="AB141">
        <v>0</v>
      </c>
      <c r="AC141">
        <v>0</v>
      </c>
      <c r="AD141">
        <v>7.94</v>
      </c>
      <c r="AE141">
        <v>0</v>
      </c>
      <c r="AF141">
        <v>0</v>
      </c>
      <c r="AG141">
        <v>0</v>
      </c>
      <c r="AH141">
        <v>7.94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6</v>
      </c>
      <c r="AT141">
        <v>39.51</v>
      </c>
      <c r="AU141" t="s">
        <v>28</v>
      </c>
      <c r="AV141">
        <v>1</v>
      </c>
      <c r="AW141">
        <v>2</v>
      </c>
      <c r="AX141">
        <v>16784423</v>
      </c>
      <c r="AY141">
        <v>1</v>
      </c>
      <c r="AZ141">
        <v>0</v>
      </c>
      <c r="BA141">
        <v>149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Y141*Source!I62</f>
        <v>21.446027999999998</v>
      </c>
      <c r="CY141">
        <f>AD141</f>
        <v>7.94</v>
      </c>
      <c r="CZ141">
        <f>AH141</f>
        <v>7.94</v>
      </c>
      <c r="DA141">
        <f>AL141</f>
        <v>1</v>
      </c>
      <c r="DB141">
        <f>ROUND((ROUND(AT141*CZ141,2)*1.15),2)</f>
        <v>360.77</v>
      </c>
      <c r="DC141">
        <f>ROUND((ROUND(AT141*AG141,2)*1.15),2)</f>
        <v>0</v>
      </c>
    </row>
    <row r="142" spans="1:107" x14ac:dyDescent="0.2">
      <c r="A142">
        <f>ROW(Source!A62)</f>
        <v>62</v>
      </c>
      <c r="B142">
        <v>16784195</v>
      </c>
      <c r="C142">
        <v>16784416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496</v>
      </c>
      <c r="J142" t="s">
        <v>6</v>
      </c>
      <c r="K142" t="s">
        <v>497</v>
      </c>
      <c r="L142">
        <v>1191</v>
      </c>
      <c r="N142">
        <v>1013</v>
      </c>
      <c r="O142" t="s">
        <v>495</v>
      </c>
      <c r="P142" t="s">
        <v>495</v>
      </c>
      <c r="Q142">
        <v>1</v>
      </c>
      <c r="W142">
        <v>0</v>
      </c>
      <c r="X142">
        <v>-1417349443</v>
      </c>
      <c r="Y142">
        <v>1.27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6</v>
      </c>
      <c r="AT142">
        <v>1.27</v>
      </c>
      <c r="AU142" t="s">
        <v>6</v>
      </c>
      <c r="AV142">
        <v>2</v>
      </c>
      <c r="AW142">
        <v>2</v>
      </c>
      <c r="AX142">
        <v>16784424</v>
      </c>
      <c r="AY142">
        <v>1</v>
      </c>
      <c r="AZ142">
        <v>2048</v>
      </c>
      <c r="BA142">
        <v>150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Y142*Source!I62</f>
        <v>0.59943999999999997</v>
      </c>
      <c r="CY142">
        <f>AD142</f>
        <v>0</v>
      </c>
      <c r="CZ142">
        <f>AH142</f>
        <v>0</v>
      </c>
      <c r="DA142">
        <f>AL142</f>
        <v>1</v>
      </c>
      <c r="DB142">
        <f>ROUND(ROUND(AT142*CZ142,2),2)</f>
        <v>0</v>
      </c>
      <c r="DC142">
        <f>ROUND(ROUND(AT142*AG142,2),2)</f>
        <v>0</v>
      </c>
    </row>
    <row r="143" spans="1:107" x14ac:dyDescent="0.2">
      <c r="A143">
        <f>ROW(Source!A62)</f>
        <v>62</v>
      </c>
      <c r="B143">
        <v>16784195</v>
      </c>
      <c r="C143">
        <v>16784416</v>
      </c>
      <c r="D143">
        <v>15247974</v>
      </c>
      <c r="E143">
        <v>1</v>
      </c>
      <c r="F143">
        <v>1</v>
      </c>
      <c r="G143">
        <v>1</v>
      </c>
      <c r="H143">
        <v>2</v>
      </c>
      <c r="I143" t="s">
        <v>498</v>
      </c>
      <c r="J143" t="s">
        <v>499</v>
      </c>
      <c r="K143" t="s">
        <v>500</v>
      </c>
      <c r="L143">
        <v>1368</v>
      </c>
      <c r="N143">
        <v>1011</v>
      </c>
      <c r="O143" t="s">
        <v>501</v>
      </c>
      <c r="P143" t="s">
        <v>501</v>
      </c>
      <c r="Q143">
        <v>1</v>
      </c>
      <c r="W143">
        <v>0</v>
      </c>
      <c r="X143">
        <v>1188625873</v>
      </c>
      <c r="Y143">
        <v>1.5874999999999999</v>
      </c>
      <c r="AA143">
        <v>0</v>
      </c>
      <c r="AB143">
        <v>31.26</v>
      </c>
      <c r="AC143">
        <v>13.5</v>
      </c>
      <c r="AD143">
        <v>0</v>
      </c>
      <c r="AE143">
        <v>0</v>
      </c>
      <c r="AF143">
        <v>31.26</v>
      </c>
      <c r="AG143">
        <v>13.5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6</v>
      </c>
      <c r="AT143">
        <v>1.27</v>
      </c>
      <c r="AU143" t="s">
        <v>27</v>
      </c>
      <c r="AV143">
        <v>0</v>
      </c>
      <c r="AW143">
        <v>2</v>
      </c>
      <c r="AX143">
        <v>16784425</v>
      </c>
      <c r="AY143">
        <v>1</v>
      </c>
      <c r="AZ143">
        <v>0</v>
      </c>
      <c r="BA143">
        <v>151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Y143*Source!I62</f>
        <v>0.74929999999999997</v>
      </c>
      <c r="CY143">
        <f>AB143</f>
        <v>31.26</v>
      </c>
      <c r="CZ143">
        <f>AF143</f>
        <v>31.26</v>
      </c>
      <c r="DA143">
        <f>AJ143</f>
        <v>1</v>
      </c>
      <c r="DB143">
        <f>ROUND((ROUND(AT143*CZ143,2)*1.25),2)</f>
        <v>49.63</v>
      </c>
      <c r="DC143">
        <f>ROUND((ROUND(AT143*AG143,2)*1.25),2)</f>
        <v>21.44</v>
      </c>
    </row>
    <row r="144" spans="1:107" x14ac:dyDescent="0.2">
      <c r="A144">
        <f>ROW(Source!A62)</f>
        <v>62</v>
      </c>
      <c r="B144">
        <v>16784195</v>
      </c>
      <c r="C144">
        <v>16784416</v>
      </c>
      <c r="D144">
        <v>15248091</v>
      </c>
      <c r="E144">
        <v>1</v>
      </c>
      <c r="F144">
        <v>1</v>
      </c>
      <c r="G144">
        <v>1</v>
      </c>
      <c r="H144">
        <v>2</v>
      </c>
      <c r="I144" t="s">
        <v>594</v>
      </c>
      <c r="J144" t="s">
        <v>595</v>
      </c>
      <c r="K144" t="s">
        <v>596</v>
      </c>
      <c r="L144">
        <v>1368</v>
      </c>
      <c r="N144">
        <v>1011</v>
      </c>
      <c r="O144" t="s">
        <v>501</v>
      </c>
      <c r="P144" t="s">
        <v>501</v>
      </c>
      <c r="Q144">
        <v>1</v>
      </c>
      <c r="W144">
        <v>0</v>
      </c>
      <c r="X144">
        <v>126902709</v>
      </c>
      <c r="Y144">
        <v>11.3375</v>
      </c>
      <c r="AA144">
        <v>0</v>
      </c>
      <c r="AB144">
        <v>0.5</v>
      </c>
      <c r="AC144">
        <v>0</v>
      </c>
      <c r="AD144">
        <v>0</v>
      </c>
      <c r="AE144">
        <v>0</v>
      </c>
      <c r="AF144">
        <v>0.5</v>
      </c>
      <c r="AG144">
        <v>0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9.07</v>
      </c>
      <c r="AU144" t="s">
        <v>27</v>
      </c>
      <c r="AV144">
        <v>0</v>
      </c>
      <c r="AW144">
        <v>2</v>
      </c>
      <c r="AX144">
        <v>16784426</v>
      </c>
      <c r="AY144">
        <v>1</v>
      </c>
      <c r="AZ144">
        <v>0</v>
      </c>
      <c r="BA144">
        <v>152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Y144*Source!I62</f>
        <v>5.3513000000000002</v>
      </c>
      <c r="CY144">
        <f>AB144</f>
        <v>0.5</v>
      </c>
      <c r="CZ144">
        <f>AF144</f>
        <v>0.5</v>
      </c>
      <c r="DA144">
        <f>AJ144</f>
        <v>1</v>
      </c>
      <c r="DB144">
        <f>ROUND((ROUND(AT144*CZ144,2)*1.25),2)</f>
        <v>5.68</v>
      </c>
      <c r="DC144">
        <f>ROUND((ROUND(AT144*AG144,2)*1.25),2)</f>
        <v>0</v>
      </c>
    </row>
    <row r="145" spans="1:107" x14ac:dyDescent="0.2">
      <c r="A145">
        <f>ROW(Source!A62)</f>
        <v>62</v>
      </c>
      <c r="B145">
        <v>16784195</v>
      </c>
      <c r="C145">
        <v>16784416</v>
      </c>
      <c r="D145">
        <v>15167286</v>
      </c>
      <c r="E145">
        <v>1</v>
      </c>
      <c r="F145">
        <v>1</v>
      </c>
      <c r="G145">
        <v>1</v>
      </c>
      <c r="H145">
        <v>3</v>
      </c>
      <c r="I145" t="s">
        <v>597</v>
      </c>
      <c r="J145" t="s">
        <v>598</v>
      </c>
      <c r="K145" t="s">
        <v>599</v>
      </c>
      <c r="L145">
        <v>1339</v>
      </c>
      <c r="N145">
        <v>1007</v>
      </c>
      <c r="O145" t="s">
        <v>128</v>
      </c>
      <c r="P145" t="s">
        <v>128</v>
      </c>
      <c r="Q145">
        <v>1</v>
      </c>
      <c r="W145">
        <v>0</v>
      </c>
      <c r="X145">
        <v>-1660354250</v>
      </c>
      <c r="Y145">
        <v>3.5</v>
      </c>
      <c r="AA145">
        <v>2.44</v>
      </c>
      <c r="AB145">
        <v>0</v>
      </c>
      <c r="AC145">
        <v>0</v>
      </c>
      <c r="AD145">
        <v>0</v>
      </c>
      <c r="AE145">
        <v>2.44</v>
      </c>
      <c r="AF145">
        <v>0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0</v>
      </c>
      <c r="AQ145">
        <v>0</v>
      </c>
      <c r="AR145">
        <v>0</v>
      </c>
      <c r="AS145" t="s">
        <v>6</v>
      </c>
      <c r="AT145">
        <v>3.5</v>
      </c>
      <c r="AU145" t="s">
        <v>6</v>
      </c>
      <c r="AV145">
        <v>0</v>
      </c>
      <c r="AW145">
        <v>2</v>
      </c>
      <c r="AX145">
        <v>16784427</v>
      </c>
      <c r="AY145">
        <v>1</v>
      </c>
      <c r="AZ145">
        <v>0</v>
      </c>
      <c r="BA145">
        <v>153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Y145*Source!I62</f>
        <v>1.6519999999999999</v>
      </c>
      <c r="CY145">
        <f>AA145</f>
        <v>2.44</v>
      </c>
      <c r="CZ145">
        <f>AE145</f>
        <v>2.44</v>
      </c>
      <c r="DA145">
        <f>AI145</f>
        <v>1</v>
      </c>
      <c r="DB145">
        <f>ROUND(ROUND(AT145*CZ145,2),2)</f>
        <v>8.5399999999999991</v>
      </c>
      <c r="DC145">
        <f>ROUND(ROUND(AT145*AG145,2),2)</f>
        <v>0</v>
      </c>
    </row>
    <row r="146" spans="1:107" x14ac:dyDescent="0.2">
      <c r="A146">
        <f>ROW(Source!A62)</f>
        <v>62</v>
      </c>
      <c r="B146">
        <v>16784195</v>
      </c>
      <c r="C146">
        <v>16784416</v>
      </c>
      <c r="D146">
        <v>15172837</v>
      </c>
      <c r="E146">
        <v>1</v>
      </c>
      <c r="F146">
        <v>1</v>
      </c>
      <c r="G146">
        <v>1</v>
      </c>
      <c r="H146">
        <v>3</v>
      </c>
      <c r="I146" t="s">
        <v>126</v>
      </c>
      <c r="J146" t="s">
        <v>129</v>
      </c>
      <c r="K146" t="s">
        <v>127</v>
      </c>
      <c r="L146">
        <v>1339</v>
      </c>
      <c r="N146">
        <v>1007</v>
      </c>
      <c r="O146" t="s">
        <v>128</v>
      </c>
      <c r="P146" t="s">
        <v>128</v>
      </c>
      <c r="Q146">
        <v>1</v>
      </c>
      <c r="W146">
        <v>0</v>
      </c>
      <c r="X146">
        <v>-1970722706</v>
      </c>
      <c r="Y146">
        <v>2.04</v>
      </c>
      <c r="AA146">
        <v>548.29999999999995</v>
      </c>
      <c r="AB146">
        <v>0</v>
      </c>
      <c r="AC146">
        <v>0</v>
      </c>
      <c r="AD146">
        <v>0</v>
      </c>
      <c r="AE146">
        <v>548.29999999999995</v>
      </c>
      <c r="AF146">
        <v>0</v>
      </c>
      <c r="AG146">
        <v>0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6</v>
      </c>
      <c r="AT146">
        <v>2.04</v>
      </c>
      <c r="AU146" t="s">
        <v>6</v>
      </c>
      <c r="AV146">
        <v>0</v>
      </c>
      <c r="AW146">
        <v>1</v>
      </c>
      <c r="AX146">
        <v>-1</v>
      </c>
      <c r="AY146">
        <v>0</v>
      </c>
      <c r="AZ146">
        <v>0</v>
      </c>
      <c r="BA146" t="s">
        <v>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Y146*Source!I62</f>
        <v>0.96287999999999996</v>
      </c>
      <c r="CY146">
        <f>AA146</f>
        <v>548.29999999999995</v>
      </c>
      <c r="CZ146">
        <f>AE146</f>
        <v>548.29999999999995</v>
      </c>
      <c r="DA146">
        <f>AI146</f>
        <v>1</v>
      </c>
      <c r="DB146">
        <f>ROUND(ROUND(AT146*CZ146,2),2)</f>
        <v>1118.53</v>
      </c>
      <c r="DC146">
        <f>ROUND(ROUND(AT146*AG146,2),2)</f>
        <v>0</v>
      </c>
    </row>
    <row r="147" spans="1:107" x14ac:dyDescent="0.2">
      <c r="A147">
        <f>ROW(Source!A63)</f>
        <v>63</v>
      </c>
      <c r="B147">
        <v>16784196</v>
      </c>
      <c r="C147">
        <v>16784416</v>
      </c>
      <c r="D147">
        <v>15433640</v>
      </c>
      <c r="E147">
        <v>1</v>
      </c>
      <c r="F147">
        <v>1</v>
      </c>
      <c r="G147">
        <v>1</v>
      </c>
      <c r="H147">
        <v>1</v>
      </c>
      <c r="I147" t="s">
        <v>592</v>
      </c>
      <c r="J147" t="s">
        <v>6</v>
      </c>
      <c r="K147" t="s">
        <v>593</v>
      </c>
      <c r="L147">
        <v>1191</v>
      </c>
      <c r="N147">
        <v>1013</v>
      </c>
      <c r="O147" t="s">
        <v>495</v>
      </c>
      <c r="P147" t="s">
        <v>495</v>
      </c>
      <c r="Q147">
        <v>1</v>
      </c>
      <c r="W147">
        <v>0</v>
      </c>
      <c r="X147">
        <v>-1366118074</v>
      </c>
      <c r="Y147">
        <v>45.436499999999995</v>
      </c>
      <c r="AA147">
        <v>0</v>
      </c>
      <c r="AB147">
        <v>0</v>
      </c>
      <c r="AC147">
        <v>0</v>
      </c>
      <c r="AD147">
        <v>48.51</v>
      </c>
      <c r="AE147">
        <v>0</v>
      </c>
      <c r="AF147">
        <v>0</v>
      </c>
      <c r="AG147">
        <v>0</v>
      </c>
      <c r="AH147">
        <v>7.94</v>
      </c>
      <c r="AI147">
        <v>1</v>
      </c>
      <c r="AJ147">
        <v>1</v>
      </c>
      <c r="AK147">
        <v>1</v>
      </c>
      <c r="AL147">
        <v>6.11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6</v>
      </c>
      <c r="AT147">
        <v>39.51</v>
      </c>
      <c r="AU147" t="s">
        <v>28</v>
      </c>
      <c r="AV147">
        <v>1</v>
      </c>
      <c r="AW147">
        <v>2</v>
      </c>
      <c r="AX147">
        <v>16784423</v>
      </c>
      <c r="AY147">
        <v>1</v>
      </c>
      <c r="AZ147">
        <v>0</v>
      </c>
      <c r="BA147">
        <v>155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Y147*Source!I63</f>
        <v>21.446027999999998</v>
      </c>
      <c r="CY147">
        <f>AD147</f>
        <v>48.51</v>
      </c>
      <c r="CZ147">
        <f>AH147</f>
        <v>7.94</v>
      </c>
      <c r="DA147">
        <f>AL147</f>
        <v>6.11</v>
      </c>
      <c r="DB147">
        <f>ROUND((ROUND(AT147*CZ147,2)*1.15),2)</f>
        <v>360.77</v>
      </c>
      <c r="DC147">
        <f>ROUND((ROUND(AT147*AG147,2)*1.15),2)</f>
        <v>0</v>
      </c>
    </row>
    <row r="148" spans="1:107" x14ac:dyDescent="0.2">
      <c r="A148">
        <f>ROW(Source!A63)</f>
        <v>63</v>
      </c>
      <c r="B148">
        <v>16784196</v>
      </c>
      <c r="C148">
        <v>16784416</v>
      </c>
      <c r="D148">
        <v>15430395</v>
      </c>
      <c r="E148">
        <v>1</v>
      </c>
      <c r="F148">
        <v>1</v>
      </c>
      <c r="G148">
        <v>1</v>
      </c>
      <c r="H148">
        <v>1</v>
      </c>
      <c r="I148" t="s">
        <v>496</v>
      </c>
      <c r="J148" t="s">
        <v>6</v>
      </c>
      <c r="K148" t="s">
        <v>497</v>
      </c>
      <c r="L148">
        <v>1191</v>
      </c>
      <c r="N148">
        <v>1013</v>
      </c>
      <c r="O148" t="s">
        <v>495</v>
      </c>
      <c r="P148" t="s">
        <v>495</v>
      </c>
      <c r="Q148">
        <v>1</v>
      </c>
      <c r="W148">
        <v>0</v>
      </c>
      <c r="X148">
        <v>-1417349443</v>
      </c>
      <c r="Y148">
        <v>1.27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6.11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6</v>
      </c>
      <c r="AT148">
        <v>1.27</v>
      </c>
      <c r="AU148" t="s">
        <v>6</v>
      </c>
      <c r="AV148">
        <v>2</v>
      </c>
      <c r="AW148">
        <v>2</v>
      </c>
      <c r="AX148">
        <v>16784424</v>
      </c>
      <c r="AY148">
        <v>1</v>
      </c>
      <c r="AZ148">
        <v>2048</v>
      </c>
      <c r="BA148">
        <v>156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Y148*Source!I63</f>
        <v>0.59943999999999997</v>
      </c>
      <c r="CY148">
        <f>AD148</f>
        <v>0</v>
      </c>
      <c r="CZ148">
        <f>AH148</f>
        <v>0</v>
      </c>
      <c r="DA148">
        <f>AL148</f>
        <v>1</v>
      </c>
      <c r="DB148">
        <f>ROUND(ROUND(AT148*CZ148,2),2)</f>
        <v>0</v>
      </c>
      <c r="DC148">
        <f>ROUND(ROUND(AT148*AG148,2),2)</f>
        <v>0</v>
      </c>
    </row>
    <row r="149" spans="1:107" x14ac:dyDescent="0.2">
      <c r="A149">
        <f>ROW(Source!A63)</f>
        <v>63</v>
      </c>
      <c r="B149">
        <v>16784196</v>
      </c>
      <c r="C149">
        <v>16784416</v>
      </c>
      <c r="D149">
        <v>15247974</v>
      </c>
      <c r="E149">
        <v>1</v>
      </c>
      <c r="F149">
        <v>1</v>
      </c>
      <c r="G149">
        <v>1</v>
      </c>
      <c r="H149">
        <v>2</v>
      </c>
      <c r="I149" t="s">
        <v>498</v>
      </c>
      <c r="J149" t="s">
        <v>499</v>
      </c>
      <c r="K149" t="s">
        <v>500</v>
      </c>
      <c r="L149">
        <v>1368</v>
      </c>
      <c r="N149">
        <v>1011</v>
      </c>
      <c r="O149" t="s">
        <v>501</v>
      </c>
      <c r="P149" t="s">
        <v>501</v>
      </c>
      <c r="Q149">
        <v>1</v>
      </c>
      <c r="W149">
        <v>0</v>
      </c>
      <c r="X149">
        <v>1188625873</v>
      </c>
      <c r="Y149">
        <v>1.5874999999999999</v>
      </c>
      <c r="AA149">
        <v>0</v>
      </c>
      <c r="AB149">
        <v>191</v>
      </c>
      <c r="AC149">
        <v>13.5</v>
      </c>
      <c r="AD149">
        <v>0</v>
      </c>
      <c r="AE149">
        <v>0</v>
      </c>
      <c r="AF149">
        <v>31.26</v>
      </c>
      <c r="AG149">
        <v>13.5</v>
      </c>
      <c r="AH149">
        <v>0</v>
      </c>
      <c r="AI149">
        <v>1</v>
      </c>
      <c r="AJ149">
        <v>6.11</v>
      </c>
      <c r="AK149">
        <v>1</v>
      </c>
      <c r="AL149">
        <v>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</v>
      </c>
      <c r="AT149">
        <v>1.27</v>
      </c>
      <c r="AU149" t="s">
        <v>27</v>
      </c>
      <c r="AV149">
        <v>0</v>
      </c>
      <c r="AW149">
        <v>2</v>
      </c>
      <c r="AX149">
        <v>16784425</v>
      </c>
      <c r="AY149">
        <v>1</v>
      </c>
      <c r="AZ149">
        <v>0</v>
      </c>
      <c r="BA149">
        <v>157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Y149*Source!I63</f>
        <v>0.74929999999999997</v>
      </c>
      <c r="CY149">
        <f>AB149</f>
        <v>191</v>
      </c>
      <c r="CZ149">
        <f>AF149</f>
        <v>31.26</v>
      </c>
      <c r="DA149">
        <f>AJ149</f>
        <v>6.11</v>
      </c>
      <c r="DB149">
        <f>ROUND((ROUND(AT149*CZ149,2)*1.25),2)</f>
        <v>49.63</v>
      </c>
      <c r="DC149">
        <f>ROUND((ROUND(AT149*AG149,2)*1.25),2)</f>
        <v>21.44</v>
      </c>
    </row>
    <row r="150" spans="1:107" x14ac:dyDescent="0.2">
      <c r="A150">
        <f>ROW(Source!A63)</f>
        <v>63</v>
      </c>
      <c r="B150">
        <v>16784196</v>
      </c>
      <c r="C150">
        <v>16784416</v>
      </c>
      <c r="D150">
        <v>15248091</v>
      </c>
      <c r="E150">
        <v>1</v>
      </c>
      <c r="F150">
        <v>1</v>
      </c>
      <c r="G150">
        <v>1</v>
      </c>
      <c r="H150">
        <v>2</v>
      </c>
      <c r="I150" t="s">
        <v>594</v>
      </c>
      <c r="J150" t="s">
        <v>595</v>
      </c>
      <c r="K150" t="s">
        <v>596</v>
      </c>
      <c r="L150">
        <v>1368</v>
      </c>
      <c r="N150">
        <v>1011</v>
      </c>
      <c r="O150" t="s">
        <v>501</v>
      </c>
      <c r="P150" t="s">
        <v>501</v>
      </c>
      <c r="Q150">
        <v>1</v>
      </c>
      <c r="W150">
        <v>0</v>
      </c>
      <c r="X150">
        <v>126902709</v>
      </c>
      <c r="Y150">
        <v>11.3375</v>
      </c>
      <c r="AA150">
        <v>0</v>
      </c>
      <c r="AB150">
        <v>3.06</v>
      </c>
      <c r="AC150">
        <v>0</v>
      </c>
      <c r="AD150">
        <v>0</v>
      </c>
      <c r="AE150">
        <v>0</v>
      </c>
      <c r="AF150">
        <v>0.5</v>
      </c>
      <c r="AG150">
        <v>0</v>
      </c>
      <c r="AH150">
        <v>0</v>
      </c>
      <c r="AI150">
        <v>1</v>
      </c>
      <c r="AJ150">
        <v>6.11</v>
      </c>
      <c r="AK150">
        <v>1</v>
      </c>
      <c r="AL150">
        <v>1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6</v>
      </c>
      <c r="AT150">
        <v>9.07</v>
      </c>
      <c r="AU150" t="s">
        <v>27</v>
      </c>
      <c r="AV150">
        <v>0</v>
      </c>
      <c r="AW150">
        <v>2</v>
      </c>
      <c r="AX150">
        <v>16784426</v>
      </c>
      <c r="AY150">
        <v>1</v>
      </c>
      <c r="AZ150">
        <v>0</v>
      </c>
      <c r="BA150">
        <v>158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Y150*Source!I63</f>
        <v>5.3513000000000002</v>
      </c>
      <c r="CY150">
        <f>AB150</f>
        <v>3.06</v>
      </c>
      <c r="CZ150">
        <f>AF150</f>
        <v>0.5</v>
      </c>
      <c r="DA150">
        <f>AJ150</f>
        <v>6.11</v>
      </c>
      <c r="DB150">
        <f>ROUND((ROUND(AT150*CZ150,2)*1.25),2)</f>
        <v>5.68</v>
      </c>
      <c r="DC150">
        <f>ROUND((ROUND(AT150*AG150,2)*1.25),2)</f>
        <v>0</v>
      </c>
    </row>
    <row r="151" spans="1:107" x14ac:dyDescent="0.2">
      <c r="A151">
        <f>ROW(Source!A63)</f>
        <v>63</v>
      </c>
      <c r="B151">
        <v>16784196</v>
      </c>
      <c r="C151">
        <v>16784416</v>
      </c>
      <c r="D151">
        <v>15167286</v>
      </c>
      <c r="E151">
        <v>1</v>
      </c>
      <c r="F151">
        <v>1</v>
      </c>
      <c r="G151">
        <v>1</v>
      </c>
      <c r="H151">
        <v>3</v>
      </c>
      <c r="I151" t="s">
        <v>597</v>
      </c>
      <c r="J151" t="s">
        <v>598</v>
      </c>
      <c r="K151" t="s">
        <v>599</v>
      </c>
      <c r="L151">
        <v>1339</v>
      </c>
      <c r="N151">
        <v>1007</v>
      </c>
      <c r="O151" t="s">
        <v>128</v>
      </c>
      <c r="P151" t="s">
        <v>128</v>
      </c>
      <c r="Q151">
        <v>1</v>
      </c>
      <c r="W151">
        <v>0</v>
      </c>
      <c r="X151">
        <v>-1660354250</v>
      </c>
      <c r="Y151">
        <v>3.5</v>
      </c>
      <c r="AA151">
        <v>14.91</v>
      </c>
      <c r="AB151">
        <v>0</v>
      </c>
      <c r="AC151">
        <v>0</v>
      </c>
      <c r="AD151">
        <v>0</v>
      </c>
      <c r="AE151">
        <v>2.44</v>
      </c>
      <c r="AF151">
        <v>0</v>
      </c>
      <c r="AG151">
        <v>0</v>
      </c>
      <c r="AH151">
        <v>0</v>
      </c>
      <c r="AI151">
        <v>6.11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3.5</v>
      </c>
      <c r="AU151" t="s">
        <v>6</v>
      </c>
      <c r="AV151">
        <v>0</v>
      </c>
      <c r="AW151">
        <v>2</v>
      </c>
      <c r="AX151">
        <v>16784427</v>
      </c>
      <c r="AY151">
        <v>1</v>
      </c>
      <c r="AZ151">
        <v>0</v>
      </c>
      <c r="BA151">
        <v>159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Y151*Source!I63</f>
        <v>1.6519999999999999</v>
      </c>
      <c r="CY151">
        <f>AA151</f>
        <v>14.91</v>
      </c>
      <c r="CZ151">
        <f>AE151</f>
        <v>2.44</v>
      </c>
      <c r="DA151">
        <f>AI151</f>
        <v>6.11</v>
      </c>
      <c r="DB151">
        <f>ROUND(ROUND(AT151*CZ151,2),2)</f>
        <v>8.5399999999999991</v>
      </c>
      <c r="DC151">
        <f>ROUND(ROUND(AT151*AG151,2),2)</f>
        <v>0</v>
      </c>
    </row>
    <row r="152" spans="1:107" x14ac:dyDescent="0.2">
      <c r="A152">
        <f>ROW(Source!A63)</f>
        <v>63</v>
      </c>
      <c r="B152">
        <v>16784196</v>
      </c>
      <c r="C152">
        <v>16784416</v>
      </c>
      <c r="D152">
        <v>15172837</v>
      </c>
      <c r="E152">
        <v>1</v>
      </c>
      <c r="F152">
        <v>1</v>
      </c>
      <c r="G152">
        <v>1</v>
      </c>
      <c r="H152">
        <v>3</v>
      </c>
      <c r="I152" t="s">
        <v>126</v>
      </c>
      <c r="J152" t="s">
        <v>129</v>
      </c>
      <c r="K152" t="s">
        <v>127</v>
      </c>
      <c r="L152">
        <v>1339</v>
      </c>
      <c r="N152">
        <v>1007</v>
      </c>
      <c r="O152" t="s">
        <v>128</v>
      </c>
      <c r="P152" t="s">
        <v>128</v>
      </c>
      <c r="Q152">
        <v>1</v>
      </c>
      <c r="W152">
        <v>0</v>
      </c>
      <c r="X152">
        <v>-1970722706</v>
      </c>
      <c r="Y152">
        <v>2.04</v>
      </c>
      <c r="AA152">
        <v>3350.11</v>
      </c>
      <c r="AB152">
        <v>0</v>
      </c>
      <c r="AC152">
        <v>0</v>
      </c>
      <c r="AD152">
        <v>0</v>
      </c>
      <c r="AE152">
        <v>548.29999999999995</v>
      </c>
      <c r="AF152">
        <v>0</v>
      </c>
      <c r="AG152">
        <v>0</v>
      </c>
      <c r="AH152">
        <v>0</v>
      </c>
      <c r="AI152">
        <v>6.11</v>
      </c>
      <c r="AJ152">
        <v>1</v>
      </c>
      <c r="AK152">
        <v>1</v>
      </c>
      <c r="AL152">
        <v>1</v>
      </c>
      <c r="AN152">
        <v>0</v>
      </c>
      <c r="AO152">
        <v>0</v>
      </c>
      <c r="AP152">
        <v>0</v>
      </c>
      <c r="AQ152">
        <v>0</v>
      </c>
      <c r="AR152">
        <v>0</v>
      </c>
      <c r="AS152" t="s">
        <v>6</v>
      </c>
      <c r="AT152">
        <v>2.04</v>
      </c>
      <c r="AU152" t="s">
        <v>6</v>
      </c>
      <c r="AV152">
        <v>0</v>
      </c>
      <c r="AW152">
        <v>1</v>
      </c>
      <c r="AX152">
        <v>-1</v>
      </c>
      <c r="AY152">
        <v>0</v>
      </c>
      <c r="AZ152">
        <v>0</v>
      </c>
      <c r="BA152" t="s">
        <v>6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Y152*Source!I63</f>
        <v>0.96287999999999996</v>
      </c>
      <c r="CY152">
        <f>AA152</f>
        <v>3350.11</v>
      </c>
      <c r="CZ152">
        <f>AE152</f>
        <v>548.29999999999995</v>
      </c>
      <c r="DA152">
        <f>AI152</f>
        <v>6.11</v>
      </c>
      <c r="DB152">
        <f>ROUND(ROUND(AT152*CZ152,2),2)</f>
        <v>1118.53</v>
      </c>
      <c r="DC152">
        <f>ROUND(ROUND(AT152*AG152,2),2)</f>
        <v>0</v>
      </c>
    </row>
    <row r="153" spans="1:107" x14ac:dyDescent="0.2">
      <c r="A153">
        <f>ROW(Source!A66)</f>
        <v>66</v>
      </c>
      <c r="B153">
        <v>16784195</v>
      </c>
      <c r="C153">
        <v>16784430</v>
      </c>
      <c r="D153">
        <v>15430767</v>
      </c>
      <c r="E153">
        <v>1</v>
      </c>
      <c r="F153">
        <v>1</v>
      </c>
      <c r="G153">
        <v>1</v>
      </c>
      <c r="H153">
        <v>1</v>
      </c>
      <c r="I153" t="s">
        <v>527</v>
      </c>
      <c r="J153" t="s">
        <v>6</v>
      </c>
      <c r="K153" t="s">
        <v>528</v>
      </c>
      <c r="L153">
        <v>1191</v>
      </c>
      <c r="N153">
        <v>1013</v>
      </c>
      <c r="O153" t="s">
        <v>495</v>
      </c>
      <c r="P153" t="s">
        <v>495</v>
      </c>
      <c r="Q153">
        <v>1</v>
      </c>
      <c r="W153">
        <v>0</v>
      </c>
      <c r="X153">
        <v>-400197608</v>
      </c>
      <c r="Y153">
        <v>43.320499999999996</v>
      </c>
      <c r="AA153">
        <v>0</v>
      </c>
      <c r="AB153">
        <v>0</v>
      </c>
      <c r="AC153">
        <v>0</v>
      </c>
      <c r="AD153">
        <v>8.5299999999999994</v>
      </c>
      <c r="AE153">
        <v>0</v>
      </c>
      <c r="AF153">
        <v>0</v>
      </c>
      <c r="AG153">
        <v>0</v>
      </c>
      <c r="AH153">
        <v>8.5299999999999994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6</v>
      </c>
      <c r="AT153">
        <v>37.67</v>
      </c>
      <c r="AU153" t="s">
        <v>28</v>
      </c>
      <c r="AV153">
        <v>1</v>
      </c>
      <c r="AW153">
        <v>2</v>
      </c>
      <c r="AX153">
        <v>16784438</v>
      </c>
      <c r="AY153">
        <v>1</v>
      </c>
      <c r="AZ153">
        <v>0</v>
      </c>
      <c r="BA153">
        <v>161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Y153*Source!I66</f>
        <v>20.447275999999995</v>
      </c>
      <c r="CY153">
        <f>AD153</f>
        <v>8.5299999999999994</v>
      </c>
      <c r="CZ153">
        <f>AH153</f>
        <v>8.5299999999999994</v>
      </c>
      <c r="DA153">
        <f>AL153</f>
        <v>1</v>
      </c>
      <c r="DB153">
        <f>ROUND((ROUND(AT153*CZ153,2)*1.15),2)</f>
        <v>369.53</v>
      </c>
      <c r="DC153">
        <f>ROUND((ROUND(AT153*AG153,2)*1.15),2)</f>
        <v>0</v>
      </c>
    </row>
    <row r="154" spans="1:107" x14ac:dyDescent="0.2">
      <c r="A154">
        <f>ROW(Source!A66)</f>
        <v>66</v>
      </c>
      <c r="B154">
        <v>16784195</v>
      </c>
      <c r="C154">
        <v>16784430</v>
      </c>
      <c r="D154">
        <v>15430395</v>
      </c>
      <c r="E154">
        <v>1</v>
      </c>
      <c r="F154">
        <v>1</v>
      </c>
      <c r="G154">
        <v>1</v>
      </c>
      <c r="H154">
        <v>1</v>
      </c>
      <c r="I154" t="s">
        <v>496</v>
      </c>
      <c r="J154" t="s">
        <v>6</v>
      </c>
      <c r="K154" t="s">
        <v>497</v>
      </c>
      <c r="L154">
        <v>1191</v>
      </c>
      <c r="N154">
        <v>1013</v>
      </c>
      <c r="O154" t="s">
        <v>495</v>
      </c>
      <c r="P154" t="s">
        <v>495</v>
      </c>
      <c r="Q154">
        <v>1</v>
      </c>
      <c r="W154">
        <v>0</v>
      </c>
      <c r="X154">
        <v>-1417349443</v>
      </c>
      <c r="Y154">
        <v>0.17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0.17</v>
      </c>
      <c r="AU154" t="s">
        <v>6</v>
      </c>
      <c r="AV154">
        <v>2</v>
      </c>
      <c r="AW154">
        <v>2</v>
      </c>
      <c r="AX154">
        <v>16784439</v>
      </c>
      <c r="AY154">
        <v>1</v>
      </c>
      <c r="AZ154">
        <v>2048</v>
      </c>
      <c r="BA154">
        <v>162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Y154*Source!I66</f>
        <v>8.0240000000000006E-2</v>
      </c>
      <c r="CY154">
        <f>AD154</f>
        <v>0</v>
      </c>
      <c r="CZ154">
        <f>AH154</f>
        <v>0</v>
      </c>
      <c r="DA154">
        <f>AL154</f>
        <v>1</v>
      </c>
      <c r="DB154">
        <f>ROUND(ROUND(AT154*CZ154,2),2)</f>
        <v>0</v>
      </c>
      <c r="DC154">
        <f>ROUND(ROUND(AT154*AG154,2),2)</f>
        <v>0</v>
      </c>
    </row>
    <row r="155" spans="1:107" x14ac:dyDescent="0.2">
      <c r="A155">
        <f>ROW(Source!A66)</f>
        <v>66</v>
      </c>
      <c r="B155">
        <v>16784195</v>
      </c>
      <c r="C155">
        <v>16784430</v>
      </c>
      <c r="D155">
        <v>15247970</v>
      </c>
      <c r="E155">
        <v>1</v>
      </c>
      <c r="F155">
        <v>1</v>
      </c>
      <c r="G155">
        <v>1</v>
      </c>
      <c r="H155">
        <v>2</v>
      </c>
      <c r="I155" t="s">
        <v>600</v>
      </c>
      <c r="J155" t="s">
        <v>601</v>
      </c>
      <c r="K155" t="s">
        <v>602</v>
      </c>
      <c r="L155">
        <v>1368</v>
      </c>
      <c r="N155">
        <v>1011</v>
      </c>
      <c r="O155" t="s">
        <v>501</v>
      </c>
      <c r="P155" t="s">
        <v>501</v>
      </c>
      <c r="Q155">
        <v>1</v>
      </c>
      <c r="W155">
        <v>0</v>
      </c>
      <c r="X155">
        <v>368031958</v>
      </c>
      <c r="Y155">
        <v>0.16250000000000001</v>
      </c>
      <c r="AA155">
        <v>0</v>
      </c>
      <c r="AB155">
        <v>27.66</v>
      </c>
      <c r="AC155">
        <v>11.6</v>
      </c>
      <c r="AD155">
        <v>0</v>
      </c>
      <c r="AE155">
        <v>0</v>
      </c>
      <c r="AF155">
        <v>27.66</v>
      </c>
      <c r="AG155">
        <v>11.6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6</v>
      </c>
      <c r="AT155">
        <v>0.13</v>
      </c>
      <c r="AU155" t="s">
        <v>27</v>
      </c>
      <c r="AV155">
        <v>0</v>
      </c>
      <c r="AW155">
        <v>2</v>
      </c>
      <c r="AX155">
        <v>16784440</v>
      </c>
      <c r="AY155">
        <v>1</v>
      </c>
      <c r="AZ155">
        <v>0</v>
      </c>
      <c r="BA155">
        <v>163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Y155*Source!I66</f>
        <v>7.6700000000000004E-2</v>
      </c>
      <c r="CY155">
        <f>AB155</f>
        <v>27.66</v>
      </c>
      <c r="CZ155">
        <f>AF155</f>
        <v>27.66</v>
      </c>
      <c r="DA155">
        <f>AJ155</f>
        <v>1</v>
      </c>
      <c r="DB155">
        <f>ROUND((ROUND(AT155*CZ155,2)*1.25),2)</f>
        <v>4.5</v>
      </c>
      <c r="DC155">
        <f>ROUND((ROUND(AT155*AG155,2)*1.25),2)</f>
        <v>1.89</v>
      </c>
    </row>
    <row r="156" spans="1:107" x14ac:dyDescent="0.2">
      <c r="A156">
        <f>ROW(Source!A66)</f>
        <v>66</v>
      </c>
      <c r="B156">
        <v>16784195</v>
      </c>
      <c r="C156">
        <v>16784430</v>
      </c>
      <c r="D156">
        <v>15249073</v>
      </c>
      <c r="E156">
        <v>1</v>
      </c>
      <c r="F156">
        <v>1</v>
      </c>
      <c r="G156">
        <v>1</v>
      </c>
      <c r="H156">
        <v>2</v>
      </c>
      <c r="I156" t="s">
        <v>504</v>
      </c>
      <c r="J156" t="s">
        <v>505</v>
      </c>
      <c r="K156" t="s">
        <v>506</v>
      </c>
      <c r="L156">
        <v>1368</v>
      </c>
      <c r="N156">
        <v>1011</v>
      </c>
      <c r="O156" t="s">
        <v>501</v>
      </c>
      <c r="P156" t="s">
        <v>501</v>
      </c>
      <c r="Q156">
        <v>1</v>
      </c>
      <c r="W156">
        <v>0</v>
      </c>
      <c r="X156">
        <v>1372534845</v>
      </c>
      <c r="Y156">
        <v>0.05</v>
      </c>
      <c r="AA156">
        <v>0</v>
      </c>
      <c r="AB156">
        <v>65.709999999999994</v>
      </c>
      <c r="AC156">
        <v>11.6</v>
      </c>
      <c r="AD156">
        <v>0</v>
      </c>
      <c r="AE156">
        <v>0</v>
      </c>
      <c r="AF156">
        <v>65.709999999999994</v>
      </c>
      <c r="AG156">
        <v>11.6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6</v>
      </c>
      <c r="AT156">
        <v>0.04</v>
      </c>
      <c r="AU156" t="s">
        <v>27</v>
      </c>
      <c r="AV156">
        <v>0</v>
      </c>
      <c r="AW156">
        <v>2</v>
      </c>
      <c r="AX156">
        <v>16784441</v>
      </c>
      <c r="AY156">
        <v>1</v>
      </c>
      <c r="AZ156">
        <v>0</v>
      </c>
      <c r="BA156">
        <v>164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Y156*Source!I66</f>
        <v>2.3599999999999999E-2</v>
      </c>
      <c r="CY156">
        <f>AB156</f>
        <v>65.709999999999994</v>
      </c>
      <c r="CZ156">
        <f>AF156</f>
        <v>65.709999999999994</v>
      </c>
      <c r="DA156">
        <f>AJ156</f>
        <v>1</v>
      </c>
      <c r="DB156">
        <f>ROUND((ROUND(AT156*CZ156,2)*1.25),2)</f>
        <v>3.29</v>
      </c>
      <c r="DC156">
        <f>ROUND((ROUND(AT156*AG156,2)*1.25),2)</f>
        <v>0.57999999999999996</v>
      </c>
    </row>
    <row r="157" spans="1:107" x14ac:dyDescent="0.2">
      <c r="A157">
        <f>ROW(Source!A66)</f>
        <v>66</v>
      </c>
      <c r="B157">
        <v>16784195</v>
      </c>
      <c r="C157">
        <v>16784430</v>
      </c>
      <c r="D157">
        <v>15167286</v>
      </c>
      <c r="E157">
        <v>1</v>
      </c>
      <c r="F157">
        <v>1</v>
      </c>
      <c r="G157">
        <v>1</v>
      </c>
      <c r="H157">
        <v>3</v>
      </c>
      <c r="I157" t="s">
        <v>597</v>
      </c>
      <c r="J157" t="s">
        <v>598</v>
      </c>
      <c r="K157" t="s">
        <v>599</v>
      </c>
      <c r="L157">
        <v>1339</v>
      </c>
      <c r="N157">
        <v>1007</v>
      </c>
      <c r="O157" t="s">
        <v>128</v>
      </c>
      <c r="P157" t="s">
        <v>128</v>
      </c>
      <c r="Q157">
        <v>1</v>
      </c>
      <c r="W157">
        <v>0</v>
      </c>
      <c r="X157">
        <v>-1660354250</v>
      </c>
      <c r="Y157">
        <v>0.17399999999999999</v>
      </c>
      <c r="AA157">
        <v>2.44</v>
      </c>
      <c r="AB157">
        <v>0</v>
      </c>
      <c r="AC157">
        <v>0</v>
      </c>
      <c r="AD157">
        <v>0</v>
      </c>
      <c r="AE157">
        <v>2.44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6</v>
      </c>
      <c r="AT157">
        <v>0.17399999999999999</v>
      </c>
      <c r="AU157" t="s">
        <v>6</v>
      </c>
      <c r="AV157">
        <v>0</v>
      </c>
      <c r="AW157">
        <v>2</v>
      </c>
      <c r="AX157">
        <v>16784442</v>
      </c>
      <c r="AY157">
        <v>1</v>
      </c>
      <c r="AZ157">
        <v>0</v>
      </c>
      <c r="BA157">
        <v>165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Y157*Source!I66</f>
        <v>8.2127999999999993E-2</v>
      </c>
      <c r="CY157">
        <f>AA157</f>
        <v>2.44</v>
      </c>
      <c r="CZ157">
        <f>AE157</f>
        <v>2.44</v>
      </c>
      <c r="DA157">
        <f>AI157</f>
        <v>1</v>
      </c>
      <c r="DB157">
        <f>ROUND(ROUND(AT157*CZ157,2),2)</f>
        <v>0.42</v>
      </c>
      <c r="DC157">
        <f>ROUND(ROUND(AT157*AG157,2),2)</f>
        <v>0</v>
      </c>
    </row>
    <row r="158" spans="1:107" x14ac:dyDescent="0.2">
      <c r="A158">
        <f>ROW(Source!A66)</f>
        <v>66</v>
      </c>
      <c r="B158">
        <v>16784195</v>
      </c>
      <c r="C158">
        <v>16784430</v>
      </c>
      <c r="D158">
        <v>15172906</v>
      </c>
      <c r="E158">
        <v>1</v>
      </c>
      <c r="F158">
        <v>1</v>
      </c>
      <c r="G158">
        <v>1</v>
      </c>
      <c r="H158">
        <v>3</v>
      </c>
      <c r="I158" t="s">
        <v>603</v>
      </c>
      <c r="J158" t="s">
        <v>604</v>
      </c>
      <c r="K158" t="s">
        <v>605</v>
      </c>
      <c r="L158">
        <v>1348</v>
      </c>
      <c r="N158">
        <v>1009</v>
      </c>
      <c r="O158" t="s">
        <v>65</v>
      </c>
      <c r="P158" t="s">
        <v>65</v>
      </c>
      <c r="Q158">
        <v>1000</v>
      </c>
      <c r="W158">
        <v>0</v>
      </c>
      <c r="X158">
        <v>-2114578287</v>
      </c>
      <c r="Y158">
        <v>0.9</v>
      </c>
      <c r="AA158">
        <v>11381.57</v>
      </c>
      <c r="AB158">
        <v>0</v>
      </c>
      <c r="AC158">
        <v>0</v>
      </c>
      <c r="AD158">
        <v>0</v>
      </c>
      <c r="AE158">
        <v>11381.57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6</v>
      </c>
      <c r="AT158">
        <v>0.9</v>
      </c>
      <c r="AU158" t="s">
        <v>6</v>
      </c>
      <c r="AV158">
        <v>0</v>
      </c>
      <c r="AW158">
        <v>2</v>
      </c>
      <c r="AX158">
        <v>16784443</v>
      </c>
      <c r="AY158">
        <v>1</v>
      </c>
      <c r="AZ158">
        <v>0</v>
      </c>
      <c r="BA158">
        <v>166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Y158*Source!I66</f>
        <v>0.42480000000000001</v>
      </c>
      <c r="CY158">
        <f>AA158</f>
        <v>11381.57</v>
      </c>
      <c r="CZ158">
        <f>AE158</f>
        <v>11381.57</v>
      </c>
      <c r="DA158">
        <f>AI158</f>
        <v>1</v>
      </c>
      <c r="DB158">
        <f>ROUND(ROUND(AT158*CZ158,2),2)</f>
        <v>10243.41</v>
      </c>
      <c r="DC158">
        <f>ROUND(ROUND(AT158*AG158,2),2)</f>
        <v>0</v>
      </c>
    </row>
    <row r="159" spans="1:107" x14ac:dyDescent="0.2">
      <c r="A159">
        <f>ROW(Source!A66)</f>
        <v>66</v>
      </c>
      <c r="B159">
        <v>16784195</v>
      </c>
      <c r="C159">
        <v>16784430</v>
      </c>
      <c r="D159">
        <v>15203485</v>
      </c>
      <c r="E159">
        <v>1</v>
      </c>
      <c r="F159">
        <v>1</v>
      </c>
      <c r="G159">
        <v>1</v>
      </c>
      <c r="H159">
        <v>3</v>
      </c>
      <c r="I159" t="s">
        <v>139</v>
      </c>
      <c r="J159" t="s">
        <v>141</v>
      </c>
      <c r="K159" t="s">
        <v>140</v>
      </c>
      <c r="L159">
        <v>1346</v>
      </c>
      <c r="N159">
        <v>1009</v>
      </c>
      <c r="O159" t="s">
        <v>60</v>
      </c>
      <c r="P159" t="s">
        <v>60</v>
      </c>
      <c r="Q159">
        <v>1</v>
      </c>
      <c r="W159">
        <v>0</v>
      </c>
      <c r="X159">
        <v>303141801</v>
      </c>
      <c r="Y159">
        <v>30</v>
      </c>
      <c r="AA159">
        <v>15.25</v>
      </c>
      <c r="AB159">
        <v>0</v>
      </c>
      <c r="AC159">
        <v>0</v>
      </c>
      <c r="AD159">
        <v>0</v>
      </c>
      <c r="AE159">
        <v>15.25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6</v>
      </c>
      <c r="AT159">
        <v>30</v>
      </c>
      <c r="AU159" t="s">
        <v>6</v>
      </c>
      <c r="AV159">
        <v>0</v>
      </c>
      <c r="AW159">
        <v>2</v>
      </c>
      <c r="AX159">
        <v>16784444</v>
      </c>
      <c r="AY159">
        <v>1</v>
      </c>
      <c r="AZ159">
        <v>0</v>
      </c>
      <c r="BA159">
        <v>167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Y159*Source!I66</f>
        <v>14.16</v>
      </c>
      <c r="CY159">
        <f>AA159</f>
        <v>15.25</v>
      </c>
      <c r="CZ159">
        <f>AE159</f>
        <v>15.25</v>
      </c>
      <c r="DA159">
        <f>AI159</f>
        <v>1</v>
      </c>
      <c r="DB159">
        <f>ROUND(ROUND(AT159*CZ159,2),2)</f>
        <v>457.5</v>
      </c>
      <c r="DC159">
        <f>ROUND(ROUND(AT159*AG159,2),2)</f>
        <v>0</v>
      </c>
    </row>
    <row r="160" spans="1:107" x14ac:dyDescent="0.2">
      <c r="A160">
        <f>ROW(Source!A67)</f>
        <v>67</v>
      </c>
      <c r="B160">
        <v>16784196</v>
      </c>
      <c r="C160">
        <v>16784430</v>
      </c>
      <c r="D160">
        <v>15430767</v>
      </c>
      <c r="E160">
        <v>1</v>
      </c>
      <c r="F160">
        <v>1</v>
      </c>
      <c r="G160">
        <v>1</v>
      </c>
      <c r="H160">
        <v>1</v>
      </c>
      <c r="I160" t="s">
        <v>527</v>
      </c>
      <c r="J160" t="s">
        <v>6</v>
      </c>
      <c r="K160" t="s">
        <v>528</v>
      </c>
      <c r="L160">
        <v>1191</v>
      </c>
      <c r="N160">
        <v>1013</v>
      </c>
      <c r="O160" t="s">
        <v>495</v>
      </c>
      <c r="P160" t="s">
        <v>495</v>
      </c>
      <c r="Q160">
        <v>1</v>
      </c>
      <c r="W160">
        <v>0</v>
      </c>
      <c r="X160">
        <v>-400197608</v>
      </c>
      <c r="Y160">
        <v>43.320499999999996</v>
      </c>
      <c r="AA160">
        <v>0</v>
      </c>
      <c r="AB160">
        <v>0</v>
      </c>
      <c r="AC160">
        <v>0</v>
      </c>
      <c r="AD160">
        <v>52.12</v>
      </c>
      <c r="AE160">
        <v>0</v>
      </c>
      <c r="AF160">
        <v>0</v>
      </c>
      <c r="AG160">
        <v>0</v>
      </c>
      <c r="AH160">
        <v>8.5299999999999994</v>
      </c>
      <c r="AI160">
        <v>1</v>
      </c>
      <c r="AJ160">
        <v>1</v>
      </c>
      <c r="AK160">
        <v>1</v>
      </c>
      <c r="AL160">
        <v>6.11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6</v>
      </c>
      <c r="AT160">
        <v>37.67</v>
      </c>
      <c r="AU160" t="s">
        <v>28</v>
      </c>
      <c r="AV160">
        <v>1</v>
      </c>
      <c r="AW160">
        <v>2</v>
      </c>
      <c r="AX160">
        <v>16784438</v>
      </c>
      <c r="AY160">
        <v>1</v>
      </c>
      <c r="AZ160">
        <v>0</v>
      </c>
      <c r="BA160">
        <v>168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Y160*Source!I67</f>
        <v>20.447275999999995</v>
      </c>
      <c r="CY160">
        <f>AD160</f>
        <v>52.12</v>
      </c>
      <c r="CZ160">
        <f>AH160</f>
        <v>8.5299999999999994</v>
      </c>
      <c r="DA160">
        <f>AL160</f>
        <v>6.11</v>
      </c>
      <c r="DB160">
        <f>ROUND((ROUND(AT160*CZ160,2)*1.15),2)</f>
        <v>369.53</v>
      </c>
      <c r="DC160">
        <f>ROUND((ROUND(AT160*AG160,2)*1.15),2)</f>
        <v>0</v>
      </c>
    </row>
    <row r="161" spans="1:107" x14ac:dyDescent="0.2">
      <c r="A161">
        <f>ROW(Source!A67)</f>
        <v>67</v>
      </c>
      <c r="B161">
        <v>16784196</v>
      </c>
      <c r="C161">
        <v>16784430</v>
      </c>
      <c r="D161">
        <v>15430395</v>
      </c>
      <c r="E161">
        <v>1</v>
      </c>
      <c r="F161">
        <v>1</v>
      </c>
      <c r="G161">
        <v>1</v>
      </c>
      <c r="H161">
        <v>1</v>
      </c>
      <c r="I161" t="s">
        <v>496</v>
      </c>
      <c r="J161" t="s">
        <v>6</v>
      </c>
      <c r="K161" t="s">
        <v>497</v>
      </c>
      <c r="L161">
        <v>1191</v>
      </c>
      <c r="N161">
        <v>1013</v>
      </c>
      <c r="O161" t="s">
        <v>495</v>
      </c>
      <c r="P161" t="s">
        <v>495</v>
      </c>
      <c r="Q161">
        <v>1</v>
      </c>
      <c r="W161">
        <v>0</v>
      </c>
      <c r="X161">
        <v>-1417349443</v>
      </c>
      <c r="Y161">
        <v>0.17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6.11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0.17</v>
      </c>
      <c r="AU161" t="s">
        <v>6</v>
      </c>
      <c r="AV161">
        <v>2</v>
      </c>
      <c r="AW161">
        <v>2</v>
      </c>
      <c r="AX161">
        <v>16784439</v>
      </c>
      <c r="AY161">
        <v>1</v>
      </c>
      <c r="AZ161">
        <v>2048</v>
      </c>
      <c r="BA161">
        <v>169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Y161*Source!I67</f>
        <v>8.0240000000000006E-2</v>
      </c>
      <c r="CY161">
        <f>AD161</f>
        <v>0</v>
      </c>
      <c r="CZ161">
        <f>AH161</f>
        <v>0</v>
      </c>
      <c r="DA161">
        <f>AL161</f>
        <v>1</v>
      </c>
      <c r="DB161">
        <f>ROUND(ROUND(AT161*CZ161,2),2)</f>
        <v>0</v>
      </c>
      <c r="DC161">
        <f>ROUND(ROUND(AT161*AG161,2),2)</f>
        <v>0</v>
      </c>
    </row>
    <row r="162" spans="1:107" x14ac:dyDescent="0.2">
      <c r="A162">
        <f>ROW(Source!A67)</f>
        <v>67</v>
      </c>
      <c r="B162">
        <v>16784196</v>
      </c>
      <c r="C162">
        <v>16784430</v>
      </c>
      <c r="D162">
        <v>15247970</v>
      </c>
      <c r="E162">
        <v>1</v>
      </c>
      <c r="F162">
        <v>1</v>
      </c>
      <c r="G162">
        <v>1</v>
      </c>
      <c r="H162">
        <v>2</v>
      </c>
      <c r="I162" t="s">
        <v>600</v>
      </c>
      <c r="J162" t="s">
        <v>601</v>
      </c>
      <c r="K162" t="s">
        <v>602</v>
      </c>
      <c r="L162">
        <v>1368</v>
      </c>
      <c r="N162">
        <v>1011</v>
      </c>
      <c r="O162" t="s">
        <v>501</v>
      </c>
      <c r="P162" t="s">
        <v>501</v>
      </c>
      <c r="Q162">
        <v>1</v>
      </c>
      <c r="W162">
        <v>0</v>
      </c>
      <c r="X162">
        <v>368031958</v>
      </c>
      <c r="Y162">
        <v>0.16250000000000001</v>
      </c>
      <c r="AA162">
        <v>0</v>
      </c>
      <c r="AB162">
        <v>169</v>
      </c>
      <c r="AC162">
        <v>11.6</v>
      </c>
      <c r="AD162">
        <v>0</v>
      </c>
      <c r="AE162">
        <v>0</v>
      </c>
      <c r="AF162">
        <v>27.66</v>
      </c>
      <c r="AG162">
        <v>11.6</v>
      </c>
      <c r="AH162">
        <v>0</v>
      </c>
      <c r="AI162">
        <v>1</v>
      </c>
      <c r="AJ162">
        <v>6.11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6</v>
      </c>
      <c r="AT162">
        <v>0.13</v>
      </c>
      <c r="AU162" t="s">
        <v>27</v>
      </c>
      <c r="AV162">
        <v>0</v>
      </c>
      <c r="AW162">
        <v>2</v>
      </c>
      <c r="AX162">
        <v>16784440</v>
      </c>
      <c r="AY162">
        <v>1</v>
      </c>
      <c r="AZ162">
        <v>0</v>
      </c>
      <c r="BA162">
        <v>170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Y162*Source!I67</f>
        <v>7.6700000000000004E-2</v>
      </c>
      <c r="CY162">
        <f>AB162</f>
        <v>169</v>
      </c>
      <c r="CZ162">
        <f>AF162</f>
        <v>27.66</v>
      </c>
      <c r="DA162">
        <f>AJ162</f>
        <v>6.11</v>
      </c>
      <c r="DB162">
        <f>ROUND((ROUND(AT162*CZ162,2)*1.25),2)</f>
        <v>4.5</v>
      </c>
      <c r="DC162">
        <f>ROUND((ROUND(AT162*AG162,2)*1.25),2)</f>
        <v>1.89</v>
      </c>
    </row>
    <row r="163" spans="1:107" x14ac:dyDescent="0.2">
      <c r="A163">
        <f>ROW(Source!A67)</f>
        <v>67</v>
      </c>
      <c r="B163">
        <v>16784196</v>
      </c>
      <c r="C163">
        <v>16784430</v>
      </c>
      <c r="D163">
        <v>15249073</v>
      </c>
      <c r="E163">
        <v>1</v>
      </c>
      <c r="F163">
        <v>1</v>
      </c>
      <c r="G163">
        <v>1</v>
      </c>
      <c r="H163">
        <v>2</v>
      </c>
      <c r="I163" t="s">
        <v>504</v>
      </c>
      <c r="J163" t="s">
        <v>505</v>
      </c>
      <c r="K163" t="s">
        <v>506</v>
      </c>
      <c r="L163">
        <v>1368</v>
      </c>
      <c r="N163">
        <v>1011</v>
      </c>
      <c r="O163" t="s">
        <v>501</v>
      </c>
      <c r="P163" t="s">
        <v>501</v>
      </c>
      <c r="Q163">
        <v>1</v>
      </c>
      <c r="W163">
        <v>0</v>
      </c>
      <c r="X163">
        <v>1372534845</v>
      </c>
      <c r="Y163">
        <v>0.05</v>
      </c>
      <c r="AA163">
        <v>0</v>
      </c>
      <c r="AB163">
        <v>401.49</v>
      </c>
      <c r="AC163">
        <v>11.6</v>
      </c>
      <c r="AD163">
        <v>0</v>
      </c>
      <c r="AE163">
        <v>0</v>
      </c>
      <c r="AF163">
        <v>65.709999999999994</v>
      </c>
      <c r="AG163">
        <v>11.6</v>
      </c>
      <c r="AH163">
        <v>0</v>
      </c>
      <c r="AI163">
        <v>1</v>
      </c>
      <c r="AJ163">
        <v>6.11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6</v>
      </c>
      <c r="AT163">
        <v>0.04</v>
      </c>
      <c r="AU163" t="s">
        <v>27</v>
      </c>
      <c r="AV163">
        <v>0</v>
      </c>
      <c r="AW163">
        <v>2</v>
      </c>
      <c r="AX163">
        <v>16784441</v>
      </c>
      <c r="AY163">
        <v>1</v>
      </c>
      <c r="AZ163">
        <v>0</v>
      </c>
      <c r="BA163">
        <v>171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Y163*Source!I67</f>
        <v>2.3599999999999999E-2</v>
      </c>
      <c r="CY163">
        <f>AB163</f>
        <v>401.49</v>
      </c>
      <c r="CZ163">
        <f>AF163</f>
        <v>65.709999999999994</v>
      </c>
      <c r="DA163">
        <f>AJ163</f>
        <v>6.11</v>
      </c>
      <c r="DB163">
        <f>ROUND((ROUND(AT163*CZ163,2)*1.25),2)</f>
        <v>3.29</v>
      </c>
      <c r="DC163">
        <f>ROUND((ROUND(AT163*AG163,2)*1.25),2)</f>
        <v>0.57999999999999996</v>
      </c>
    </row>
    <row r="164" spans="1:107" x14ac:dyDescent="0.2">
      <c r="A164">
        <f>ROW(Source!A67)</f>
        <v>67</v>
      </c>
      <c r="B164">
        <v>16784196</v>
      </c>
      <c r="C164">
        <v>16784430</v>
      </c>
      <c r="D164">
        <v>15167286</v>
      </c>
      <c r="E164">
        <v>1</v>
      </c>
      <c r="F164">
        <v>1</v>
      </c>
      <c r="G164">
        <v>1</v>
      </c>
      <c r="H164">
        <v>3</v>
      </c>
      <c r="I164" t="s">
        <v>597</v>
      </c>
      <c r="J164" t="s">
        <v>598</v>
      </c>
      <c r="K164" t="s">
        <v>599</v>
      </c>
      <c r="L164">
        <v>1339</v>
      </c>
      <c r="N164">
        <v>1007</v>
      </c>
      <c r="O164" t="s">
        <v>128</v>
      </c>
      <c r="P164" t="s">
        <v>128</v>
      </c>
      <c r="Q164">
        <v>1</v>
      </c>
      <c r="W164">
        <v>0</v>
      </c>
      <c r="X164">
        <v>-1660354250</v>
      </c>
      <c r="Y164">
        <v>0.17399999999999999</v>
      </c>
      <c r="AA164">
        <v>14.91</v>
      </c>
      <c r="AB164">
        <v>0</v>
      </c>
      <c r="AC164">
        <v>0</v>
      </c>
      <c r="AD164">
        <v>0</v>
      </c>
      <c r="AE164">
        <v>2.44</v>
      </c>
      <c r="AF164">
        <v>0</v>
      </c>
      <c r="AG164">
        <v>0</v>
      </c>
      <c r="AH164">
        <v>0</v>
      </c>
      <c r="AI164">
        <v>6.11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6</v>
      </c>
      <c r="AT164">
        <v>0.17399999999999999</v>
      </c>
      <c r="AU164" t="s">
        <v>6</v>
      </c>
      <c r="AV164">
        <v>0</v>
      </c>
      <c r="AW164">
        <v>2</v>
      </c>
      <c r="AX164">
        <v>16784442</v>
      </c>
      <c r="AY164">
        <v>1</v>
      </c>
      <c r="AZ164">
        <v>0</v>
      </c>
      <c r="BA164">
        <v>172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Y164*Source!I67</f>
        <v>8.2127999999999993E-2</v>
      </c>
      <c r="CY164">
        <f>AA164</f>
        <v>14.91</v>
      </c>
      <c r="CZ164">
        <f>AE164</f>
        <v>2.44</v>
      </c>
      <c r="DA164">
        <f>AI164</f>
        <v>6.11</v>
      </c>
      <c r="DB164">
        <f>ROUND(ROUND(AT164*CZ164,2),2)</f>
        <v>0.42</v>
      </c>
      <c r="DC164">
        <f>ROUND(ROUND(AT164*AG164,2),2)</f>
        <v>0</v>
      </c>
    </row>
    <row r="165" spans="1:107" x14ac:dyDescent="0.2">
      <c r="A165">
        <f>ROW(Source!A67)</f>
        <v>67</v>
      </c>
      <c r="B165">
        <v>16784196</v>
      </c>
      <c r="C165">
        <v>16784430</v>
      </c>
      <c r="D165">
        <v>15172906</v>
      </c>
      <c r="E165">
        <v>1</v>
      </c>
      <c r="F165">
        <v>1</v>
      </c>
      <c r="G165">
        <v>1</v>
      </c>
      <c r="H165">
        <v>3</v>
      </c>
      <c r="I165" t="s">
        <v>603</v>
      </c>
      <c r="J165" t="s">
        <v>604</v>
      </c>
      <c r="K165" t="s">
        <v>605</v>
      </c>
      <c r="L165">
        <v>1348</v>
      </c>
      <c r="N165">
        <v>1009</v>
      </c>
      <c r="O165" t="s">
        <v>65</v>
      </c>
      <c r="P165" t="s">
        <v>65</v>
      </c>
      <c r="Q165">
        <v>1000</v>
      </c>
      <c r="W165">
        <v>0</v>
      </c>
      <c r="X165">
        <v>-2114578287</v>
      </c>
      <c r="Y165">
        <v>0.9</v>
      </c>
      <c r="AA165">
        <v>69541.39</v>
      </c>
      <c r="AB165">
        <v>0</v>
      </c>
      <c r="AC165">
        <v>0</v>
      </c>
      <c r="AD165">
        <v>0</v>
      </c>
      <c r="AE165">
        <v>11381.57</v>
      </c>
      <c r="AF165">
        <v>0</v>
      </c>
      <c r="AG165">
        <v>0</v>
      </c>
      <c r="AH165">
        <v>0</v>
      </c>
      <c r="AI165">
        <v>6.11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6</v>
      </c>
      <c r="AT165">
        <v>0.9</v>
      </c>
      <c r="AU165" t="s">
        <v>6</v>
      </c>
      <c r="AV165">
        <v>0</v>
      </c>
      <c r="AW165">
        <v>2</v>
      </c>
      <c r="AX165">
        <v>16784443</v>
      </c>
      <c r="AY165">
        <v>1</v>
      </c>
      <c r="AZ165">
        <v>0</v>
      </c>
      <c r="BA165">
        <v>173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Y165*Source!I67</f>
        <v>0.42480000000000001</v>
      </c>
      <c r="CY165">
        <f>AA165</f>
        <v>69541.39</v>
      </c>
      <c r="CZ165">
        <f>AE165</f>
        <v>11381.57</v>
      </c>
      <c r="DA165">
        <f>AI165</f>
        <v>6.11</v>
      </c>
      <c r="DB165">
        <f>ROUND(ROUND(AT165*CZ165,2),2)</f>
        <v>10243.41</v>
      </c>
      <c r="DC165">
        <f>ROUND(ROUND(AT165*AG165,2),2)</f>
        <v>0</v>
      </c>
    </row>
    <row r="166" spans="1:107" x14ac:dyDescent="0.2">
      <c r="A166">
        <f>ROW(Source!A67)</f>
        <v>67</v>
      </c>
      <c r="B166">
        <v>16784196</v>
      </c>
      <c r="C166">
        <v>16784430</v>
      </c>
      <c r="D166">
        <v>15203485</v>
      </c>
      <c r="E166">
        <v>1</v>
      </c>
      <c r="F166">
        <v>1</v>
      </c>
      <c r="G166">
        <v>1</v>
      </c>
      <c r="H166">
        <v>3</v>
      </c>
      <c r="I166" t="s">
        <v>139</v>
      </c>
      <c r="J166" t="s">
        <v>141</v>
      </c>
      <c r="K166" t="s">
        <v>140</v>
      </c>
      <c r="L166">
        <v>1346</v>
      </c>
      <c r="N166">
        <v>1009</v>
      </c>
      <c r="O166" t="s">
        <v>60</v>
      </c>
      <c r="P166" t="s">
        <v>60</v>
      </c>
      <c r="Q166">
        <v>1</v>
      </c>
      <c r="W166">
        <v>0</v>
      </c>
      <c r="X166">
        <v>303141801</v>
      </c>
      <c r="Y166">
        <v>30</v>
      </c>
      <c r="AA166">
        <v>93.18</v>
      </c>
      <c r="AB166">
        <v>0</v>
      </c>
      <c r="AC166">
        <v>0</v>
      </c>
      <c r="AD166">
        <v>0</v>
      </c>
      <c r="AE166">
        <v>15.25</v>
      </c>
      <c r="AF166">
        <v>0</v>
      </c>
      <c r="AG166">
        <v>0</v>
      </c>
      <c r="AH166">
        <v>0</v>
      </c>
      <c r="AI166">
        <v>6.11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</v>
      </c>
      <c r="AT166">
        <v>30</v>
      </c>
      <c r="AU166" t="s">
        <v>6</v>
      </c>
      <c r="AV166">
        <v>0</v>
      </c>
      <c r="AW166">
        <v>2</v>
      </c>
      <c r="AX166">
        <v>16784444</v>
      </c>
      <c r="AY166">
        <v>1</v>
      </c>
      <c r="AZ166">
        <v>0</v>
      </c>
      <c r="BA166">
        <v>174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Y166*Source!I67</f>
        <v>14.16</v>
      </c>
      <c r="CY166">
        <f>AA166</f>
        <v>93.18</v>
      </c>
      <c r="CZ166">
        <f>AE166</f>
        <v>15.25</v>
      </c>
      <c r="DA166">
        <f>AI166</f>
        <v>6.11</v>
      </c>
      <c r="DB166">
        <f>ROUND(ROUND(AT166*CZ166,2),2)</f>
        <v>457.5</v>
      </c>
      <c r="DC166">
        <f>ROUND(ROUND(AT166*AG166,2),2)</f>
        <v>0</v>
      </c>
    </row>
    <row r="167" spans="1:107" x14ac:dyDescent="0.2">
      <c r="A167">
        <f>ROW(Source!A68)</f>
        <v>68</v>
      </c>
      <c r="B167">
        <v>16784195</v>
      </c>
      <c r="C167">
        <v>16784445</v>
      </c>
      <c r="D167">
        <v>15436014</v>
      </c>
      <c r="E167">
        <v>1</v>
      </c>
      <c r="F167">
        <v>1</v>
      </c>
      <c r="G167">
        <v>1</v>
      </c>
      <c r="H167">
        <v>1</v>
      </c>
      <c r="I167" t="s">
        <v>502</v>
      </c>
      <c r="J167" t="s">
        <v>6</v>
      </c>
      <c r="K167" t="s">
        <v>503</v>
      </c>
      <c r="L167">
        <v>1191</v>
      </c>
      <c r="N167">
        <v>1013</v>
      </c>
      <c r="O167" t="s">
        <v>495</v>
      </c>
      <c r="P167" t="s">
        <v>495</v>
      </c>
      <c r="Q167">
        <v>1</v>
      </c>
      <c r="W167">
        <v>0</v>
      </c>
      <c r="X167">
        <v>-784637506</v>
      </c>
      <c r="Y167">
        <v>356.983</v>
      </c>
      <c r="AA167">
        <v>0</v>
      </c>
      <c r="AB167">
        <v>0</v>
      </c>
      <c r="AC167">
        <v>0</v>
      </c>
      <c r="AD167">
        <v>8.74</v>
      </c>
      <c r="AE167">
        <v>0</v>
      </c>
      <c r="AF167">
        <v>0</v>
      </c>
      <c r="AG167">
        <v>0</v>
      </c>
      <c r="AH167">
        <v>8.74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</v>
      </c>
      <c r="AT167">
        <v>310.42</v>
      </c>
      <c r="AU167" t="s">
        <v>28</v>
      </c>
      <c r="AV167">
        <v>1</v>
      </c>
      <c r="AW167">
        <v>2</v>
      </c>
      <c r="AX167">
        <v>16784458</v>
      </c>
      <c r="AY167">
        <v>1</v>
      </c>
      <c r="AZ167">
        <v>0</v>
      </c>
      <c r="BA167">
        <v>175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Y167*Source!I68</f>
        <v>168.49597599999998</v>
      </c>
      <c r="CY167">
        <f>AD167</f>
        <v>8.74</v>
      </c>
      <c r="CZ167">
        <f>AH167</f>
        <v>8.74</v>
      </c>
      <c r="DA167">
        <f>AL167</f>
        <v>1</v>
      </c>
      <c r="DB167">
        <f>ROUND((ROUND(AT167*CZ167,2)*1.15),2)</f>
        <v>3120.03</v>
      </c>
      <c r="DC167">
        <f>ROUND((ROUND(AT167*AG167,2)*1.15),2)</f>
        <v>0</v>
      </c>
    </row>
    <row r="168" spans="1:107" x14ac:dyDescent="0.2">
      <c r="A168">
        <f>ROW(Source!A68)</f>
        <v>68</v>
      </c>
      <c r="B168">
        <v>16784195</v>
      </c>
      <c r="C168">
        <v>16784445</v>
      </c>
      <c r="D168">
        <v>15430395</v>
      </c>
      <c r="E168">
        <v>1</v>
      </c>
      <c r="F168">
        <v>1</v>
      </c>
      <c r="G168">
        <v>1</v>
      </c>
      <c r="H168">
        <v>1</v>
      </c>
      <c r="I168" t="s">
        <v>496</v>
      </c>
      <c r="J168" t="s">
        <v>6</v>
      </c>
      <c r="K168" t="s">
        <v>497</v>
      </c>
      <c r="L168">
        <v>1191</v>
      </c>
      <c r="N168">
        <v>1013</v>
      </c>
      <c r="O168" t="s">
        <v>495</v>
      </c>
      <c r="P168" t="s">
        <v>495</v>
      </c>
      <c r="Q168">
        <v>1</v>
      </c>
      <c r="W168">
        <v>0</v>
      </c>
      <c r="X168">
        <v>-1417349443</v>
      </c>
      <c r="Y168">
        <v>1.73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6</v>
      </c>
      <c r="AT168">
        <v>1.73</v>
      </c>
      <c r="AU168" t="s">
        <v>6</v>
      </c>
      <c r="AV168">
        <v>2</v>
      </c>
      <c r="AW168">
        <v>2</v>
      </c>
      <c r="AX168">
        <v>16784459</v>
      </c>
      <c r="AY168">
        <v>1</v>
      </c>
      <c r="AZ168">
        <v>2048</v>
      </c>
      <c r="BA168">
        <v>176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Y168*Source!I68</f>
        <v>0.81655999999999995</v>
      </c>
      <c r="CY168">
        <f>AD168</f>
        <v>0</v>
      </c>
      <c r="CZ168">
        <f>AH168</f>
        <v>0</v>
      </c>
      <c r="DA168">
        <f>AL168</f>
        <v>1</v>
      </c>
      <c r="DB168">
        <f>ROUND(ROUND(AT168*CZ168,2),2)</f>
        <v>0</v>
      </c>
      <c r="DC168">
        <f>ROUND(ROUND(AT168*AG168,2),2)</f>
        <v>0</v>
      </c>
    </row>
    <row r="169" spans="1:107" x14ac:dyDescent="0.2">
      <c r="A169">
        <f>ROW(Source!A68)</f>
        <v>68</v>
      </c>
      <c r="B169">
        <v>16784195</v>
      </c>
      <c r="C169">
        <v>16784445</v>
      </c>
      <c r="D169">
        <v>15247576</v>
      </c>
      <c r="E169">
        <v>1</v>
      </c>
      <c r="F169">
        <v>1</v>
      </c>
      <c r="G169">
        <v>1</v>
      </c>
      <c r="H169">
        <v>2</v>
      </c>
      <c r="I169" t="s">
        <v>606</v>
      </c>
      <c r="J169" t="s">
        <v>607</v>
      </c>
      <c r="K169" t="s">
        <v>608</v>
      </c>
      <c r="L169">
        <v>1368</v>
      </c>
      <c r="N169">
        <v>1011</v>
      </c>
      <c r="O169" t="s">
        <v>501</v>
      </c>
      <c r="P169" t="s">
        <v>501</v>
      </c>
      <c r="Q169">
        <v>1</v>
      </c>
      <c r="W169">
        <v>0</v>
      </c>
      <c r="X169">
        <v>257150282</v>
      </c>
      <c r="Y169">
        <v>2.5000000000000001E-2</v>
      </c>
      <c r="AA169">
        <v>0</v>
      </c>
      <c r="AB169">
        <v>83.43</v>
      </c>
      <c r="AC169">
        <v>13.5</v>
      </c>
      <c r="AD169">
        <v>0</v>
      </c>
      <c r="AE169">
        <v>0</v>
      </c>
      <c r="AF169">
        <v>83.43</v>
      </c>
      <c r="AG169">
        <v>13.5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6</v>
      </c>
      <c r="AT169">
        <v>0.02</v>
      </c>
      <c r="AU169" t="s">
        <v>27</v>
      </c>
      <c r="AV169">
        <v>0</v>
      </c>
      <c r="AW169">
        <v>2</v>
      </c>
      <c r="AX169">
        <v>16784460</v>
      </c>
      <c r="AY169">
        <v>1</v>
      </c>
      <c r="AZ169">
        <v>0</v>
      </c>
      <c r="BA169">
        <v>177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Y169*Source!I68</f>
        <v>1.18E-2</v>
      </c>
      <c r="CY169">
        <f>AB169</f>
        <v>83.43</v>
      </c>
      <c r="CZ169">
        <f>AF169</f>
        <v>83.43</v>
      </c>
      <c r="DA169">
        <f>AJ169</f>
        <v>1</v>
      </c>
      <c r="DB169">
        <f>ROUND((ROUND(AT169*CZ169,2)*1.25),2)</f>
        <v>2.09</v>
      </c>
      <c r="DC169">
        <f>ROUND((ROUND(AT169*AG169,2)*1.25),2)</f>
        <v>0.34</v>
      </c>
    </row>
    <row r="170" spans="1:107" x14ac:dyDescent="0.2">
      <c r="A170">
        <f>ROW(Source!A68)</f>
        <v>68</v>
      </c>
      <c r="B170">
        <v>16784195</v>
      </c>
      <c r="C170">
        <v>16784445</v>
      </c>
      <c r="D170">
        <v>15247678</v>
      </c>
      <c r="E170">
        <v>1</v>
      </c>
      <c r="F170">
        <v>1</v>
      </c>
      <c r="G170">
        <v>1</v>
      </c>
      <c r="H170">
        <v>2</v>
      </c>
      <c r="I170" t="s">
        <v>609</v>
      </c>
      <c r="J170" t="s">
        <v>610</v>
      </c>
      <c r="K170" t="s">
        <v>611</v>
      </c>
      <c r="L170">
        <v>1368</v>
      </c>
      <c r="N170">
        <v>1011</v>
      </c>
      <c r="O170" t="s">
        <v>501</v>
      </c>
      <c r="P170" t="s">
        <v>501</v>
      </c>
      <c r="Q170">
        <v>1</v>
      </c>
      <c r="W170">
        <v>0</v>
      </c>
      <c r="X170">
        <v>1330025190</v>
      </c>
      <c r="Y170">
        <v>1.2500000000000001E-2</v>
      </c>
      <c r="AA170">
        <v>0</v>
      </c>
      <c r="AB170">
        <v>88.01</v>
      </c>
      <c r="AC170">
        <v>11.6</v>
      </c>
      <c r="AD170">
        <v>0</v>
      </c>
      <c r="AE170">
        <v>0</v>
      </c>
      <c r="AF170">
        <v>88.01</v>
      </c>
      <c r="AG170">
        <v>11.6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6</v>
      </c>
      <c r="AT170">
        <v>0.01</v>
      </c>
      <c r="AU170" t="s">
        <v>27</v>
      </c>
      <c r="AV170">
        <v>0</v>
      </c>
      <c r="AW170">
        <v>2</v>
      </c>
      <c r="AX170">
        <v>16784461</v>
      </c>
      <c r="AY170">
        <v>1</v>
      </c>
      <c r="AZ170">
        <v>0</v>
      </c>
      <c r="BA170">
        <v>178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Y170*Source!I68</f>
        <v>5.8999999999999999E-3</v>
      </c>
      <c r="CY170">
        <f>AB170</f>
        <v>88.01</v>
      </c>
      <c r="CZ170">
        <f>AF170</f>
        <v>88.01</v>
      </c>
      <c r="DA170">
        <f>AJ170</f>
        <v>1</v>
      </c>
      <c r="DB170">
        <f>ROUND((ROUND(AT170*CZ170,2)*1.25),2)</f>
        <v>1.1000000000000001</v>
      </c>
      <c r="DC170">
        <f>ROUND((ROUND(AT170*AG170,2)*1.25),2)</f>
        <v>0.15</v>
      </c>
    </row>
    <row r="171" spans="1:107" x14ac:dyDescent="0.2">
      <c r="A171">
        <f>ROW(Source!A68)</f>
        <v>68</v>
      </c>
      <c r="B171">
        <v>16784195</v>
      </c>
      <c r="C171">
        <v>16784445</v>
      </c>
      <c r="D171">
        <v>15248143</v>
      </c>
      <c r="E171">
        <v>1</v>
      </c>
      <c r="F171">
        <v>1</v>
      </c>
      <c r="G171">
        <v>1</v>
      </c>
      <c r="H171">
        <v>2</v>
      </c>
      <c r="I171" t="s">
        <v>612</v>
      </c>
      <c r="J171" t="s">
        <v>613</v>
      </c>
      <c r="K171" t="s">
        <v>614</v>
      </c>
      <c r="L171">
        <v>1368</v>
      </c>
      <c r="N171">
        <v>1011</v>
      </c>
      <c r="O171" t="s">
        <v>501</v>
      </c>
      <c r="P171" t="s">
        <v>501</v>
      </c>
      <c r="Q171">
        <v>1</v>
      </c>
      <c r="W171">
        <v>0</v>
      </c>
      <c r="X171">
        <v>983187852</v>
      </c>
      <c r="Y171">
        <v>2.1124999999999998</v>
      </c>
      <c r="AA171">
        <v>0</v>
      </c>
      <c r="AB171">
        <v>12.39</v>
      </c>
      <c r="AC171">
        <v>10.06</v>
      </c>
      <c r="AD171">
        <v>0</v>
      </c>
      <c r="AE171">
        <v>0</v>
      </c>
      <c r="AF171">
        <v>12.39</v>
      </c>
      <c r="AG171">
        <v>10.06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6</v>
      </c>
      <c r="AT171">
        <v>1.69</v>
      </c>
      <c r="AU171" t="s">
        <v>27</v>
      </c>
      <c r="AV171">
        <v>0</v>
      </c>
      <c r="AW171">
        <v>2</v>
      </c>
      <c r="AX171">
        <v>16784462</v>
      </c>
      <c r="AY171">
        <v>1</v>
      </c>
      <c r="AZ171">
        <v>0</v>
      </c>
      <c r="BA171">
        <v>179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Y171*Source!I68</f>
        <v>0.99709999999999988</v>
      </c>
      <c r="CY171">
        <f>AB171</f>
        <v>12.39</v>
      </c>
      <c r="CZ171">
        <f>AF171</f>
        <v>12.39</v>
      </c>
      <c r="DA171">
        <f>AJ171</f>
        <v>1</v>
      </c>
      <c r="DB171">
        <f>ROUND((ROUND(AT171*CZ171,2)*1.25),2)</f>
        <v>26.18</v>
      </c>
      <c r="DC171">
        <f>ROUND((ROUND(AT171*AG171,2)*1.25),2)</f>
        <v>21.25</v>
      </c>
    </row>
    <row r="172" spans="1:107" x14ac:dyDescent="0.2">
      <c r="A172">
        <f>ROW(Source!A68)</f>
        <v>68</v>
      </c>
      <c r="B172">
        <v>16784195</v>
      </c>
      <c r="C172">
        <v>16784445</v>
      </c>
      <c r="D172">
        <v>15249073</v>
      </c>
      <c r="E172">
        <v>1</v>
      </c>
      <c r="F172">
        <v>1</v>
      </c>
      <c r="G172">
        <v>1</v>
      </c>
      <c r="H172">
        <v>2</v>
      </c>
      <c r="I172" t="s">
        <v>504</v>
      </c>
      <c r="J172" t="s">
        <v>505</v>
      </c>
      <c r="K172" t="s">
        <v>506</v>
      </c>
      <c r="L172">
        <v>1368</v>
      </c>
      <c r="N172">
        <v>1011</v>
      </c>
      <c r="O172" t="s">
        <v>501</v>
      </c>
      <c r="P172" t="s">
        <v>501</v>
      </c>
      <c r="Q172">
        <v>1</v>
      </c>
      <c r="W172">
        <v>0</v>
      </c>
      <c r="X172">
        <v>1372534845</v>
      </c>
      <c r="Y172">
        <v>1.2500000000000001E-2</v>
      </c>
      <c r="AA172">
        <v>0</v>
      </c>
      <c r="AB172">
        <v>65.709999999999994</v>
      </c>
      <c r="AC172">
        <v>11.6</v>
      </c>
      <c r="AD172">
        <v>0</v>
      </c>
      <c r="AE172">
        <v>0</v>
      </c>
      <c r="AF172">
        <v>65.709999999999994</v>
      </c>
      <c r="AG172">
        <v>11.6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6</v>
      </c>
      <c r="AT172">
        <v>0.01</v>
      </c>
      <c r="AU172" t="s">
        <v>27</v>
      </c>
      <c r="AV172">
        <v>0</v>
      </c>
      <c r="AW172">
        <v>2</v>
      </c>
      <c r="AX172">
        <v>16784463</v>
      </c>
      <c r="AY172">
        <v>1</v>
      </c>
      <c r="AZ172">
        <v>0</v>
      </c>
      <c r="BA172">
        <v>180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Y172*Source!I68</f>
        <v>5.8999999999999999E-3</v>
      </c>
      <c r="CY172">
        <f>AB172</f>
        <v>65.709999999999994</v>
      </c>
      <c r="CZ172">
        <f>AF172</f>
        <v>65.709999999999994</v>
      </c>
      <c r="DA172">
        <f>AJ172</f>
        <v>1</v>
      </c>
      <c r="DB172">
        <f>ROUND((ROUND(AT172*CZ172,2)*1.25),2)</f>
        <v>0.83</v>
      </c>
      <c r="DC172">
        <f>ROUND((ROUND(AT172*AG172,2)*1.25),2)</f>
        <v>0.15</v>
      </c>
    </row>
    <row r="173" spans="1:107" x14ac:dyDescent="0.2">
      <c r="A173">
        <f>ROW(Source!A68)</f>
        <v>68</v>
      </c>
      <c r="B173">
        <v>16784195</v>
      </c>
      <c r="C173">
        <v>16784445</v>
      </c>
      <c r="D173">
        <v>15167286</v>
      </c>
      <c r="E173">
        <v>1</v>
      </c>
      <c r="F173">
        <v>1</v>
      </c>
      <c r="G173">
        <v>1</v>
      </c>
      <c r="H173">
        <v>3</v>
      </c>
      <c r="I173" t="s">
        <v>597</v>
      </c>
      <c r="J173" t="s">
        <v>598</v>
      </c>
      <c r="K173" t="s">
        <v>599</v>
      </c>
      <c r="L173">
        <v>1339</v>
      </c>
      <c r="N173">
        <v>1007</v>
      </c>
      <c r="O173" t="s">
        <v>128</v>
      </c>
      <c r="P173" t="s">
        <v>128</v>
      </c>
      <c r="Q173">
        <v>1</v>
      </c>
      <c r="W173">
        <v>0</v>
      </c>
      <c r="X173">
        <v>-1660354250</v>
      </c>
      <c r="Y173">
        <v>0.44</v>
      </c>
      <c r="AA173">
        <v>2.44</v>
      </c>
      <c r="AB173">
        <v>0</v>
      </c>
      <c r="AC173">
        <v>0</v>
      </c>
      <c r="AD173">
        <v>0</v>
      </c>
      <c r="AE173">
        <v>2.44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6</v>
      </c>
      <c r="AT173">
        <v>0.44</v>
      </c>
      <c r="AU173" t="s">
        <v>6</v>
      </c>
      <c r="AV173">
        <v>0</v>
      </c>
      <c r="AW173">
        <v>2</v>
      </c>
      <c r="AX173">
        <v>16784464</v>
      </c>
      <c r="AY173">
        <v>1</v>
      </c>
      <c r="AZ173">
        <v>0</v>
      </c>
      <c r="BA173">
        <v>181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Y173*Source!I68</f>
        <v>0.20768</v>
      </c>
      <c r="CY173">
        <f t="shared" ref="CY173:CY178" si="26">AA173</f>
        <v>2.44</v>
      </c>
      <c r="CZ173">
        <f t="shared" ref="CZ173:CZ178" si="27">AE173</f>
        <v>2.44</v>
      </c>
      <c r="DA173">
        <f t="shared" ref="DA173:DA178" si="28">AI173</f>
        <v>1</v>
      </c>
      <c r="DB173">
        <f t="shared" ref="DB173:DB178" si="29">ROUND(ROUND(AT173*CZ173,2),2)</f>
        <v>1.07</v>
      </c>
      <c r="DC173">
        <f t="shared" ref="DC173:DC178" si="30">ROUND(ROUND(AT173*AG173,2),2)</f>
        <v>0</v>
      </c>
    </row>
    <row r="174" spans="1:107" x14ac:dyDescent="0.2">
      <c r="A174">
        <f>ROW(Source!A68)</f>
        <v>68</v>
      </c>
      <c r="B174">
        <v>16784195</v>
      </c>
      <c r="C174">
        <v>16784445</v>
      </c>
      <c r="D174">
        <v>15173044</v>
      </c>
      <c r="E174">
        <v>1</v>
      </c>
      <c r="F174">
        <v>1</v>
      </c>
      <c r="G174">
        <v>1</v>
      </c>
      <c r="H174">
        <v>3</v>
      </c>
      <c r="I174" t="s">
        <v>615</v>
      </c>
      <c r="J174" t="s">
        <v>616</v>
      </c>
      <c r="K174" t="s">
        <v>617</v>
      </c>
      <c r="L174">
        <v>1348</v>
      </c>
      <c r="N174">
        <v>1009</v>
      </c>
      <c r="O174" t="s">
        <v>65</v>
      </c>
      <c r="P174" t="s">
        <v>65</v>
      </c>
      <c r="Q174">
        <v>1000</v>
      </c>
      <c r="W174">
        <v>0</v>
      </c>
      <c r="X174">
        <v>2108657288</v>
      </c>
      <c r="Y174">
        <v>1.2999999999999999E-2</v>
      </c>
      <c r="AA174">
        <v>6513</v>
      </c>
      <c r="AB174">
        <v>0</v>
      </c>
      <c r="AC174">
        <v>0</v>
      </c>
      <c r="AD174">
        <v>0</v>
      </c>
      <c r="AE174">
        <v>6513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1.2999999999999999E-2</v>
      </c>
      <c r="AU174" t="s">
        <v>6</v>
      </c>
      <c r="AV174">
        <v>0</v>
      </c>
      <c r="AW174">
        <v>2</v>
      </c>
      <c r="AX174">
        <v>16784465</v>
      </c>
      <c r="AY174">
        <v>1</v>
      </c>
      <c r="AZ174">
        <v>0</v>
      </c>
      <c r="BA174">
        <v>182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Y174*Source!I68</f>
        <v>6.1359999999999991E-3</v>
      </c>
      <c r="CY174">
        <f t="shared" si="26"/>
        <v>6513</v>
      </c>
      <c r="CZ174">
        <f t="shared" si="27"/>
        <v>6513</v>
      </c>
      <c r="DA174">
        <f t="shared" si="28"/>
        <v>1</v>
      </c>
      <c r="DB174">
        <f t="shared" si="29"/>
        <v>84.67</v>
      </c>
      <c r="DC174">
        <f t="shared" si="30"/>
        <v>0</v>
      </c>
    </row>
    <row r="175" spans="1:107" x14ac:dyDescent="0.2">
      <c r="A175">
        <f>ROW(Source!A68)</f>
        <v>68</v>
      </c>
      <c r="B175">
        <v>16784195</v>
      </c>
      <c r="C175">
        <v>16784445</v>
      </c>
      <c r="D175">
        <v>15187102</v>
      </c>
      <c r="E175">
        <v>1</v>
      </c>
      <c r="F175">
        <v>1</v>
      </c>
      <c r="G175">
        <v>1</v>
      </c>
      <c r="H175">
        <v>3</v>
      </c>
      <c r="I175" t="s">
        <v>143</v>
      </c>
      <c r="J175" t="s">
        <v>145</v>
      </c>
      <c r="K175" t="s">
        <v>144</v>
      </c>
      <c r="L175">
        <v>1327</v>
      </c>
      <c r="N175">
        <v>1005</v>
      </c>
      <c r="O175" t="s">
        <v>35</v>
      </c>
      <c r="P175" t="s">
        <v>35</v>
      </c>
      <c r="Q175">
        <v>1</v>
      </c>
      <c r="W175">
        <v>1</v>
      </c>
      <c r="X175">
        <v>2046761779</v>
      </c>
      <c r="Y175">
        <v>-102</v>
      </c>
      <c r="AA175">
        <v>140.44999999999999</v>
      </c>
      <c r="AB175">
        <v>0</v>
      </c>
      <c r="AC175">
        <v>0</v>
      </c>
      <c r="AD175">
        <v>0</v>
      </c>
      <c r="AE175">
        <v>140.44999999999999</v>
      </c>
      <c r="AF175">
        <v>0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6</v>
      </c>
      <c r="AT175">
        <v>-102</v>
      </c>
      <c r="AU175" t="s">
        <v>6</v>
      </c>
      <c r="AV175">
        <v>0</v>
      </c>
      <c r="AW175">
        <v>2</v>
      </c>
      <c r="AX175">
        <v>16784466</v>
      </c>
      <c r="AY175">
        <v>1</v>
      </c>
      <c r="AZ175">
        <v>6144</v>
      </c>
      <c r="BA175">
        <v>183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Y175*Source!I68</f>
        <v>-48.143999999999998</v>
      </c>
      <c r="CY175">
        <f t="shared" si="26"/>
        <v>140.44999999999999</v>
      </c>
      <c r="CZ175">
        <f t="shared" si="27"/>
        <v>140.44999999999999</v>
      </c>
      <c r="DA175">
        <f t="shared" si="28"/>
        <v>1</v>
      </c>
      <c r="DB175">
        <f t="shared" si="29"/>
        <v>-14325.9</v>
      </c>
      <c r="DC175">
        <f t="shared" si="30"/>
        <v>0</v>
      </c>
    </row>
    <row r="176" spans="1:107" x14ac:dyDescent="0.2">
      <c r="A176">
        <f>ROW(Source!A68)</f>
        <v>68</v>
      </c>
      <c r="B176">
        <v>16784195</v>
      </c>
      <c r="C176">
        <v>16784445</v>
      </c>
      <c r="D176">
        <v>15187116</v>
      </c>
      <c r="E176">
        <v>1</v>
      </c>
      <c r="F176">
        <v>1</v>
      </c>
      <c r="G176">
        <v>1</v>
      </c>
      <c r="H176">
        <v>3</v>
      </c>
      <c r="I176" t="s">
        <v>147</v>
      </c>
      <c r="J176" t="s">
        <v>149</v>
      </c>
      <c r="K176" t="s">
        <v>148</v>
      </c>
      <c r="L176">
        <v>1327</v>
      </c>
      <c r="N176">
        <v>1005</v>
      </c>
      <c r="O176" t="s">
        <v>35</v>
      </c>
      <c r="P176" t="s">
        <v>35</v>
      </c>
      <c r="Q176">
        <v>1</v>
      </c>
      <c r="W176">
        <v>0</v>
      </c>
      <c r="X176">
        <v>1925995961</v>
      </c>
      <c r="Y176">
        <v>102</v>
      </c>
      <c r="AA176">
        <v>83.2</v>
      </c>
      <c r="AB176">
        <v>0</v>
      </c>
      <c r="AC176">
        <v>0</v>
      </c>
      <c r="AD176">
        <v>0</v>
      </c>
      <c r="AE176">
        <v>83.2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6</v>
      </c>
      <c r="AT176">
        <v>102</v>
      </c>
      <c r="AU176" t="s">
        <v>6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Y176*Source!I68</f>
        <v>48.143999999999998</v>
      </c>
      <c r="CY176">
        <f t="shared" si="26"/>
        <v>83.2</v>
      </c>
      <c r="CZ176">
        <f t="shared" si="27"/>
        <v>83.2</v>
      </c>
      <c r="DA176">
        <f t="shared" si="28"/>
        <v>1</v>
      </c>
      <c r="DB176">
        <f t="shared" si="29"/>
        <v>8486.4</v>
      </c>
      <c r="DC176">
        <f t="shared" si="30"/>
        <v>0</v>
      </c>
    </row>
    <row r="177" spans="1:107" x14ac:dyDescent="0.2">
      <c r="A177">
        <f>ROW(Source!A68)</f>
        <v>68</v>
      </c>
      <c r="B177">
        <v>16784195</v>
      </c>
      <c r="C177">
        <v>16784445</v>
      </c>
      <c r="D177">
        <v>15202597</v>
      </c>
      <c r="E177">
        <v>1</v>
      </c>
      <c r="F177">
        <v>1</v>
      </c>
      <c r="G177">
        <v>1</v>
      </c>
      <c r="H177">
        <v>3</v>
      </c>
      <c r="I177" t="s">
        <v>618</v>
      </c>
      <c r="J177" t="s">
        <v>619</v>
      </c>
      <c r="K177" t="s">
        <v>620</v>
      </c>
      <c r="L177">
        <v>1346</v>
      </c>
      <c r="N177">
        <v>1009</v>
      </c>
      <c r="O177" t="s">
        <v>60</v>
      </c>
      <c r="P177" t="s">
        <v>60</v>
      </c>
      <c r="Q177">
        <v>1</v>
      </c>
      <c r="W177">
        <v>0</v>
      </c>
      <c r="X177">
        <v>830044740</v>
      </c>
      <c r="Y177">
        <v>1200</v>
      </c>
      <c r="AA177">
        <v>3.69</v>
      </c>
      <c r="AB177">
        <v>0</v>
      </c>
      <c r="AC177">
        <v>0</v>
      </c>
      <c r="AD177">
        <v>0</v>
      </c>
      <c r="AE177">
        <v>3.69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1200</v>
      </c>
      <c r="AU177" t="s">
        <v>6</v>
      </c>
      <c r="AV177">
        <v>0</v>
      </c>
      <c r="AW177">
        <v>2</v>
      </c>
      <c r="AX177">
        <v>16784468</v>
      </c>
      <c r="AY177">
        <v>1</v>
      </c>
      <c r="AZ177">
        <v>0</v>
      </c>
      <c r="BA177">
        <v>185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Y177*Source!I68</f>
        <v>566.4</v>
      </c>
      <c r="CY177">
        <f t="shared" si="26"/>
        <v>3.69</v>
      </c>
      <c r="CZ177">
        <f t="shared" si="27"/>
        <v>3.69</v>
      </c>
      <c r="DA177">
        <f t="shared" si="28"/>
        <v>1</v>
      </c>
      <c r="DB177">
        <f t="shared" si="29"/>
        <v>4428</v>
      </c>
      <c r="DC177">
        <f t="shared" si="30"/>
        <v>0</v>
      </c>
    </row>
    <row r="178" spans="1:107" x14ac:dyDescent="0.2">
      <c r="A178">
        <f>ROW(Source!A68)</f>
        <v>68</v>
      </c>
      <c r="B178">
        <v>16784195</v>
      </c>
      <c r="C178">
        <v>16784445</v>
      </c>
      <c r="D178">
        <v>15203485</v>
      </c>
      <c r="E178">
        <v>1</v>
      </c>
      <c r="F178">
        <v>1</v>
      </c>
      <c r="G178">
        <v>1</v>
      </c>
      <c r="H178">
        <v>3</v>
      </c>
      <c r="I178" t="s">
        <v>139</v>
      </c>
      <c r="J178" t="s">
        <v>141</v>
      </c>
      <c r="K178" t="s">
        <v>140</v>
      </c>
      <c r="L178">
        <v>1346</v>
      </c>
      <c r="N178">
        <v>1009</v>
      </c>
      <c r="O178" t="s">
        <v>60</v>
      </c>
      <c r="P178" t="s">
        <v>60</v>
      </c>
      <c r="Q178">
        <v>1</v>
      </c>
      <c r="W178">
        <v>0</v>
      </c>
      <c r="X178">
        <v>303141801</v>
      </c>
      <c r="Y178">
        <v>13</v>
      </c>
      <c r="AA178">
        <v>15.25</v>
      </c>
      <c r="AB178">
        <v>0</v>
      </c>
      <c r="AC178">
        <v>0</v>
      </c>
      <c r="AD178">
        <v>0</v>
      </c>
      <c r="AE178">
        <v>15.25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6</v>
      </c>
      <c r="AT178">
        <v>13</v>
      </c>
      <c r="AU178" t="s">
        <v>6</v>
      </c>
      <c r="AV178">
        <v>0</v>
      </c>
      <c r="AW178">
        <v>1</v>
      </c>
      <c r="AX178">
        <v>-1</v>
      </c>
      <c r="AY178">
        <v>0</v>
      </c>
      <c r="AZ178">
        <v>0</v>
      </c>
      <c r="BA178" t="s">
        <v>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Y178*Source!I68</f>
        <v>6.1359999999999992</v>
      </c>
      <c r="CY178">
        <f t="shared" si="26"/>
        <v>15.25</v>
      </c>
      <c r="CZ178">
        <f t="shared" si="27"/>
        <v>15.25</v>
      </c>
      <c r="DA178">
        <f t="shared" si="28"/>
        <v>1</v>
      </c>
      <c r="DB178">
        <f t="shared" si="29"/>
        <v>198.25</v>
      </c>
      <c r="DC178">
        <f t="shared" si="30"/>
        <v>0</v>
      </c>
    </row>
    <row r="179" spans="1:107" x14ac:dyDescent="0.2">
      <c r="A179">
        <f>ROW(Source!A69)</f>
        <v>69</v>
      </c>
      <c r="B179">
        <v>16784196</v>
      </c>
      <c r="C179">
        <v>16784445</v>
      </c>
      <c r="D179">
        <v>15436014</v>
      </c>
      <c r="E179">
        <v>1</v>
      </c>
      <c r="F179">
        <v>1</v>
      </c>
      <c r="G179">
        <v>1</v>
      </c>
      <c r="H179">
        <v>1</v>
      </c>
      <c r="I179" t="s">
        <v>502</v>
      </c>
      <c r="J179" t="s">
        <v>6</v>
      </c>
      <c r="K179" t="s">
        <v>503</v>
      </c>
      <c r="L179">
        <v>1191</v>
      </c>
      <c r="N179">
        <v>1013</v>
      </c>
      <c r="O179" t="s">
        <v>495</v>
      </c>
      <c r="P179" t="s">
        <v>495</v>
      </c>
      <c r="Q179">
        <v>1</v>
      </c>
      <c r="W179">
        <v>0</v>
      </c>
      <c r="X179">
        <v>-784637506</v>
      </c>
      <c r="Y179">
        <v>356.983</v>
      </c>
      <c r="AA179">
        <v>0</v>
      </c>
      <c r="AB179">
        <v>0</v>
      </c>
      <c r="AC179">
        <v>0</v>
      </c>
      <c r="AD179">
        <v>53.4</v>
      </c>
      <c r="AE179">
        <v>0</v>
      </c>
      <c r="AF179">
        <v>0</v>
      </c>
      <c r="AG179">
        <v>0</v>
      </c>
      <c r="AH179">
        <v>8.74</v>
      </c>
      <c r="AI179">
        <v>1</v>
      </c>
      <c r="AJ179">
        <v>1</v>
      </c>
      <c r="AK179">
        <v>1</v>
      </c>
      <c r="AL179">
        <v>6.11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310.42</v>
      </c>
      <c r="AU179" t="s">
        <v>28</v>
      </c>
      <c r="AV179">
        <v>1</v>
      </c>
      <c r="AW179">
        <v>2</v>
      </c>
      <c r="AX179">
        <v>16784458</v>
      </c>
      <c r="AY179">
        <v>1</v>
      </c>
      <c r="AZ179">
        <v>0</v>
      </c>
      <c r="BA179">
        <v>187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Y179*Source!I69</f>
        <v>168.49597599999998</v>
      </c>
      <c r="CY179">
        <f>AD179</f>
        <v>53.4</v>
      </c>
      <c r="CZ179">
        <f>AH179</f>
        <v>8.74</v>
      </c>
      <c r="DA179">
        <f>AL179</f>
        <v>6.11</v>
      </c>
      <c r="DB179">
        <f>ROUND((ROUND(AT179*CZ179,2)*1.15),2)</f>
        <v>3120.03</v>
      </c>
      <c r="DC179">
        <f>ROUND((ROUND(AT179*AG179,2)*1.15),2)</f>
        <v>0</v>
      </c>
    </row>
    <row r="180" spans="1:107" x14ac:dyDescent="0.2">
      <c r="A180">
        <f>ROW(Source!A69)</f>
        <v>69</v>
      </c>
      <c r="B180">
        <v>16784196</v>
      </c>
      <c r="C180">
        <v>16784445</v>
      </c>
      <c r="D180">
        <v>15430395</v>
      </c>
      <c r="E180">
        <v>1</v>
      </c>
      <c r="F180">
        <v>1</v>
      </c>
      <c r="G180">
        <v>1</v>
      </c>
      <c r="H180">
        <v>1</v>
      </c>
      <c r="I180" t="s">
        <v>496</v>
      </c>
      <c r="J180" t="s">
        <v>6</v>
      </c>
      <c r="K180" t="s">
        <v>497</v>
      </c>
      <c r="L180">
        <v>1191</v>
      </c>
      <c r="N180">
        <v>1013</v>
      </c>
      <c r="O180" t="s">
        <v>495</v>
      </c>
      <c r="P180" t="s">
        <v>495</v>
      </c>
      <c r="Q180">
        <v>1</v>
      </c>
      <c r="W180">
        <v>0</v>
      </c>
      <c r="X180">
        <v>-1417349443</v>
      </c>
      <c r="Y180">
        <v>1.73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6.11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1.73</v>
      </c>
      <c r="AU180" t="s">
        <v>6</v>
      </c>
      <c r="AV180">
        <v>2</v>
      </c>
      <c r="AW180">
        <v>2</v>
      </c>
      <c r="AX180">
        <v>16784459</v>
      </c>
      <c r="AY180">
        <v>1</v>
      </c>
      <c r="AZ180">
        <v>2048</v>
      </c>
      <c r="BA180">
        <v>188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Y180*Source!I69</f>
        <v>0.81655999999999995</v>
      </c>
      <c r="CY180">
        <f>AD180</f>
        <v>0</v>
      </c>
      <c r="CZ180">
        <f>AH180</f>
        <v>0</v>
      </c>
      <c r="DA180">
        <f>AL180</f>
        <v>1</v>
      </c>
      <c r="DB180">
        <f>ROUND(ROUND(AT180*CZ180,2),2)</f>
        <v>0</v>
      </c>
      <c r="DC180">
        <f>ROUND(ROUND(AT180*AG180,2),2)</f>
        <v>0</v>
      </c>
    </row>
    <row r="181" spans="1:107" x14ac:dyDescent="0.2">
      <c r="A181">
        <f>ROW(Source!A69)</f>
        <v>69</v>
      </c>
      <c r="B181">
        <v>16784196</v>
      </c>
      <c r="C181">
        <v>16784445</v>
      </c>
      <c r="D181">
        <v>15247576</v>
      </c>
      <c r="E181">
        <v>1</v>
      </c>
      <c r="F181">
        <v>1</v>
      </c>
      <c r="G181">
        <v>1</v>
      </c>
      <c r="H181">
        <v>2</v>
      </c>
      <c r="I181" t="s">
        <v>606</v>
      </c>
      <c r="J181" t="s">
        <v>607</v>
      </c>
      <c r="K181" t="s">
        <v>608</v>
      </c>
      <c r="L181">
        <v>1368</v>
      </c>
      <c r="N181">
        <v>1011</v>
      </c>
      <c r="O181" t="s">
        <v>501</v>
      </c>
      <c r="P181" t="s">
        <v>501</v>
      </c>
      <c r="Q181">
        <v>1</v>
      </c>
      <c r="W181">
        <v>0</v>
      </c>
      <c r="X181">
        <v>257150282</v>
      </c>
      <c r="Y181">
        <v>2.5000000000000001E-2</v>
      </c>
      <c r="AA181">
        <v>0</v>
      </c>
      <c r="AB181">
        <v>509.76</v>
      </c>
      <c r="AC181">
        <v>13.5</v>
      </c>
      <c r="AD181">
        <v>0</v>
      </c>
      <c r="AE181">
        <v>0</v>
      </c>
      <c r="AF181">
        <v>83.43</v>
      </c>
      <c r="AG181">
        <v>13.5</v>
      </c>
      <c r="AH181">
        <v>0</v>
      </c>
      <c r="AI181">
        <v>1</v>
      </c>
      <c r="AJ181">
        <v>6.11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</v>
      </c>
      <c r="AT181">
        <v>0.02</v>
      </c>
      <c r="AU181" t="s">
        <v>27</v>
      </c>
      <c r="AV181">
        <v>0</v>
      </c>
      <c r="AW181">
        <v>2</v>
      </c>
      <c r="AX181">
        <v>16784460</v>
      </c>
      <c r="AY181">
        <v>1</v>
      </c>
      <c r="AZ181">
        <v>0</v>
      </c>
      <c r="BA181">
        <v>189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Y181*Source!I69</f>
        <v>1.18E-2</v>
      </c>
      <c r="CY181">
        <f>AB181</f>
        <v>509.76</v>
      </c>
      <c r="CZ181">
        <f>AF181</f>
        <v>83.43</v>
      </c>
      <c r="DA181">
        <f>AJ181</f>
        <v>6.11</v>
      </c>
      <c r="DB181">
        <f>ROUND((ROUND(AT181*CZ181,2)*1.25),2)</f>
        <v>2.09</v>
      </c>
      <c r="DC181">
        <f>ROUND((ROUND(AT181*AG181,2)*1.25),2)</f>
        <v>0.34</v>
      </c>
    </row>
    <row r="182" spans="1:107" x14ac:dyDescent="0.2">
      <c r="A182">
        <f>ROW(Source!A69)</f>
        <v>69</v>
      </c>
      <c r="B182">
        <v>16784196</v>
      </c>
      <c r="C182">
        <v>16784445</v>
      </c>
      <c r="D182">
        <v>15247678</v>
      </c>
      <c r="E182">
        <v>1</v>
      </c>
      <c r="F182">
        <v>1</v>
      </c>
      <c r="G182">
        <v>1</v>
      </c>
      <c r="H182">
        <v>2</v>
      </c>
      <c r="I182" t="s">
        <v>609</v>
      </c>
      <c r="J182" t="s">
        <v>610</v>
      </c>
      <c r="K182" t="s">
        <v>611</v>
      </c>
      <c r="L182">
        <v>1368</v>
      </c>
      <c r="N182">
        <v>1011</v>
      </c>
      <c r="O182" t="s">
        <v>501</v>
      </c>
      <c r="P182" t="s">
        <v>501</v>
      </c>
      <c r="Q182">
        <v>1</v>
      </c>
      <c r="W182">
        <v>0</v>
      </c>
      <c r="X182">
        <v>1330025190</v>
      </c>
      <c r="Y182">
        <v>1.2500000000000001E-2</v>
      </c>
      <c r="AA182">
        <v>0</v>
      </c>
      <c r="AB182">
        <v>537.74</v>
      </c>
      <c r="AC182">
        <v>11.6</v>
      </c>
      <c r="AD182">
        <v>0</v>
      </c>
      <c r="AE182">
        <v>0</v>
      </c>
      <c r="AF182">
        <v>88.01</v>
      </c>
      <c r="AG182">
        <v>11.6</v>
      </c>
      <c r="AH182">
        <v>0</v>
      </c>
      <c r="AI182">
        <v>1</v>
      </c>
      <c r="AJ182">
        <v>6.11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</v>
      </c>
      <c r="AT182">
        <v>0.01</v>
      </c>
      <c r="AU182" t="s">
        <v>27</v>
      </c>
      <c r="AV182">
        <v>0</v>
      </c>
      <c r="AW182">
        <v>2</v>
      </c>
      <c r="AX182">
        <v>16784461</v>
      </c>
      <c r="AY182">
        <v>1</v>
      </c>
      <c r="AZ182">
        <v>0</v>
      </c>
      <c r="BA182">
        <v>190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Y182*Source!I69</f>
        <v>5.8999999999999999E-3</v>
      </c>
      <c r="CY182">
        <f>AB182</f>
        <v>537.74</v>
      </c>
      <c r="CZ182">
        <f>AF182</f>
        <v>88.01</v>
      </c>
      <c r="DA182">
        <f>AJ182</f>
        <v>6.11</v>
      </c>
      <c r="DB182">
        <f>ROUND((ROUND(AT182*CZ182,2)*1.25),2)</f>
        <v>1.1000000000000001</v>
      </c>
      <c r="DC182">
        <f>ROUND((ROUND(AT182*AG182,2)*1.25),2)</f>
        <v>0.15</v>
      </c>
    </row>
    <row r="183" spans="1:107" x14ac:dyDescent="0.2">
      <c r="A183">
        <f>ROW(Source!A69)</f>
        <v>69</v>
      </c>
      <c r="B183">
        <v>16784196</v>
      </c>
      <c r="C183">
        <v>16784445</v>
      </c>
      <c r="D183">
        <v>15248143</v>
      </c>
      <c r="E183">
        <v>1</v>
      </c>
      <c r="F183">
        <v>1</v>
      </c>
      <c r="G183">
        <v>1</v>
      </c>
      <c r="H183">
        <v>2</v>
      </c>
      <c r="I183" t="s">
        <v>612</v>
      </c>
      <c r="J183" t="s">
        <v>613</v>
      </c>
      <c r="K183" t="s">
        <v>614</v>
      </c>
      <c r="L183">
        <v>1368</v>
      </c>
      <c r="N183">
        <v>1011</v>
      </c>
      <c r="O183" t="s">
        <v>501</v>
      </c>
      <c r="P183" t="s">
        <v>501</v>
      </c>
      <c r="Q183">
        <v>1</v>
      </c>
      <c r="W183">
        <v>0</v>
      </c>
      <c r="X183">
        <v>983187852</v>
      </c>
      <c r="Y183">
        <v>2.1124999999999998</v>
      </c>
      <c r="AA183">
        <v>0</v>
      </c>
      <c r="AB183">
        <v>75.7</v>
      </c>
      <c r="AC183">
        <v>10.06</v>
      </c>
      <c r="AD183">
        <v>0</v>
      </c>
      <c r="AE183">
        <v>0</v>
      </c>
      <c r="AF183">
        <v>12.39</v>
      </c>
      <c r="AG183">
        <v>10.06</v>
      </c>
      <c r="AH183">
        <v>0</v>
      </c>
      <c r="AI183">
        <v>1</v>
      </c>
      <c r="AJ183">
        <v>6.11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1.69</v>
      </c>
      <c r="AU183" t="s">
        <v>27</v>
      </c>
      <c r="AV183">
        <v>0</v>
      </c>
      <c r="AW183">
        <v>2</v>
      </c>
      <c r="AX183">
        <v>16784462</v>
      </c>
      <c r="AY183">
        <v>1</v>
      </c>
      <c r="AZ183">
        <v>0</v>
      </c>
      <c r="BA183">
        <v>191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Y183*Source!I69</f>
        <v>0.99709999999999988</v>
      </c>
      <c r="CY183">
        <f>AB183</f>
        <v>75.7</v>
      </c>
      <c r="CZ183">
        <f>AF183</f>
        <v>12.39</v>
      </c>
      <c r="DA183">
        <f>AJ183</f>
        <v>6.11</v>
      </c>
      <c r="DB183">
        <f>ROUND((ROUND(AT183*CZ183,2)*1.25),2)</f>
        <v>26.18</v>
      </c>
      <c r="DC183">
        <f>ROUND((ROUND(AT183*AG183,2)*1.25),2)</f>
        <v>21.25</v>
      </c>
    </row>
    <row r="184" spans="1:107" x14ac:dyDescent="0.2">
      <c r="A184">
        <f>ROW(Source!A69)</f>
        <v>69</v>
      </c>
      <c r="B184">
        <v>16784196</v>
      </c>
      <c r="C184">
        <v>16784445</v>
      </c>
      <c r="D184">
        <v>15249073</v>
      </c>
      <c r="E184">
        <v>1</v>
      </c>
      <c r="F184">
        <v>1</v>
      </c>
      <c r="G184">
        <v>1</v>
      </c>
      <c r="H184">
        <v>2</v>
      </c>
      <c r="I184" t="s">
        <v>504</v>
      </c>
      <c r="J184" t="s">
        <v>505</v>
      </c>
      <c r="K184" t="s">
        <v>506</v>
      </c>
      <c r="L184">
        <v>1368</v>
      </c>
      <c r="N184">
        <v>1011</v>
      </c>
      <c r="O184" t="s">
        <v>501</v>
      </c>
      <c r="P184" t="s">
        <v>501</v>
      </c>
      <c r="Q184">
        <v>1</v>
      </c>
      <c r="W184">
        <v>0</v>
      </c>
      <c r="X184">
        <v>1372534845</v>
      </c>
      <c r="Y184">
        <v>1.2500000000000001E-2</v>
      </c>
      <c r="AA184">
        <v>0</v>
      </c>
      <c r="AB184">
        <v>401.49</v>
      </c>
      <c r="AC184">
        <v>11.6</v>
      </c>
      <c r="AD184">
        <v>0</v>
      </c>
      <c r="AE184">
        <v>0</v>
      </c>
      <c r="AF184">
        <v>65.709999999999994</v>
      </c>
      <c r="AG184">
        <v>11.6</v>
      </c>
      <c r="AH184">
        <v>0</v>
      </c>
      <c r="AI184">
        <v>1</v>
      </c>
      <c r="AJ184">
        <v>6.11</v>
      </c>
      <c r="AK184">
        <v>1</v>
      </c>
      <c r="AL184">
        <v>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0.01</v>
      </c>
      <c r="AU184" t="s">
        <v>27</v>
      </c>
      <c r="AV184">
        <v>0</v>
      </c>
      <c r="AW184">
        <v>2</v>
      </c>
      <c r="AX184">
        <v>16784463</v>
      </c>
      <c r="AY184">
        <v>1</v>
      </c>
      <c r="AZ184">
        <v>0</v>
      </c>
      <c r="BA184">
        <v>192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Y184*Source!I69</f>
        <v>5.8999999999999999E-3</v>
      </c>
      <c r="CY184">
        <f>AB184</f>
        <v>401.49</v>
      </c>
      <c r="CZ184">
        <f>AF184</f>
        <v>65.709999999999994</v>
      </c>
      <c r="DA184">
        <f>AJ184</f>
        <v>6.11</v>
      </c>
      <c r="DB184">
        <f>ROUND((ROUND(AT184*CZ184,2)*1.25),2)</f>
        <v>0.83</v>
      </c>
      <c r="DC184">
        <f>ROUND((ROUND(AT184*AG184,2)*1.25),2)</f>
        <v>0.15</v>
      </c>
    </row>
    <row r="185" spans="1:107" x14ac:dyDescent="0.2">
      <c r="A185">
        <f>ROW(Source!A69)</f>
        <v>69</v>
      </c>
      <c r="B185">
        <v>16784196</v>
      </c>
      <c r="C185">
        <v>16784445</v>
      </c>
      <c r="D185">
        <v>15167286</v>
      </c>
      <c r="E185">
        <v>1</v>
      </c>
      <c r="F185">
        <v>1</v>
      </c>
      <c r="G185">
        <v>1</v>
      </c>
      <c r="H185">
        <v>3</v>
      </c>
      <c r="I185" t="s">
        <v>597</v>
      </c>
      <c r="J185" t="s">
        <v>598</v>
      </c>
      <c r="K185" t="s">
        <v>599</v>
      </c>
      <c r="L185">
        <v>1339</v>
      </c>
      <c r="N185">
        <v>1007</v>
      </c>
      <c r="O185" t="s">
        <v>128</v>
      </c>
      <c r="P185" t="s">
        <v>128</v>
      </c>
      <c r="Q185">
        <v>1</v>
      </c>
      <c r="W185">
        <v>0</v>
      </c>
      <c r="X185">
        <v>-1660354250</v>
      </c>
      <c r="Y185">
        <v>0.44</v>
      </c>
      <c r="AA185">
        <v>14.91</v>
      </c>
      <c r="AB185">
        <v>0</v>
      </c>
      <c r="AC185">
        <v>0</v>
      </c>
      <c r="AD185">
        <v>0</v>
      </c>
      <c r="AE185">
        <v>2.44</v>
      </c>
      <c r="AF185">
        <v>0</v>
      </c>
      <c r="AG185">
        <v>0</v>
      </c>
      <c r="AH185">
        <v>0</v>
      </c>
      <c r="AI185">
        <v>6.11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0.44</v>
      </c>
      <c r="AU185" t="s">
        <v>6</v>
      </c>
      <c r="AV185">
        <v>0</v>
      </c>
      <c r="AW185">
        <v>2</v>
      </c>
      <c r="AX185">
        <v>16784464</v>
      </c>
      <c r="AY185">
        <v>1</v>
      </c>
      <c r="AZ185">
        <v>0</v>
      </c>
      <c r="BA185">
        <v>193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Y185*Source!I69</f>
        <v>0.20768</v>
      </c>
      <c r="CY185">
        <f t="shared" ref="CY185:CY190" si="31">AA185</f>
        <v>14.91</v>
      </c>
      <c r="CZ185">
        <f t="shared" ref="CZ185:CZ190" si="32">AE185</f>
        <v>2.44</v>
      </c>
      <c r="DA185">
        <f t="shared" ref="DA185:DA190" si="33">AI185</f>
        <v>6.11</v>
      </c>
      <c r="DB185">
        <f t="shared" ref="DB185:DB190" si="34">ROUND(ROUND(AT185*CZ185,2),2)</f>
        <v>1.07</v>
      </c>
      <c r="DC185">
        <f t="shared" ref="DC185:DC190" si="35">ROUND(ROUND(AT185*AG185,2),2)</f>
        <v>0</v>
      </c>
    </row>
    <row r="186" spans="1:107" x14ac:dyDescent="0.2">
      <c r="A186">
        <f>ROW(Source!A69)</f>
        <v>69</v>
      </c>
      <c r="B186">
        <v>16784196</v>
      </c>
      <c r="C186">
        <v>16784445</v>
      </c>
      <c r="D186">
        <v>15173044</v>
      </c>
      <c r="E186">
        <v>1</v>
      </c>
      <c r="F186">
        <v>1</v>
      </c>
      <c r="G186">
        <v>1</v>
      </c>
      <c r="H186">
        <v>3</v>
      </c>
      <c r="I186" t="s">
        <v>615</v>
      </c>
      <c r="J186" t="s">
        <v>616</v>
      </c>
      <c r="K186" t="s">
        <v>617</v>
      </c>
      <c r="L186">
        <v>1348</v>
      </c>
      <c r="N186">
        <v>1009</v>
      </c>
      <c r="O186" t="s">
        <v>65</v>
      </c>
      <c r="P186" t="s">
        <v>65</v>
      </c>
      <c r="Q186">
        <v>1000</v>
      </c>
      <c r="W186">
        <v>0</v>
      </c>
      <c r="X186">
        <v>2108657288</v>
      </c>
      <c r="Y186">
        <v>1.2999999999999999E-2</v>
      </c>
      <c r="AA186">
        <v>39794.43</v>
      </c>
      <c r="AB186">
        <v>0</v>
      </c>
      <c r="AC186">
        <v>0</v>
      </c>
      <c r="AD186">
        <v>0</v>
      </c>
      <c r="AE186">
        <v>6513</v>
      </c>
      <c r="AF186">
        <v>0</v>
      </c>
      <c r="AG186">
        <v>0</v>
      </c>
      <c r="AH186">
        <v>0</v>
      </c>
      <c r="AI186">
        <v>6.11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1.2999999999999999E-2</v>
      </c>
      <c r="AU186" t="s">
        <v>6</v>
      </c>
      <c r="AV186">
        <v>0</v>
      </c>
      <c r="AW186">
        <v>2</v>
      </c>
      <c r="AX186">
        <v>16784465</v>
      </c>
      <c r="AY186">
        <v>1</v>
      </c>
      <c r="AZ186">
        <v>0</v>
      </c>
      <c r="BA186">
        <v>194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Y186*Source!I69</f>
        <v>6.1359999999999991E-3</v>
      </c>
      <c r="CY186">
        <f t="shared" si="31"/>
        <v>39794.43</v>
      </c>
      <c r="CZ186">
        <f t="shared" si="32"/>
        <v>6513</v>
      </c>
      <c r="DA186">
        <f t="shared" si="33"/>
        <v>6.11</v>
      </c>
      <c r="DB186">
        <f t="shared" si="34"/>
        <v>84.67</v>
      </c>
      <c r="DC186">
        <f t="shared" si="35"/>
        <v>0</v>
      </c>
    </row>
    <row r="187" spans="1:107" x14ac:dyDescent="0.2">
      <c r="A187">
        <f>ROW(Source!A69)</f>
        <v>69</v>
      </c>
      <c r="B187">
        <v>16784196</v>
      </c>
      <c r="C187">
        <v>16784445</v>
      </c>
      <c r="D187">
        <v>15187102</v>
      </c>
      <c r="E187">
        <v>1</v>
      </c>
      <c r="F187">
        <v>1</v>
      </c>
      <c r="G187">
        <v>1</v>
      </c>
      <c r="H187">
        <v>3</v>
      </c>
      <c r="I187" t="s">
        <v>143</v>
      </c>
      <c r="J187" t="s">
        <v>145</v>
      </c>
      <c r="K187" t="s">
        <v>144</v>
      </c>
      <c r="L187">
        <v>1327</v>
      </c>
      <c r="N187">
        <v>1005</v>
      </c>
      <c r="O187" t="s">
        <v>35</v>
      </c>
      <c r="P187" t="s">
        <v>35</v>
      </c>
      <c r="Q187">
        <v>1</v>
      </c>
      <c r="W187">
        <v>1</v>
      </c>
      <c r="X187">
        <v>2046761779</v>
      </c>
      <c r="Y187">
        <v>-102</v>
      </c>
      <c r="AA187">
        <v>858.15</v>
      </c>
      <c r="AB187">
        <v>0</v>
      </c>
      <c r="AC187">
        <v>0</v>
      </c>
      <c r="AD187">
        <v>0</v>
      </c>
      <c r="AE187">
        <v>140.44999999999999</v>
      </c>
      <c r="AF187">
        <v>0</v>
      </c>
      <c r="AG187">
        <v>0</v>
      </c>
      <c r="AH187">
        <v>0</v>
      </c>
      <c r="AI187">
        <v>6.11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-102</v>
      </c>
      <c r="AU187" t="s">
        <v>6</v>
      </c>
      <c r="AV187">
        <v>0</v>
      </c>
      <c r="AW187">
        <v>2</v>
      </c>
      <c r="AX187">
        <v>16784466</v>
      </c>
      <c r="AY187">
        <v>1</v>
      </c>
      <c r="AZ187">
        <v>6144</v>
      </c>
      <c r="BA187">
        <v>195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Y187*Source!I69</f>
        <v>-48.143999999999998</v>
      </c>
      <c r="CY187">
        <f t="shared" si="31"/>
        <v>858.15</v>
      </c>
      <c r="CZ187">
        <f t="shared" si="32"/>
        <v>140.44999999999999</v>
      </c>
      <c r="DA187">
        <f t="shared" si="33"/>
        <v>6.11</v>
      </c>
      <c r="DB187">
        <f t="shared" si="34"/>
        <v>-14325.9</v>
      </c>
      <c r="DC187">
        <f t="shared" si="35"/>
        <v>0</v>
      </c>
    </row>
    <row r="188" spans="1:107" x14ac:dyDescent="0.2">
      <c r="A188">
        <f>ROW(Source!A69)</f>
        <v>69</v>
      </c>
      <c r="B188">
        <v>16784196</v>
      </c>
      <c r="C188">
        <v>16784445</v>
      </c>
      <c r="D188">
        <v>15187116</v>
      </c>
      <c r="E188">
        <v>1</v>
      </c>
      <c r="F188">
        <v>1</v>
      </c>
      <c r="G188">
        <v>1</v>
      </c>
      <c r="H188">
        <v>3</v>
      </c>
      <c r="I188" t="s">
        <v>147</v>
      </c>
      <c r="J188" t="s">
        <v>149</v>
      </c>
      <c r="K188" t="s">
        <v>148</v>
      </c>
      <c r="L188">
        <v>1327</v>
      </c>
      <c r="N188">
        <v>1005</v>
      </c>
      <c r="O188" t="s">
        <v>35</v>
      </c>
      <c r="P188" t="s">
        <v>35</v>
      </c>
      <c r="Q188">
        <v>1</v>
      </c>
      <c r="W188">
        <v>0</v>
      </c>
      <c r="X188">
        <v>1925995961</v>
      </c>
      <c r="Y188">
        <v>102</v>
      </c>
      <c r="AA188">
        <v>508.35</v>
      </c>
      <c r="AB188">
        <v>0</v>
      </c>
      <c r="AC188">
        <v>0</v>
      </c>
      <c r="AD188">
        <v>0</v>
      </c>
      <c r="AE188">
        <v>83.2</v>
      </c>
      <c r="AF188">
        <v>0</v>
      </c>
      <c r="AG188">
        <v>0</v>
      </c>
      <c r="AH188">
        <v>0</v>
      </c>
      <c r="AI188">
        <v>6.11</v>
      </c>
      <c r="AJ188">
        <v>1</v>
      </c>
      <c r="AK188">
        <v>1</v>
      </c>
      <c r="AL188">
        <v>1</v>
      </c>
      <c r="AN188">
        <v>0</v>
      </c>
      <c r="AO188">
        <v>0</v>
      </c>
      <c r="AP188">
        <v>0</v>
      </c>
      <c r="AQ188">
        <v>0</v>
      </c>
      <c r="AR188">
        <v>0</v>
      </c>
      <c r="AS188" t="s">
        <v>6</v>
      </c>
      <c r="AT188">
        <v>102</v>
      </c>
      <c r="AU188" t="s">
        <v>6</v>
      </c>
      <c r="AV188">
        <v>0</v>
      </c>
      <c r="AW188">
        <v>1</v>
      </c>
      <c r="AX188">
        <v>-1</v>
      </c>
      <c r="AY188">
        <v>0</v>
      </c>
      <c r="AZ188">
        <v>0</v>
      </c>
      <c r="BA188" t="s">
        <v>6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Y188*Source!I69</f>
        <v>48.143999999999998</v>
      </c>
      <c r="CY188">
        <f t="shared" si="31"/>
        <v>508.35</v>
      </c>
      <c r="CZ188">
        <f t="shared" si="32"/>
        <v>83.2</v>
      </c>
      <c r="DA188">
        <f t="shared" si="33"/>
        <v>6.11</v>
      </c>
      <c r="DB188">
        <f t="shared" si="34"/>
        <v>8486.4</v>
      </c>
      <c r="DC188">
        <f t="shared" si="35"/>
        <v>0</v>
      </c>
    </row>
    <row r="189" spans="1:107" x14ac:dyDescent="0.2">
      <c r="A189">
        <f>ROW(Source!A69)</f>
        <v>69</v>
      </c>
      <c r="B189">
        <v>16784196</v>
      </c>
      <c r="C189">
        <v>16784445</v>
      </c>
      <c r="D189">
        <v>15202597</v>
      </c>
      <c r="E189">
        <v>1</v>
      </c>
      <c r="F189">
        <v>1</v>
      </c>
      <c r="G189">
        <v>1</v>
      </c>
      <c r="H189">
        <v>3</v>
      </c>
      <c r="I189" t="s">
        <v>618</v>
      </c>
      <c r="J189" t="s">
        <v>619</v>
      </c>
      <c r="K189" t="s">
        <v>620</v>
      </c>
      <c r="L189">
        <v>1346</v>
      </c>
      <c r="N189">
        <v>1009</v>
      </c>
      <c r="O189" t="s">
        <v>60</v>
      </c>
      <c r="P189" t="s">
        <v>60</v>
      </c>
      <c r="Q189">
        <v>1</v>
      </c>
      <c r="W189">
        <v>0</v>
      </c>
      <c r="X189">
        <v>830044740</v>
      </c>
      <c r="Y189">
        <v>1200</v>
      </c>
      <c r="AA189">
        <v>22.55</v>
      </c>
      <c r="AB189">
        <v>0</v>
      </c>
      <c r="AC189">
        <v>0</v>
      </c>
      <c r="AD189">
        <v>0</v>
      </c>
      <c r="AE189">
        <v>3.69</v>
      </c>
      <c r="AF189">
        <v>0</v>
      </c>
      <c r="AG189">
        <v>0</v>
      </c>
      <c r="AH189">
        <v>0</v>
      </c>
      <c r="AI189">
        <v>6.11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1200</v>
      </c>
      <c r="AU189" t="s">
        <v>6</v>
      </c>
      <c r="AV189">
        <v>0</v>
      </c>
      <c r="AW189">
        <v>2</v>
      </c>
      <c r="AX189">
        <v>16784468</v>
      </c>
      <c r="AY189">
        <v>1</v>
      </c>
      <c r="AZ189">
        <v>0</v>
      </c>
      <c r="BA189">
        <v>197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Y189*Source!I69</f>
        <v>566.4</v>
      </c>
      <c r="CY189">
        <f t="shared" si="31"/>
        <v>22.55</v>
      </c>
      <c r="CZ189">
        <f t="shared" si="32"/>
        <v>3.69</v>
      </c>
      <c r="DA189">
        <f t="shared" si="33"/>
        <v>6.11</v>
      </c>
      <c r="DB189">
        <f t="shared" si="34"/>
        <v>4428</v>
      </c>
      <c r="DC189">
        <f t="shared" si="35"/>
        <v>0</v>
      </c>
    </row>
    <row r="190" spans="1:107" x14ac:dyDescent="0.2">
      <c r="A190">
        <f>ROW(Source!A69)</f>
        <v>69</v>
      </c>
      <c r="B190">
        <v>16784196</v>
      </c>
      <c r="C190">
        <v>16784445</v>
      </c>
      <c r="D190">
        <v>15203485</v>
      </c>
      <c r="E190">
        <v>1</v>
      </c>
      <c r="F190">
        <v>1</v>
      </c>
      <c r="G190">
        <v>1</v>
      </c>
      <c r="H190">
        <v>3</v>
      </c>
      <c r="I190" t="s">
        <v>139</v>
      </c>
      <c r="J190" t="s">
        <v>141</v>
      </c>
      <c r="K190" t="s">
        <v>140</v>
      </c>
      <c r="L190">
        <v>1346</v>
      </c>
      <c r="N190">
        <v>1009</v>
      </c>
      <c r="O190" t="s">
        <v>60</v>
      </c>
      <c r="P190" t="s">
        <v>60</v>
      </c>
      <c r="Q190">
        <v>1</v>
      </c>
      <c r="W190">
        <v>0</v>
      </c>
      <c r="X190">
        <v>303141801</v>
      </c>
      <c r="Y190">
        <v>13</v>
      </c>
      <c r="AA190">
        <v>93.18</v>
      </c>
      <c r="AB190">
        <v>0</v>
      </c>
      <c r="AC190">
        <v>0</v>
      </c>
      <c r="AD190">
        <v>0</v>
      </c>
      <c r="AE190">
        <v>15.25</v>
      </c>
      <c r="AF190">
        <v>0</v>
      </c>
      <c r="AG190">
        <v>0</v>
      </c>
      <c r="AH190">
        <v>0</v>
      </c>
      <c r="AI190">
        <v>6.11</v>
      </c>
      <c r="AJ190">
        <v>1</v>
      </c>
      <c r="AK190">
        <v>1</v>
      </c>
      <c r="AL190">
        <v>1</v>
      </c>
      <c r="AN190">
        <v>0</v>
      </c>
      <c r="AO190">
        <v>0</v>
      </c>
      <c r="AP190">
        <v>0</v>
      </c>
      <c r="AQ190">
        <v>0</v>
      </c>
      <c r="AR190">
        <v>0</v>
      </c>
      <c r="AS190" t="s">
        <v>6</v>
      </c>
      <c r="AT190">
        <v>13</v>
      </c>
      <c r="AU190" t="s">
        <v>6</v>
      </c>
      <c r="AV190">
        <v>0</v>
      </c>
      <c r="AW190">
        <v>1</v>
      </c>
      <c r="AX190">
        <v>-1</v>
      </c>
      <c r="AY190">
        <v>0</v>
      </c>
      <c r="AZ190">
        <v>0</v>
      </c>
      <c r="BA190" t="s">
        <v>6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Y190*Source!I69</f>
        <v>6.1359999999999992</v>
      </c>
      <c r="CY190">
        <f t="shared" si="31"/>
        <v>93.18</v>
      </c>
      <c r="CZ190">
        <f t="shared" si="32"/>
        <v>15.25</v>
      </c>
      <c r="DA190">
        <f t="shared" si="33"/>
        <v>6.11</v>
      </c>
      <c r="DB190">
        <f t="shared" si="34"/>
        <v>198.25</v>
      </c>
      <c r="DC190">
        <f t="shared" si="35"/>
        <v>0</v>
      </c>
    </row>
    <row r="191" spans="1:107" x14ac:dyDescent="0.2">
      <c r="A191">
        <f>ROW(Source!A76)</f>
        <v>76</v>
      </c>
      <c r="B191">
        <v>16784195</v>
      </c>
      <c r="C191">
        <v>16785066</v>
      </c>
      <c r="D191">
        <v>15436556</v>
      </c>
      <c r="E191">
        <v>1</v>
      </c>
      <c r="F191">
        <v>1</v>
      </c>
      <c r="G191">
        <v>1</v>
      </c>
      <c r="H191">
        <v>1</v>
      </c>
      <c r="I191" t="s">
        <v>621</v>
      </c>
      <c r="J191" t="s">
        <v>6</v>
      </c>
      <c r="K191" t="s">
        <v>622</v>
      </c>
      <c r="L191">
        <v>1191</v>
      </c>
      <c r="N191">
        <v>1013</v>
      </c>
      <c r="O191" t="s">
        <v>495</v>
      </c>
      <c r="P191" t="s">
        <v>495</v>
      </c>
      <c r="Q191">
        <v>1</v>
      </c>
      <c r="W191">
        <v>0</v>
      </c>
      <c r="X191">
        <v>1069510174</v>
      </c>
      <c r="Y191">
        <v>7.5324999999999989</v>
      </c>
      <c r="AA191">
        <v>0</v>
      </c>
      <c r="AB191">
        <v>0</v>
      </c>
      <c r="AC191">
        <v>0</v>
      </c>
      <c r="AD191">
        <v>9.6199999999999992</v>
      </c>
      <c r="AE191">
        <v>0</v>
      </c>
      <c r="AF191">
        <v>0</v>
      </c>
      <c r="AG191">
        <v>0</v>
      </c>
      <c r="AH191">
        <v>9.6199999999999992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6.55</v>
      </c>
      <c r="AU191" t="s">
        <v>28</v>
      </c>
      <c r="AV191">
        <v>1</v>
      </c>
      <c r="AW191">
        <v>2</v>
      </c>
      <c r="AX191">
        <v>16785074</v>
      </c>
      <c r="AY191">
        <v>1</v>
      </c>
      <c r="AZ191">
        <v>0</v>
      </c>
      <c r="BA191">
        <v>199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Y191*Source!I76</f>
        <v>7.2161349999999986</v>
      </c>
      <c r="CY191">
        <f>AD191</f>
        <v>9.6199999999999992</v>
      </c>
      <c r="CZ191">
        <f>AH191</f>
        <v>9.6199999999999992</v>
      </c>
      <c r="DA191">
        <f>AL191</f>
        <v>1</v>
      </c>
      <c r="DB191">
        <f>ROUND((ROUND(AT191*CZ191,2)*1.15),2)</f>
        <v>72.459999999999994</v>
      </c>
      <c r="DC191">
        <f>ROUND((ROUND(AT191*AG191,2)*1.15),2)</f>
        <v>0</v>
      </c>
    </row>
    <row r="192" spans="1:107" x14ac:dyDescent="0.2">
      <c r="A192">
        <f>ROW(Source!A76)</f>
        <v>76</v>
      </c>
      <c r="B192">
        <v>16784195</v>
      </c>
      <c r="C192">
        <v>16785066</v>
      </c>
      <c r="D192">
        <v>15430395</v>
      </c>
      <c r="E192">
        <v>1</v>
      </c>
      <c r="F192">
        <v>1</v>
      </c>
      <c r="G192">
        <v>1</v>
      </c>
      <c r="H192">
        <v>1</v>
      </c>
      <c r="I192" t="s">
        <v>496</v>
      </c>
      <c r="J192" t="s">
        <v>6</v>
      </c>
      <c r="K192" t="s">
        <v>497</v>
      </c>
      <c r="L192">
        <v>1191</v>
      </c>
      <c r="N192">
        <v>1013</v>
      </c>
      <c r="O192" t="s">
        <v>495</v>
      </c>
      <c r="P192" t="s">
        <v>495</v>
      </c>
      <c r="Q192">
        <v>1</v>
      </c>
      <c r="W192">
        <v>0</v>
      </c>
      <c r="X192">
        <v>-1417349443</v>
      </c>
      <c r="Y192">
        <v>0.02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0.02</v>
      </c>
      <c r="AU192" t="s">
        <v>6</v>
      </c>
      <c r="AV192">
        <v>2</v>
      </c>
      <c r="AW192">
        <v>2</v>
      </c>
      <c r="AX192">
        <v>16785075</v>
      </c>
      <c r="AY192">
        <v>1</v>
      </c>
      <c r="AZ192">
        <v>2048</v>
      </c>
      <c r="BA192">
        <v>200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Y192*Source!I76</f>
        <v>1.916E-2</v>
      </c>
      <c r="CY192">
        <f>AD192</f>
        <v>0</v>
      </c>
      <c r="CZ192">
        <f>AH192</f>
        <v>0</v>
      </c>
      <c r="DA192">
        <f>AL192</f>
        <v>1</v>
      </c>
      <c r="DB192">
        <f>ROUND(ROUND(AT192*CZ192,2),2)</f>
        <v>0</v>
      </c>
      <c r="DC192">
        <f>ROUND(ROUND(AT192*AG192,2),2)</f>
        <v>0</v>
      </c>
    </row>
    <row r="193" spans="1:107" x14ac:dyDescent="0.2">
      <c r="A193">
        <f>ROW(Source!A76)</f>
        <v>76</v>
      </c>
      <c r="B193">
        <v>16784195</v>
      </c>
      <c r="C193">
        <v>16785066</v>
      </c>
      <c r="D193">
        <v>15247974</v>
      </c>
      <c r="E193">
        <v>1</v>
      </c>
      <c r="F193">
        <v>1</v>
      </c>
      <c r="G193">
        <v>1</v>
      </c>
      <c r="H193">
        <v>2</v>
      </c>
      <c r="I193" t="s">
        <v>498</v>
      </c>
      <c r="J193" t="s">
        <v>499</v>
      </c>
      <c r="K193" t="s">
        <v>500</v>
      </c>
      <c r="L193">
        <v>1368</v>
      </c>
      <c r="N193">
        <v>1011</v>
      </c>
      <c r="O193" t="s">
        <v>501</v>
      </c>
      <c r="P193" t="s">
        <v>501</v>
      </c>
      <c r="Q193">
        <v>1</v>
      </c>
      <c r="W193">
        <v>0</v>
      </c>
      <c r="X193">
        <v>1188625873</v>
      </c>
      <c r="Y193">
        <v>1.2500000000000001E-2</v>
      </c>
      <c r="AA193">
        <v>0</v>
      </c>
      <c r="AB193">
        <v>31.26</v>
      </c>
      <c r="AC193">
        <v>13.5</v>
      </c>
      <c r="AD193">
        <v>0</v>
      </c>
      <c r="AE193">
        <v>0</v>
      </c>
      <c r="AF193">
        <v>31.26</v>
      </c>
      <c r="AG193">
        <v>13.5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6</v>
      </c>
      <c r="AT193">
        <v>0.01</v>
      </c>
      <c r="AU193" t="s">
        <v>27</v>
      </c>
      <c r="AV193">
        <v>0</v>
      </c>
      <c r="AW193">
        <v>2</v>
      </c>
      <c r="AX193">
        <v>16785076</v>
      </c>
      <c r="AY193">
        <v>1</v>
      </c>
      <c r="AZ193">
        <v>0</v>
      </c>
      <c r="BA193">
        <v>201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Y193*Source!I76</f>
        <v>1.1975E-2</v>
      </c>
      <c r="CY193">
        <f>AB193</f>
        <v>31.26</v>
      </c>
      <c r="CZ193">
        <f>AF193</f>
        <v>31.26</v>
      </c>
      <c r="DA193">
        <f>AJ193</f>
        <v>1</v>
      </c>
      <c r="DB193">
        <f>ROUND((ROUND(AT193*CZ193,2)*1.25),2)</f>
        <v>0.39</v>
      </c>
      <c r="DC193">
        <f>ROUND((ROUND(AT193*AG193,2)*1.25),2)</f>
        <v>0.18</v>
      </c>
    </row>
    <row r="194" spans="1:107" x14ac:dyDescent="0.2">
      <c r="A194">
        <f>ROW(Source!A76)</f>
        <v>76</v>
      </c>
      <c r="B194">
        <v>16784195</v>
      </c>
      <c r="C194">
        <v>16785066</v>
      </c>
      <c r="D194">
        <v>15249073</v>
      </c>
      <c r="E194">
        <v>1</v>
      </c>
      <c r="F194">
        <v>1</v>
      </c>
      <c r="G194">
        <v>1</v>
      </c>
      <c r="H194">
        <v>2</v>
      </c>
      <c r="I194" t="s">
        <v>504</v>
      </c>
      <c r="J194" t="s">
        <v>505</v>
      </c>
      <c r="K194" t="s">
        <v>506</v>
      </c>
      <c r="L194">
        <v>1368</v>
      </c>
      <c r="N194">
        <v>1011</v>
      </c>
      <c r="O194" t="s">
        <v>501</v>
      </c>
      <c r="P194" t="s">
        <v>501</v>
      </c>
      <c r="Q194">
        <v>1</v>
      </c>
      <c r="W194">
        <v>0</v>
      </c>
      <c r="X194">
        <v>1372534845</v>
      </c>
      <c r="Y194">
        <v>1.2500000000000001E-2</v>
      </c>
      <c r="AA194">
        <v>0</v>
      </c>
      <c r="AB194">
        <v>65.709999999999994</v>
      </c>
      <c r="AC194">
        <v>11.6</v>
      </c>
      <c r="AD194">
        <v>0</v>
      </c>
      <c r="AE194">
        <v>0</v>
      </c>
      <c r="AF194">
        <v>65.709999999999994</v>
      </c>
      <c r="AG194">
        <v>11.6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6</v>
      </c>
      <c r="AT194">
        <v>0.01</v>
      </c>
      <c r="AU194" t="s">
        <v>27</v>
      </c>
      <c r="AV194">
        <v>0</v>
      </c>
      <c r="AW194">
        <v>2</v>
      </c>
      <c r="AX194">
        <v>16785077</v>
      </c>
      <c r="AY194">
        <v>1</v>
      </c>
      <c r="AZ194">
        <v>0</v>
      </c>
      <c r="BA194">
        <v>202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Y194*Source!I76</f>
        <v>1.1975E-2</v>
      </c>
      <c r="CY194">
        <f>AB194</f>
        <v>65.709999999999994</v>
      </c>
      <c r="CZ194">
        <f>AF194</f>
        <v>65.709999999999994</v>
      </c>
      <c r="DA194">
        <f>AJ194</f>
        <v>1</v>
      </c>
      <c r="DB194">
        <f>ROUND((ROUND(AT194*CZ194,2)*1.25),2)</f>
        <v>0.83</v>
      </c>
      <c r="DC194">
        <f>ROUND((ROUND(AT194*AG194,2)*1.25),2)</f>
        <v>0.15</v>
      </c>
    </row>
    <row r="195" spans="1:107" x14ac:dyDescent="0.2">
      <c r="A195">
        <f>ROW(Source!A76)</f>
        <v>76</v>
      </c>
      <c r="B195">
        <v>16784195</v>
      </c>
      <c r="C195">
        <v>16785066</v>
      </c>
      <c r="D195">
        <v>15171018</v>
      </c>
      <c r="E195">
        <v>1</v>
      </c>
      <c r="F195">
        <v>1</v>
      </c>
      <c r="G195">
        <v>1</v>
      </c>
      <c r="H195">
        <v>3</v>
      </c>
      <c r="I195" t="s">
        <v>531</v>
      </c>
      <c r="J195" t="s">
        <v>532</v>
      </c>
      <c r="K195" t="s">
        <v>533</v>
      </c>
      <c r="L195">
        <v>1346</v>
      </c>
      <c r="N195">
        <v>1009</v>
      </c>
      <c r="O195" t="s">
        <v>60</v>
      </c>
      <c r="P195" t="s">
        <v>60</v>
      </c>
      <c r="Q195">
        <v>1</v>
      </c>
      <c r="W195">
        <v>0</v>
      </c>
      <c r="X195">
        <v>813963326</v>
      </c>
      <c r="Y195">
        <v>0.1</v>
      </c>
      <c r="AA195">
        <v>1.82</v>
      </c>
      <c r="AB195">
        <v>0</v>
      </c>
      <c r="AC195">
        <v>0</v>
      </c>
      <c r="AD195">
        <v>0</v>
      </c>
      <c r="AE195">
        <v>1.82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0.1</v>
      </c>
      <c r="AU195" t="s">
        <v>6</v>
      </c>
      <c r="AV195">
        <v>0</v>
      </c>
      <c r="AW195">
        <v>2</v>
      </c>
      <c r="AX195">
        <v>16785078</v>
      </c>
      <c r="AY195">
        <v>1</v>
      </c>
      <c r="AZ195">
        <v>0</v>
      </c>
      <c r="BA195">
        <v>203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Y195*Source!I76</f>
        <v>9.5799999999999996E-2</v>
      </c>
      <c r="CY195">
        <f>AA195</f>
        <v>1.82</v>
      </c>
      <c r="CZ195">
        <f>AE195</f>
        <v>1.82</v>
      </c>
      <c r="DA195">
        <f>AI195</f>
        <v>1</v>
      </c>
      <c r="DB195">
        <f>ROUND(ROUND(AT195*CZ195,2),2)</f>
        <v>0.18</v>
      </c>
      <c r="DC195">
        <f>ROUND(ROUND(AT195*AG195,2),2)</f>
        <v>0</v>
      </c>
    </row>
    <row r="196" spans="1:107" x14ac:dyDescent="0.2">
      <c r="A196">
        <f>ROW(Source!A76)</f>
        <v>76</v>
      </c>
      <c r="B196">
        <v>16784195</v>
      </c>
      <c r="C196">
        <v>16785066</v>
      </c>
      <c r="D196">
        <v>15203500</v>
      </c>
      <c r="E196">
        <v>1</v>
      </c>
      <c r="F196">
        <v>1</v>
      </c>
      <c r="G196">
        <v>1</v>
      </c>
      <c r="H196">
        <v>3</v>
      </c>
      <c r="I196" t="s">
        <v>158</v>
      </c>
      <c r="J196" t="s">
        <v>160</v>
      </c>
      <c r="K196" t="s">
        <v>159</v>
      </c>
      <c r="L196">
        <v>1348</v>
      </c>
      <c r="N196">
        <v>1009</v>
      </c>
      <c r="O196" t="s">
        <v>65</v>
      </c>
      <c r="P196" t="s">
        <v>65</v>
      </c>
      <c r="Q196">
        <v>1000</v>
      </c>
      <c r="W196">
        <v>0</v>
      </c>
      <c r="X196">
        <v>-1036077714</v>
      </c>
      <c r="Y196">
        <v>1.2999999999999999E-2</v>
      </c>
      <c r="AA196">
        <v>11300</v>
      </c>
      <c r="AB196">
        <v>0</v>
      </c>
      <c r="AC196">
        <v>0</v>
      </c>
      <c r="AD196">
        <v>0</v>
      </c>
      <c r="AE196">
        <v>11300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0</v>
      </c>
      <c r="AP196">
        <v>0</v>
      </c>
      <c r="AQ196">
        <v>0</v>
      </c>
      <c r="AR196">
        <v>0</v>
      </c>
      <c r="AS196" t="s">
        <v>6</v>
      </c>
      <c r="AT196">
        <v>1.2999999999999999E-2</v>
      </c>
      <c r="AU196" t="s">
        <v>6</v>
      </c>
      <c r="AV196">
        <v>0</v>
      </c>
      <c r="AW196">
        <v>1</v>
      </c>
      <c r="AX196">
        <v>-1</v>
      </c>
      <c r="AY196">
        <v>0</v>
      </c>
      <c r="AZ196">
        <v>0</v>
      </c>
      <c r="BA196" t="s">
        <v>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Y196*Source!I76</f>
        <v>1.2454E-2</v>
      </c>
      <c r="CY196">
        <f>AA196</f>
        <v>11300</v>
      </c>
      <c r="CZ196">
        <f>AE196</f>
        <v>11300</v>
      </c>
      <c r="DA196">
        <f>AI196</f>
        <v>1</v>
      </c>
      <c r="DB196">
        <f>ROUND(ROUND(AT196*CZ196,2),2)</f>
        <v>146.9</v>
      </c>
      <c r="DC196">
        <f>ROUND(ROUND(AT196*AG196,2),2)</f>
        <v>0</v>
      </c>
    </row>
    <row r="197" spans="1:107" x14ac:dyDescent="0.2">
      <c r="A197">
        <f>ROW(Source!A76)</f>
        <v>76</v>
      </c>
      <c r="B197">
        <v>16784195</v>
      </c>
      <c r="C197">
        <v>16785066</v>
      </c>
      <c r="D197">
        <v>15162572</v>
      </c>
      <c r="E197">
        <v>17</v>
      </c>
      <c r="F197">
        <v>1</v>
      </c>
      <c r="G197">
        <v>1</v>
      </c>
      <c r="H197">
        <v>3</v>
      </c>
      <c r="I197" t="s">
        <v>155</v>
      </c>
      <c r="J197" t="s">
        <v>6</v>
      </c>
      <c r="K197" t="s">
        <v>156</v>
      </c>
      <c r="L197">
        <v>1348</v>
      </c>
      <c r="N197">
        <v>1009</v>
      </c>
      <c r="O197" t="s">
        <v>65</v>
      </c>
      <c r="P197" t="s">
        <v>65</v>
      </c>
      <c r="Q197">
        <v>1000</v>
      </c>
      <c r="W197">
        <v>0</v>
      </c>
      <c r="X197">
        <v>-1212923053</v>
      </c>
      <c r="Y197">
        <v>1.2999999999999999E-2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0</v>
      </c>
      <c r="AP197">
        <v>0</v>
      </c>
      <c r="AQ197">
        <v>0</v>
      </c>
      <c r="AR197">
        <v>0</v>
      </c>
      <c r="AS197" t="s">
        <v>6</v>
      </c>
      <c r="AT197">
        <v>1.2999999999999999E-2</v>
      </c>
      <c r="AU197" t="s">
        <v>6</v>
      </c>
      <c r="AV197">
        <v>0</v>
      </c>
      <c r="AW197">
        <v>2</v>
      </c>
      <c r="AX197">
        <v>16785079</v>
      </c>
      <c r="AY197">
        <v>1</v>
      </c>
      <c r="AZ197">
        <v>0</v>
      </c>
      <c r="BA197">
        <v>204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Y197*Source!I76</f>
        <v>1.2454E-2</v>
      </c>
      <c r="CY197">
        <f>AA197</f>
        <v>0</v>
      </c>
      <c r="CZ197">
        <f>AE197</f>
        <v>0</v>
      </c>
      <c r="DA197">
        <f>AI197</f>
        <v>1</v>
      </c>
      <c r="DB197">
        <f>ROUND(ROUND(AT197*CZ197,2),2)</f>
        <v>0</v>
      </c>
      <c r="DC197">
        <f>ROUND(ROUND(AT197*AG197,2),2)</f>
        <v>0</v>
      </c>
    </row>
    <row r="198" spans="1:107" x14ac:dyDescent="0.2">
      <c r="A198">
        <f>ROW(Source!A77)</f>
        <v>77</v>
      </c>
      <c r="B198">
        <v>16784196</v>
      </c>
      <c r="C198">
        <v>16785066</v>
      </c>
      <c r="D198">
        <v>15436556</v>
      </c>
      <c r="E198">
        <v>1</v>
      </c>
      <c r="F198">
        <v>1</v>
      </c>
      <c r="G198">
        <v>1</v>
      </c>
      <c r="H198">
        <v>1</v>
      </c>
      <c r="I198" t="s">
        <v>621</v>
      </c>
      <c r="J198" t="s">
        <v>6</v>
      </c>
      <c r="K198" t="s">
        <v>622</v>
      </c>
      <c r="L198">
        <v>1191</v>
      </c>
      <c r="N198">
        <v>1013</v>
      </c>
      <c r="O198" t="s">
        <v>495</v>
      </c>
      <c r="P198" t="s">
        <v>495</v>
      </c>
      <c r="Q198">
        <v>1</v>
      </c>
      <c r="W198">
        <v>0</v>
      </c>
      <c r="X198">
        <v>1069510174</v>
      </c>
      <c r="Y198">
        <v>7.5324999999999989</v>
      </c>
      <c r="AA198">
        <v>0</v>
      </c>
      <c r="AB198">
        <v>0</v>
      </c>
      <c r="AC198">
        <v>0</v>
      </c>
      <c r="AD198">
        <v>58.78</v>
      </c>
      <c r="AE198">
        <v>0</v>
      </c>
      <c r="AF198">
        <v>0</v>
      </c>
      <c r="AG198">
        <v>0</v>
      </c>
      <c r="AH198">
        <v>9.6199999999999992</v>
      </c>
      <c r="AI198">
        <v>1</v>
      </c>
      <c r="AJ198">
        <v>1</v>
      </c>
      <c r="AK198">
        <v>1</v>
      </c>
      <c r="AL198">
        <v>6.11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6</v>
      </c>
      <c r="AT198">
        <v>6.55</v>
      </c>
      <c r="AU198" t="s">
        <v>28</v>
      </c>
      <c r="AV198">
        <v>1</v>
      </c>
      <c r="AW198">
        <v>2</v>
      </c>
      <c r="AX198">
        <v>16785074</v>
      </c>
      <c r="AY198">
        <v>1</v>
      </c>
      <c r="AZ198">
        <v>0</v>
      </c>
      <c r="BA198">
        <v>205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Y198*Source!I77</f>
        <v>7.2161349999999986</v>
      </c>
      <c r="CY198">
        <f>AD198</f>
        <v>58.78</v>
      </c>
      <c r="CZ198">
        <f>AH198</f>
        <v>9.6199999999999992</v>
      </c>
      <c r="DA198">
        <f>AL198</f>
        <v>6.11</v>
      </c>
      <c r="DB198">
        <f>ROUND((ROUND(AT198*CZ198,2)*1.15),2)</f>
        <v>72.459999999999994</v>
      </c>
      <c r="DC198">
        <f>ROUND((ROUND(AT198*AG198,2)*1.15),2)</f>
        <v>0</v>
      </c>
    </row>
    <row r="199" spans="1:107" x14ac:dyDescent="0.2">
      <c r="A199">
        <f>ROW(Source!A77)</f>
        <v>77</v>
      </c>
      <c r="B199">
        <v>16784196</v>
      </c>
      <c r="C199">
        <v>16785066</v>
      </c>
      <c r="D199">
        <v>15430395</v>
      </c>
      <c r="E199">
        <v>1</v>
      </c>
      <c r="F199">
        <v>1</v>
      </c>
      <c r="G199">
        <v>1</v>
      </c>
      <c r="H199">
        <v>1</v>
      </c>
      <c r="I199" t="s">
        <v>496</v>
      </c>
      <c r="J199" t="s">
        <v>6</v>
      </c>
      <c r="K199" t="s">
        <v>497</v>
      </c>
      <c r="L199">
        <v>1191</v>
      </c>
      <c r="N199">
        <v>1013</v>
      </c>
      <c r="O199" t="s">
        <v>495</v>
      </c>
      <c r="P199" t="s">
        <v>495</v>
      </c>
      <c r="Q199">
        <v>1</v>
      </c>
      <c r="W199">
        <v>0</v>
      </c>
      <c r="X199">
        <v>-1417349443</v>
      </c>
      <c r="Y199">
        <v>0.02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6.11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0.02</v>
      </c>
      <c r="AU199" t="s">
        <v>6</v>
      </c>
      <c r="AV199">
        <v>2</v>
      </c>
      <c r="AW199">
        <v>2</v>
      </c>
      <c r="AX199">
        <v>16785075</v>
      </c>
      <c r="AY199">
        <v>1</v>
      </c>
      <c r="AZ199">
        <v>2048</v>
      </c>
      <c r="BA199">
        <v>206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Y199*Source!I77</f>
        <v>1.916E-2</v>
      </c>
      <c r="CY199">
        <f>AD199</f>
        <v>0</v>
      </c>
      <c r="CZ199">
        <f>AH199</f>
        <v>0</v>
      </c>
      <c r="DA199">
        <f>AL199</f>
        <v>1</v>
      </c>
      <c r="DB199">
        <f>ROUND(ROUND(AT199*CZ199,2),2)</f>
        <v>0</v>
      </c>
      <c r="DC199">
        <f>ROUND(ROUND(AT199*AG199,2),2)</f>
        <v>0</v>
      </c>
    </row>
    <row r="200" spans="1:107" x14ac:dyDescent="0.2">
      <c r="A200">
        <f>ROW(Source!A77)</f>
        <v>77</v>
      </c>
      <c r="B200">
        <v>16784196</v>
      </c>
      <c r="C200">
        <v>16785066</v>
      </c>
      <c r="D200">
        <v>15247974</v>
      </c>
      <c r="E200">
        <v>1</v>
      </c>
      <c r="F200">
        <v>1</v>
      </c>
      <c r="G200">
        <v>1</v>
      </c>
      <c r="H200">
        <v>2</v>
      </c>
      <c r="I200" t="s">
        <v>498</v>
      </c>
      <c r="J200" t="s">
        <v>499</v>
      </c>
      <c r="K200" t="s">
        <v>500</v>
      </c>
      <c r="L200">
        <v>1368</v>
      </c>
      <c r="N200">
        <v>1011</v>
      </c>
      <c r="O200" t="s">
        <v>501</v>
      </c>
      <c r="P200" t="s">
        <v>501</v>
      </c>
      <c r="Q200">
        <v>1</v>
      </c>
      <c r="W200">
        <v>0</v>
      </c>
      <c r="X200">
        <v>1188625873</v>
      </c>
      <c r="Y200">
        <v>1.2500000000000001E-2</v>
      </c>
      <c r="AA200">
        <v>0</v>
      </c>
      <c r="AB200">
        <v>191</v>
      </c>
      <c r="AC200">
        <v>13.5</v>
      </c>
      <c r="AD200">
        <v>0</v>
      </c>
      <c r="AE200">
        <v>0</v>
      </c>
      <c r="AF200">
        <v>31.26</v>
      </c>
      <c r="AG200">
        <v>13.5</v>
      </c>
      <c r="AH200">
        <v>0</v>
      </c>
      <c r="AI200">
        <v>1</v>
      </c>
      <c r="AJ200">
        <v>6.11</v>
      </c>
      <c r="AK200">
        <v>1</v>
      </c>
      <c r="AL200">
        <v>1</v>
      </c>
      <c r="AN200">
        <v>0</v>
      </c>
      <c r="AO200">
        <v>1</v>
      </c>
      <c r="AP200">
        <v>1</v>
      </c>
      <c r="AQ200">
        <v>0</v>
      </c>
      <c r="AR200">
        <v>0</v>
      </c>
      <c r="AS200" t="s">
        <v>6</v>
      </c>
      <c r="AT200">
        <v>0.01</v>
      </c>
      <c r="AU200" t="s">
        <v>27</v>
      </c>
      <c r="AV200">
        <v>0</v>
      </c>
      <c r="AW200">
        <v>2</v>
      </c>
      <c r="AX200">
        <v>16785076</v>
      </c>
      <c r="AY200">
        <v>1</v>
      </c>
      <c r="AZ200">
        <v>0</v>
      </c>
      <c r="BA200">
        <v>207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Y200*Source!I77</f>
        <v>1.1975E-2</v>
      </c>
      <c r="CY200">
        <f>AB200</f>
        <v>191</v>
      </c>
      <c r="CZ200">
        <f>AF200</f>
        <v>31.26</v>
      </c>
      <c r="DA200">
        <f>AJ200</f>
        <v>6.11</v>
      </c>
      <c r="DB200">
        <f>ROUND((ROUND(AT200*CZ200,2)*1.25),2)</f>
        <v>0.39</v>
      </c>
      <c r="DC200">
        <f>ROUND((ROUND(AT200*AG200,2)*1.25),2)</f>
        <v>0.18</v>
      </c>
    </row>
    <row r="201" spans="1:107" x14ac:dyDescent="0.2">
      <c r="A201">
        <f>ROW(Source!A77)</f>
        <v>77</v>
      </c>
      <c r="B201">
        <v>16784196</v>
      </c>
      <c r="C201">
        <v>16785066</v>
      </c>
      <c r="D201">
        <v>15249073</v>
      </c>
      <c r="E201">
        <v>1</v>
      </c>
      <c r="F201">
        <v>1</v>
      </c>
      <c r="G201">
        <v>1</v>
      </c>
      <c r="H201">
        <v>2</v>
      </c>
      <c r="I201" t="s">
        <v>504</v>
      </c>
      <c r="J201" t="s">
        <v>505</v>
      </c>
      <c r="K201" t="s">
        <v>506</v>
      </c>
      <c r="L201">
        <v>1368</v>
      </c>
      <c r="N201">
        <v>1011</v>
      </c>
      <c r="O201" t="s">
        <v>501</v>
      </c>
      <c r="P201" t="s">
        <v>501</v>
      </c>
      <c r="Q201">
        <v>1</v>
      </c>
      <c r="W201">
        <v>0</v>
      </c>
      <c r="X201">
        <v>1372534845</v>
      </c>
      <c r="Y201">
        <v>1.2500000000000001E-2</v>
      </c>
      <c r="AA201">
        <v>0</v>
      </c>
      <c r="AB201">
        <v>401.49</v>
      </c>
      <c r="AC201">
        <v>11.6</v>
      </c>
      <c r="AD201">
        <v>0</v>
      </c>
      <c r="AE201">
        <v>0</v>
      </c>
      <c r="AF201">
        <v>65.709999999999994</v>
      </c>
      <c r="AG201">
        <v>11.6</v>
      </c>
      <c r="AH201">
        <v>0</v>
      </c>
      <c r="AI201">
        <v>1</v>
      </c>
      <c r="AJ201">
        <v>6.11</v>
      </c>
      <c r="AK201">
        <v>1</v>
      </c>
      <c r="AL201">
        <v>1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6</v>
      </c>
      <c r="AT201">
        <v>0.01</v>
      </c>
      <c r="AU201" t="s">
        <v>27</v>
      </c>
      <c r="AV201">
        <v>0</v>
      </c>
      <c r="AW201">
        <v>2</v>
      </c>
      <c r="AX201">
        <v>16785077</v>
      </c>
      <c r="AY201">
        <v>1</v>
      </c>
      <c r="AZ201">
        <v>0</v>
      </c>
      <c r="BA201">
        <v>208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Y201*Source!I77</f>
        <v>1.1975E-2</v>
      </c>
      <c r="CY201">
        <f>AB201</f>
        <v>401.49</v>
      </c>
      <c r="CZ201">
        <f>AF201</f>
        <v>65.709999999999994</v>
      </c>
      <c r="DA201">
        <f>AJ201</f>
        <v>6.11</v>
      </c>
      <c r="DB201">
        <f>ROUND((ROUND(AT201*CZ201,2)*1.25),2)</f>
        <v>0.83</v>
      </c>
      <c r="DC201">
        <f>ROUND((ROUND(AT201*AG201,2)*1.25),2)</f>
        <v>0.15</v>
      </c>
    </row>
    <row r="202" spans="1:107" x14ac:dyDescent="0.2">
      <c r="A202">
        <f>ROW(Source!A77)</f>
        <v>77</v>
      </c>
      <c r="B202">
        <v>16784196</v>
      </c>
      <c r="C202">
        <v>16785066</v>
      </c>
      <c r="D202">
        <v>15171018</v>
      </c>
      <c r="E202">
        <v>1</v>
      </c>
      <c r="F202">
        <v>1</v>
      </c>
      <c r="G202">
        <v>1</v>
      </c>
      <c r="H202">
        <v>3</v>
      </c>
      <c r="I202" t="s">
        <v>531</v>
      </c>
      <c r="J202" t="s">
        <v>532</v>
      </c>
      <c r="K202" t="s">
        <v>533</v>
      </c>
      <c r="L202">
        <v>1346</v>
      </c>
      <c r="N202">
        <v>1009</v>
      </c>
      <c r="O202" t="s">
        <v>60</v>
      </c>
      <c r="P202" t="s">
        <v>60</v>
      </c>
      <c r="Q202">
        <v>1</v>
      </c>
      <c r="W202">
        <v>0</v>
      </c>
      <c r="X202">
        <v>813963326</v>
      </c>
      <c r="Y202">
        <v>0.1</v>
      </c>
      <c r="AA202">
        <v>11.12</v>
      </c>
      <c r="AB202">
        <v>0</v>
      </c>
      <c r="AC202">
        <v>0</v>
      </c>
      <c r="AD202">
        <v>0</v>
      </c>
      <c r="AE202">
        <v>1.82</v>
      </c>
      <c r="AF202">
        <v>0</v>
      </c>
      <c r="AG202">
        <v>0</v>
      </c>
      <c r="AH202">
        <v>0</v>
      </c>
      <c r="AI202">
        <v>6.11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0.1</v>
      </c>
      <c r="AU202" t="s">
        <v>6</v>
      </c>
      <c r="AV202">
        <v>0</v>
      </c>
      <c r="AW202">
        <v>2</v>
      </c>
      <c r="AX202">
        <v>16785078</v>
      </c>
      <c r="AY202">
        <v>1</v>
      </c>
      <c r="AZ202">
        <v>0</v>
      </c>
      <c r="BA202">
        <v>209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Y202*Source!I77</f>
        <v>9.5799999999999996E-2</v>
      </c>
      <c r="CY202">
        <f>AA202</f>
        <v>11.12</v>
      </c>
      <c r="CZ202">
        <f>AE202</f>
        <v>1.82</v>
      </c>
      <c r="DA202">
        <f>AI202</f>
        <v>6.11</v>
      </c>
      <c r="DB202">
        <f t="shared" ref="DB202:DB214" si="36">ROUND(ROUND(AT202*CZ202,2),2)</f>
        <v>0.18</v>
      </c>
      <c r="DC202">
        <f t="shared" ref="DC202:DC214" si="37">ROUND(ROUND(AT202*AG202,2),2)</f>
        <v>0</v>
      </c>
    </row>
    <row r="203" spans="1:107" x14ac:dyDescent="0.2">
      <c r="A203">
        <f>ROW(Source!A77)</f>
        <v>77</v>
      </c>
      <c r="B203">
        <v>16784196</v>
      </c>
      <c r="C203">
        <v>16785066</v>
      </c>
      <c r="D203">
        <v>15203500</v>
      </c>
      <c r="E203">
        <v>1</v>
      </c>
      <c r="F203">
        <v>1</v>
      </c>
      <c r="G203">
        <v>1</v>
      </c>
      <c r="H203">
        <v>3</v>
      </c>
      <c r="I203" t="s">
        <v>158</v>
      </c>
      <c r="J203" t="s">
        <v>160</v>
      </c>
      <c r="K203" t="s">
        <v>159</v>
      </c>
      <c r="L203">
        <v>1348</v>
      </c>
      <c r="N203">
        <v>1009</v>
      </c>
      <c r="O203" t="s">
        <v>65</v>
      </c>
      <c r="P203" t="s">
        <v>65</v>
      </c>
      <c r="Q203">
        <v>1000</v>
      </c>
      <c r="W203">
        <v>0</v>
      </c>
      <c r="X203">
        <v>-1036077714</v>
      </c>
      <c r="Y203">
        <v>1.2999999999999999E-2</v>
      </c>
      <c r="AA203">
        <v>69043</v>
      </c>
      <c r="AB203">
        <v>0</v>
      </c>
      <c r="AC203">
        <v>0</v>
      </c>
      <c r="AD203">
        <v>0</v>
      </c>
      <c r="AE203">
        <v>11300</v>
      </c>
      <c r="AF203">
        <v>0</v>
      </c>
      <c r="AG203">
        <v>0</v>
      </c>
      <c r="AH203">
        <v>0</v>
      </c>
      <c r="AI203">
        <v>6.11</v>
      </c>
      <c r="AJ203">
        <v>1</v>
      </c>
      <c r="AK203">
        <v>1</v>
      </c>
      <c r="AL203">
        <v>1</v>
      </c>
      <c r="AN203">
        <v>0</v>
      </c>
      <c r="AO203">
        <v>0</v>
      </c>
      <c r="AP203">
        <v>0</v>
      </c>
      <c r="AQ203">
        <v>0</v>
      </c>
      <c r="AR203">
        <v>0</v>
      </c>
      <c r="AS203" t="s">
        <v>6</v>
      </c>
      <c r="AT203">
        <v>1.2999999999999999E-2</v>
      </c>
      <c r="AU203" t="s">
        <v>6</v>
      </c>
      <c r="AV203">
        <v>0</v>
      </c>
      <c r="AW203">
        <v>1</v>
      </c>
      <c r="AX203">
        <v>-1</v>
      </c>
      <c r="AY203">
        <v>0</v>
      </c>
      <c r="AZ203">
        <v>0</v>
      </c>
      <c r="BA203" t="s">
        <v>6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Y203*Source!I77</f>
        <v>1.2454E-2</v>
      </c>
      <c r="CY203">
        <f>AA203</f>
        <v>69043</v>
      </c>
      <c r="CZ203">
        <f>AE203</f>
        <v>11300</v>
      </c>
      <c r="DA203">
        <f>AI203</f>
        <v>6.11</v>
      </c>
      <c r="DB203">
        <f t="shared" si="36"/>
        <v>146.9</v>
      </c>
      <c r="DC203">
        <f t="shared" si="37"/>
        <v>0</v>
      </c>
    </row>
    <row r="204" spans="1:107" x14ac:dyDescent="0.2">
      <c r="A204">
        <f>ROW(Source!A77)</f>
        <v>77</v>
      </c>
      <c r="B204">
        <v>16784196</v>
      </c>
      <c r="C204">
        <v>16785066</v>
      </c>
      <c r="D204">
        <v>15162572</v>
      </c>
      <c r="E204">
        <v>17</v>
      </c>
      <c r="F204">
        <v>1</v>
      </c>
      <c r="G204">
        <v>1</v>
      </c>
      <c r="H204">
        <v>3</v>
      </c>
      <c r="I204" t="s">
        <v>155</v>
      </c>
      <c r="J204" t="s">
        <v>6</v>
      </c>
      <c r="K204" t="s">
        <v>156</v>
      </c>
      <c r="L204">
        <v>1348</v>
      </c>
      <c r="N204">
        <v>1009</v>
      </c>
      <c r="O204" t="s">
        <v>65</v>
      </c>
      <c r="P204" t="s">
        <v>65</v>
      </c>
      <c r="Q204">
        <v>1000</v>
      </c>
      <c r="W204">
        <v>0</v>
      </c>
      <c r="X204">
        <v>-1212923053</v>
      </c>
      <c r="Y204">
        <v>1.2999999999999999E-2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6.11</v>
      </c>
      <c r="AJ204">
        <v>1</v>
      </c>
      <c r="AK204">
        <v>1</v>
      </c>
      <c r="AL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6</v>
      </c>
      <c r="AT204">
        <v>1.2999999999999999E-2</v>
      </c>
      <c r="AU204" t="s">
        <v>6</v>
      </c>
      <c r="AV204">
        <v>0</v>
      </c>
      <c r="AW204">
        <v>2</v>
      </c>
      <c r="AX204">
        <v>16785079</v>
      </c>
      <c r="AY204">
        <v>1</v>
      </c>
      <c r="AZ204">
        <v>0</v>
      </c>
      <c r="BA204">
        <v>210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Y204*Source!I77</f>
        <v>1.2454E-2</v>
      </c>
      <c r="CY204">
        <f>AA204</f>
        <v>0</v>
      </c>
      <c r="CZ204">
        <f>AE204</f>
        <v>0</v>
      </c>
      <c r="DA204">
        <f>AI204</f>
        <v>6.11</v>
      </c>
      <c r="DB204">
        <f t="shared" si="36"/>
        <v>0</v>
      </c>
      <c r="DC204">
        <f t="shared" si="37"/>
        <v>0</v>
      </c>
    </row>
    <row r="205" spans="1:107" x14ac:dyDescent="0.2">
      <c r="A205">
        <f>ROW(Source!A82)</f>
        <v>82</v>
      </c>
      <c r="B205">
        <v>16784195</v>
      </c>
      <c r="C205">
        <v>16784517</v>
      </c>
      <c r="D205">
        <v>15431465</v>
      </c>
      <c r="E205">
        <v>1</v>
      </c>
      <c r="F205">
        <v>1</v>
      </c>
      <c r="G205">
        <v>1</v>
      </c>
      <c r="H205">
        <v>1</v>
      </c>
      <c r="I205" t="s">
        <v>623</v>
      </c>
      <c r="J205" t="s">
        <v>6</v>
      </c>
      <c r="K205" t="s">
        <v>624</v>
      </c>
      <c r="L205">
        <v>1191</v>
      </c>
      <c r="N205">
        <v>1013</v>
      </c>
      <c r="O205" t="s">
        <v>495</v>
      </c>
      <c r="P205" t="s">
        <v>495</v>
      </c>
      <c r="Q205">
        <v>1</v>
      </c>
      <c r="W205">
        <v>0</v>
      </c>
      <c r="X205">
        <v>152375061</v>
      </c>
      <c r="Y205">
        <v>74.3</v>
      </c>
      <c r="AA205">
        <v>0</v>
      </c>
      <c r="AB205">
        <v>0</v>
      </c>
      <c r="AC205">
        <v>0</v>
      </c>
      <c r="AD205">
        <v>7.87</v>
      </c>
      <c r="AE205">
        <v>0</v>
      </c>
      <c r="AF205">
        <v>0</v>
      </c>
      <c r="AG205">
        <v>0</v>
      </c>
      <c r="AH205">
        <v>7.87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74.3</v>
      </c>
      <c r="AU205" t="s">
        <v>6</v>
      </c>
      <c r="AV205">
        <v>1</v>
      </c>
      <c r="AW205">
        <v>2</v>
      </c>
      <c r="AX205">
        <v>16784523</v>
      </c>
      <c r="AY205">
        <v>1</v>
      </c>
      <c r="AZ205">
        <v>0</v>
      </c>
      <c r="BA205">
        <v>211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Y205*Source!I82</f>
        <v>35.292499999999997</v>
      </c>
      <c r="CY205">
        <f>AD205</f>
        <v>7.87</v>
      </c>
      <c r="CZ205">
        <f>AH205</f>
        <v>7.87</v>
      </c>
      <c r="DA205">
        <f>AL205</f>
        <v>1</v>
      </c>
      <c r="DB205">
        <f t="shared" si="36"/>
        <v>584.74</v>
      </c>
      <c r="DC205">
        <f t="shared" si="37"/>
        <v>0</v>
      </c>
    </row>
    <row r="206" spans="1:107" x14ac:dyDescent="0.2">
      <c r="A206">
        <f>ROW(Source!A82)</f>
        <v>82</v>
      </c>
      <c r="B206">
        <v>16784195</v>
      </c>
      <c r="C206">
        <v>16784517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496</v>
      </c>
      <c r="J206" t="s">
        <v>6</v>
      </c>
      <c r="K206" t="s">
        <v>497</v>
      </c>
      <c r="L206">
        <v>1191</v>
      </c>
      <c r="N206">
        <v>1013</v>
      </c>
      <c r="O206" t="s">
        <v>495</v>
      </c>
      <c r="P206" t="s">
        <v>495</v>
      </c>
      <c r="Q206">
        <v>1</v>
      </c>
      <c r="W206">
        <v>0</v>
      </c>
      <c r="X206">
        <v>-1417349443</v>
      </c>
      <c r="Y206">
        <v>0.35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0.35</v>
      </c>
      <c r="AU206" t="s">
        <v>6</v>
      </c>
      <c r="AV206">
        <v>2</v>
      </c>
      <c r="AW206">
        <v>2</v>
      </c>
      <c r="AX206">
        <v>16784524</v>
      </c>
      <c r="AY206">
        <v>1</v>
      </c>
      <c r="AZ206">
        <v>0</v>
      </c>
      <c r="BA206">
        <v>212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Y206*Source!I82</f>
        <v>0.16624999999999998</v>
      </c>
      <c r="CY206">
        <f>AD206</f>
        <v>0</v>
      </c>
      <c r="CZ206">
        <f>AH206</f>
        <v>0</v>
      </c>
      <c r="DA206">
        <f>AL206</f>
        <v>1</v>
      </c>
      <c r="DB206">
        <f t="shared" si="36"/>
        <v>0</v>
      </c>
      <c r="DC206">
        <f t="shared" si="37"/>
        <v>0</v>
      </c>
    </row>
    <row r="207" spans="1:107" x14ac:dyDescent="0.2">
      <c r="A207">
        <f>ROW(Source!A82)</f>
        <v>82</v>
      </c>
      <c r="B207">
        <v>16784195</v>
      </c>
      <c r="C207">
        <v>16784517</v>
      </c>
      <c r="D207">
        <v>15247974</v>
      </c>
      <c r="E207">
        <v>1</v>
      </c>
      <c r="F207">
        <v>1</v>
      </c>
      <c r="G207">
        <v>1</v>
      </c>
      <c r="H207">
        <v>2</v>
      </c>
      <c r="I207" t="s">
        <v>498</v>
      </c>
      <c r="J207" t="s">
        <v>499</v>
      </c>
      <c r="K207" t="s">
        <v>500</v>
      </c>
      <c r="L207">
        <v>1368</v>
      </c>
      <c r="N207">
        <v>1011</v>
      </c>
      <c r="O207" t="s">
        <v>501</v>
      </c>
      <c r="P207" t="s">
        <v>501</v>
      </c>
      <c r="Q207">
        <v>1</v>
      </c>
      <c r="W207">
        <v>0</v>
      </c>
      <c r="X207">
        <v>1188625873</v>
      </c>
      <c r="Y207">
        <v>0.35</v>
      </c>
      <c r="AA207">
        <v>0</v>
      </c>
      <c r="AB207">
        <v>31.26</v>
      </c>
      <c r="AC207">
        <v>13.5</v>
      </c>
      <c r="AD207">
        <v>0</v>
      </c>
      <c r="AE207">
        <v>0</v>
      </c>
      <c r="AF207">
        <v>31.26</v>
      </c>
      <c r="AG207">
        <v>13.5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0.35</v>
      </c>
      <c r="AU207" t="s">
        <v>6</v>
      </c>
      <c r="AV207">
        <v>0</v>
      </c>
      <c r="AW207">
        <v>2</v>
      </c>
      <c r="AX207">
        <v>16784525</v>
      </c>
      <c r="AY207">
        <v>1</v>
      </c>
      <c r="AZ207">
        <v>0</v>
      </c>
      <c r="BA207">
        <v>213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Y207*Source!I82</f>
        <v>0.16624999999999998</v>
      </c>
      <c r="CY207">
        <f>AB207</f>
        <v>31.26</v>
      </c>
      <c r="CZ207">
        <f>AF207</f>
        <v>31.26</v>
      </c>
      <c r="DA207">
        <f>AJ207</f>
        <v>1</v>
      </c>
      <c r="DB207">
        <f t="shared" si="36"/>
        <v>10.94</v>
      </c>
      <c r="DC207">
        <f t="shared" si="37"/>
        <v>4.7300000000000004</v>
      </c>
    </row>
    <row r="208" spans="1:107" x14ac:dyDescent="0.2">
      <c r="A208">
        <f>ROW(Source!A82)</f>
        <v>82</v>
      </c>
      <c r="B208">
        <v>16784195</v>
      </c>
      <c r="C208">
        <v>16784517</v>
      </c>
      <c r="D208">
        <v>15249402</v>
      </c>
      <c r="E208">
        <v>1</v>
      </c>
      <c r="F208">
        <v>1</v>
      </c>
      <c r="G208">
        <v>1</v>
      </c>
      <c r="H208">
        <v>2</v>
      </c>
      <c r="I208" t="s">
        <v>625</v>
      </c>
      <c r="J208" t="s">
        <v>626</v>
      </c>
      <c r="K208" t="s">
        <v>627</v>
      </c>
      <c r="L208">
        <v>1368</v>
      </c>
      <c r="N208">
        <v>1011</v>
      </c>
      <c r="O208" t="s">
        <v>501</v>
      </c>
      <c r="P208" t="s">
        <v>501</v>
      </c>
      <c r="Q208">
        <v>1</v>
      </c>
      <c r="W208">
        <v>0</v>
      </c>
      <c r="X208">
        <v>-2111251057</v>
      </c>
      <c r="Y208">
        <v>1.64</v>
      </c>
      <c r="AA208">
        <v>0</v>
      </c>
      <c r="AB208">
        <v>32.5</v>
      </c>
      <c r="AC208">
        <v>0</v>
      </c>
      <c r="AD208">
        <v>0</v>
      </c>
      <c r="AE208">
        <v>0</v>
      </c>
      <c r="AF208">
        <v>32.5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1.64</v>
      </c>
      <c r="AU208" t="s">
        <v>6</v>
      </c>
      <c r="AV208">
        <v>0</v>
      </c>
      <c r="AW208">
        <v>2</v>
      </c>
      <c r="AX208">
        <v>16784526</v>
      </c>
      <c r="AY208">
        <v>1</v>
      </c>
      <c r="AZ208">
        <v>0</v>
      </c>
      <c r="BA208">
        <v>214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Y208*Source!I82</f>
        <v>0.77899999999999991</v>
      </c>
      <c r="CY208">
        <f>AB208</f>
        <v>32.5</v>
      </c>
      <c r="CZ208">
        <f>AF208</f>
        <v>32.5</v>
      </c>
      <c r="DA208">
        <f>AJ208</f>
        <v>1</v>
      </c>
      <c r="DB208">
        <f t="shared" si="36"/>
        <v>53.3</v>
      </c>
      <c r="DC208">
        <f t="shared" si="37"/>
        <v>0</v>
      </c>
    </row>
    <row r="209" spans="1:107" x14ac:dyDescent="0.2">
      <c r="A209">
        <f>ROW(Source!A82)</f>
        <v>82</v>
      </c>
      <c r="B209">
        <v>16784195</v>
      </c>
      <c r="C209">
        <v>16784517</v>
      </c>
      <c r="D209">
        <v>15249998</v>
      </c>
      <c r="E209">
        <v>1</v>
      </c>
      <c r="F209">
        <v>1</v>
      </c>
      <c r="G209">
        <v>1</v>
      </c>
      <c r="H209">
        <v>2</v>
      </c>
      <c r="I209" t="s">
        <v>628</v>
      </c>
      <c r="J209" t="s">
        <v>629</v>
      </c>
      <c r="K209" t="s">
        <v>630</v>
      </c>
      <c r="L209">
        <v>1368</v>
      </c>
      <c r="N209">
        <v>1011</v>
      </c>
      <c r="O209" t="s">
        <v>501</v>
      </c>
      <c r="P209" t="s">
        <v>501</v>
      </c>
      <c r="Q209">
        <v>1</v>
      </c>
      <c r="W209">
        <v>0</v>
      </c>
      <c r="X209">
        <v>1518765163</v>
      </c>
      <c r="Y209">
        <v>3.28</v>
      </c>
      <c r="AA209">
        <v>0</v>
      </c>
      <c r="AB209">
        <v>1.53</v>
      </c>
      <c r="AC209">
        <v>0</v>
      </c>
      <c r="AD209">
        <v>0</v>
      </c>
      <c r="AE209">
        <v>0</v>
      </c>
      <c r="AF209">
        <v>1.53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3.28</v>
      </c>
      <c r="AU209" t="s">
        <v>6</v>
      </c>
      <c r="AV209">
        <v>0</v>
      </c>
      <c r="AW209">
        <v>2</v>
      </c>
      <c r="AX209">
        <v>16784527</v>
      </c>
      <c r="AY209">
        <v>1</v>
      </c>
      <c r="AZ209">
        <v>0</v>
      </c>
      <c r="BA209">
        <v>215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Y209*Source!I82</f>
        <v>1.5579999999999998</v>
      </c>
      <c r="CY209">
        <f>AB209</f>
        <v>1.53</v>
      </c>
      <c r="CZ209">
        <f>AF209</f>
        <v>1.53</v>
      </c>
      <c r="DA209">
        <f>AJ209</f>
        <v>1</v>
      </c>
      <c r="DB209">
        <f t="shared" si="36"/>
        <v>5.0199999999999996</v>
      </c>
      <c r="DC209">
        <f t="shared" si="37"/>
        <v>0</v>
      </c>
    </row>
    <row r="210" spans="1:107" x14ac:dyDescent="0.2">
      <c r="A210">
        <f>ROW(Source!A83)</f>
        <v>83</v>
      </c>
      <c r="B210">
        <v>16784196</v>
      </c>
      <c r="C210">
        <v>16784517</v>
      </c>
      <c r="D210">
        <v>15431465</v>
      </c>
      <c r="E210">
        <v>1</v>
      </c>
      <c r="F210">
        <v>1</v>
      </c>
      <c r="G210">
        <v>1</v>
      </c>
      <c r="H210">
        <v>1</v>
      </c>
      <c r="I210" t="s">
        <v>623</v>
      </c>
      <c r="J210" t="s">
        <v>6</v>
      </c>
      <c r="K210" t="s">
        <v>624</v>
      </c>
      <c r="L210">
        <v>1191</v>
      </c>
      <c r="N210">
        <v>1013</v>
      </c>
      <c r="O210" t="s">
        <v>495</v>
      </c>
      <c r="P210" t="s">
        <v>495</v>
      </c>
      <c r="Q210">
        <v>1</v>
      </c>
      <c r="W210">
        <v>0</v>
      </c>
      <c r="X210">
        <v>152375061</v>
      </c>
      <c r="Y210">
        <v>74.3</v>
      </c>
      <c r="AA210">
        <v>0</v>
      </c>
      <c r="AB210">
        <v>0</v>
      </c>
      <c r="AC210">
        <v>0</v>
      </c>
      <c r="AD210">
        <v>48.09</v>
      </c>
      <c r="AE210">
        <v>0</v>
      </c>
      <c r="AF210">
        <v>0</v>
      </c>
      <c r="AG210">
        <v>0</v>
      </c>
      <c r="AH210">
        <v>7.87</v>
      </c>
      <c r="AI210">
        <v>1</v>
      </c>
      <c r="AJ210">
        <v>1</v>
      </c>
      <c r="AK210">
        <v>1</v>
      </c>
      <c r="AL210">
        <v>6.11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74.3</v>
      </c>
      <c r="AU210" t="s">
        <v>6</v>
      </c>
      <c r="AV210">
        <v>1</v>
      </c>
      <c r="AW210">
        <v>2</v>
      </c>
      <c r="AX210">
        <v>16784523</v>
      </c>
      <c r="AY210">
        <v>1</v>
      </c>
      <c r="AZ210">
        <v>0</v>
      </c>
      <c r="BA210">
        <v>216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Y210*Source!I83</f>
        <v>35.292499999999997</v>
      </c>
      <c r="CY210">
        <f>AD210</f>
        <v>48.09</v>
      </c>
      <c r="CZ210">
        <f>AH210</f>
        <v>7.87</v>
      </c>
      <c r="DA210">
        <f>AL210</f>
        <v>6.11</v>
      </c>
      <c r="DB210">
        <f t="shared" si="36"/>
        <v>584.74</v>
      </c>
      <c r="DC210">
        <f t="shared" si="37"/>
        <v>0</v>
      </c>
    </row>
    <row r="211" spans="1:107" x14ac:dyDescent="0.2">
      <c r="A211">
        <f>ROW(Source!A83)</f>
        <v>83</v>
      </c>
      <c r="B211">
        <v>16784196</v>
      </c>
      <c r="C211">
        <v>16784517</v>
      </c>
      <c r="D211">
        <v>15430395</v>
      </c>
      <c r="E211">
        <v>1</v>
      </c>
      <c r="F211">
        <v>1</v>
      </c>
      <c r="G211">
        <v>1</v>
      </c>
      <c r="H211">
        <v>1</v>
      </c>
      <c r="I211" t="s">
        <v>496</v>
      </c>
      <c r="J211" t="s">
        <v>6</v>
      </c>
      <c r="K211" t="s">
        <v>497</v>
      </c>
      <c r="L211">
        <v>1191</v>
      </c>
      <c r="N211">
        <v>1013</v>
      </c>
      <c r="O211" t="s">
        <v>495</v>
      </c>
      <c r="P211" t="s">
        <v>495</v>
      </c>
      <c r="Q211">
        <v>1</v>
      </c>
      <c r="W211">
        <v>0</v>
      </c>
      <c r="X211">
        <v>-1417349443</v>
      </c>
      <c r="Y211">
        <v>0.35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1</v>
      </c>
      <c r="AJ211">
        <v>1</v>
      </c>
      <c r="AK211">
        <v>6.11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0.35</v>
      </c>
      <c r="AU211" t="s">
        <v>6</v>
      </c>
      <c r="AV211">
        <v>2</v>
      </c>
      <c r="AW211">
        <v>2</v>
      </c>
      <c r="AX211">
        <v>16784524</v>
      </c>
      <c r="AY211">
        <v>1</v>
      </c>
      <c r="AZ211">
        <v>0</v>
      </c>
      <c r="BA211">
        <v>217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Y211*Source!I83</f>
        <v>0.16624999999999998</v>
      </c>
      <c r="CY211">
        <f>AD211</f>
        <v>0</v>
      </c>
      <c r="CZ211">
        <f>AH211</f>
        <v>0</v>
      </c>
      <c r="DA211">
        <f>AL211</f>
        <v>1</v>
      </c>
      <c r="DB211">
        <f t="shared" si="36"/>
        <v>0</v>
      </c>
      <c r="DC211">
        <f t="shared" si="37"/>
        <v>0</v>
      </c>
    </row>
    <row r="212" spans="1:107" x14ac:dyDescent="0.2">
      <c r="A212">
        <f>ROW(Source!A83)</f>
        <v>83</v>
      </c>
      <c r="B212">
        <v>16784196</v>
      </c>
      <c r="C212">
        <v>16784517</v>
      </c>
      <c r="D212">
        <v>15247974</v>
      </c>
      <c r="E212">
        <v>1</v>
      </c>
      <c r="F212">
        <v>1</v>
      </c>
      <c r="G212">
        <v>1</v>
      </c>
      <c r="H212">
        <v>2</v>
      </c>
      <c r="I212" t="s">
        <v>498</v>
      </c>
      <c r="J212" t="s">
        <v>499</v>
      </c>
      <c r="K212" t="s">
        <v>500</v>
      </c>
      <c r="L212">
        <v>1368</v>
      </c>
      <c r="N212">
        <v>1011</v>
      </c>
      <c r="O212" t="s">
        <v>501</v>
      </c>
      <c r="P212" t="s">
        <v>501</v>
      </c>
      <c r="Q212">
        <v>1</v>
      </c>
      <c r="W212">
        <v>0</v>
      </c>
      <c r="X212">
        <v>1188625873</v>
      </c>
      <c r="Y212">
        <v>0.35</v>
      </c>
      <c r="AA212">
        <v>0</v>
      </c>
      <c r="AB212">
        <v>191</v>
      </c>
      <c r="AC212">
        <v>13.5</v>
      </c>
      <c r="AD212">
        <v>0</v>
      </c>
      <c r="AE212">
        <v>0</v>
      </c>
      <c r="AF212">
        <v>31.26</v>
      </c>
      <c r="AG212">
        <v>13.5</v>
      </c>
      <c r="AH212">
        <v>0</v>
      </c>
      <c r="AI212">
        <v>1</v>
      </c>
      <c r="AJ212">
        <v>6.11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0.35</v>
      </c>
      <c r="AU212" t="s">
        <v>6</v>
      </c>
      <c r="AV212">
        <v>0</v>
      </c>
      <c r="AW212">
        <v>2</v>
      </c>
      <c r="AX212">
        <v>16784525</v>
      </c>
      <c r="AY212">
        <v>1</v>
      </c>
      <c r="AZ212">
        <v>0</v>
      </c>
      <c r="BA212">
        <v>218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Y212*Source!I83</f>
        <v>0.16624999999999998</v>
      </c>
      <c r="CY212">
        <f>AB212</f>
        <v>191</v>
      </c>
      <c r="CZ212">
        <f>AF212</f>
        <v>31.26</v>
      </c>
      <c r="DA212">
        <f>AJ212</f>
        <v>6.11</v>
      </c>
      <c r="DB212">
        <f t="shared" si="36"/>
        <v>10.94</v>
      </c>
      <c r="DC212">
        <f t="shared" si="37"/>
        <v>4.7300000000000004</v>
      </c>
    </row>
    <row r="213" spans="1:107" x14ac:dyDescent="0.2">
      <c r="A213">
        <f>ROW(Source!A83)</f>
        <v>83</v>
      </c>
      <c r="B213">
        <v>16784196</v>
      </c>
      <c r="C213">
        <v>16784517</v>
      </c>
      <c r="D213">
        <v>15249402</v>
      </c>
      <c r="E213">
        <v>1</v>
      </c>
      <c r="F213">
        <v>1</v>
      </c>
      <c r="G213">
        <v>1</v>
      </c>
      <c r="H213">
        <v>2</v>
      </c>
      <c r="I213" t="s">
        <v>625</v>
      </c>
      <c r="J213" t="s">
        <v>626</v>
      </c>
      <c r="K213" t="s">
        <v>627</v>
      </c>
      <c r="L213">
        <v>1368</v>
      </c>
      <c r="N213">
        <v>1011</v>
      </c>
      <c r="O213" t="s">
        <v>501</v>
      </c>
      <c r="P213" t="s">
        <v>501</v>
      </c>
      <c r="Q213">
        <v>1</v>
      </c>
      <c r="W213">
        <v>0</v>
      </c>
      <c r="X213">
        <v>-2111251057</v>
      </c>
      <c r="Y213">
        <v>1.64</v>
      </c>
      <c r="AA213">
        <v>0</v>
      </c>
      <c r="AB213">
        <v>198.58</v>
      </c>
      <c r="AC213">
        <v>0</v>
      </c>
      <c r="AD213">
        <v>0</v>
      </c>
      <c r="AE213">
        <v>0</v>
      </c>
      <c r="AF213">
        <v>32.5</v>
      </c>
      <c r="AG213">
        <v>0</v>
      </c>
      <c r="AH213">
        <v>0</v>
      </c>
      <c r="AI213">
        <v>1</v>
      </c>
      <c r="AJ213">
        <v>6.11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1.64</v>
      </c>
      <c r="AU213" t="s">
        <v>6</v>
      </c>
      <c r="AV213">
        <v>0</v>
      </c>
      <c r="AW213">
        <v>2</v>
      </c>
      <c r="AX213">
        <v>16784526</v>
      </c>
      <c r="AY213">
        <v>1</v>
      </c>
      <c r="AZ213">
        <v>0</v>
      </c>
      <c r="BA213">
        <v>219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Y213*Source!I83</f>
        <v>0.77899999999999991</v>
      </c>
      <c r="CY213">
        <f>AB213</f>
        <v>198.58</v>
      </c>
      <c r="CZ213">
        <f>AF213</f>
        <v>32.5</v>
      </c>
      <c r="DA213">
        <f>AJ213</f>
        <v>6.11</v>
      </c>
      <c r="DB213">
        <f t="shared" si="36"/>
        <v>53.3</v>
      </c>
      <c r="DC213">
        <f t="shared" si="37"/>
        <v>0</v>
      </c>
    </row>
    <row r="214" spans="1:107" x14ac:dyDescent="0.2">
      <c r="A214">
        <f>ROW(Source!A83)</f>
        <v>83</v>
      </c>
      <c r="B214">
        <v>16784196</v>
      </c>
      <c r="C214">
        <v>16784517</v>
      </c>
      <c r="D214">
        <v>15249998</v>
      </c>
      <c r="E214">
        <v>1</v>
      </c>
      <c r="F214">
        <v>1</v>
      </c>
      <c r="G214">
        <v>1</v>
      </c>
      <c r="H214">
        <v>2</v>
      </c>
      <c r="I214" t="s">
        <v>628</v>
      </c>
      <c r="J214" t="s">
        <v>629</v>
      </c>
      <c r="K214" t="s">
        <v>630</v>
      </c>
      <c r="L214">
        <v>1368</v>
      </c>
      <c r="N214">
        <v>1011</v>
      </c>
      <c r="O214" t="s">
        <v>501</v>
      </c>
      <c r="P214" t="s">
        <v>501</v>
      </c>
      <c r="Q214">
        <v>1</v>
      </c>
      <c r="W214">
        <v>0</v>
      </c>
      <c r="X214">
        <v>1518765163</v>
      </c>
      <c r="Y214">
        <v>3.28</v>
      </c>
      <c r="AA214">
        <v>0</v>
      </c>
      <c r="AB214">
        <v>9.35</v>
      </c>
      <c r="AC214">
        <v>0</v>
      </c>
      <c r="AD214">
        <v>0</v>
      </c>
      <c r="AE214">
        <v>0</v>
      </c>
      <c r="AF214">
        <v>1.53</v>
      </c>
      <c r="AG214">
        <v>0</v>
      </c>
      <c r="AH214">
        <v>0</v>
      </c>
      <c r="AI214">
        <v>1</v>
      </c>
      <c r="AJ214">
        <v>6.11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6</v>
      </c>
      <c r="AT214">
        <v>3.28</v>
      </c>
      <c r="AU214" t="s">
        <v>6</v>
      </c>
      <c r="AV214">
        <v>0</v>
      </c>
      <c r="AW214">
        <v>2</v>
      </c>
      <c r="AX214">
        <v>16784527</v>
      </c>
      <c r="AY214">
        <v>1</v>
      </c>
      <c r="AZ214">
        <v>0</v>
      </c>
      <c r="BA214">
        <v>220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Y214*Source!I83</f>
        <v>1.5579999999999998</v>
      </c>
      <c r="CY214">
        <f>AB214</f>
        <v>9.35</v>
      </c>
      <c r="CZ214">
        <f>AF214</f>
        <v>1.53</v>
      </c>
      <c r="DA214">
        <f>AJ214</f>
        <v>6.11</v>
      </c>
      <c r="DB214">
        <f t="shared" si="36"/>
        <v>5.0199999999999996</v>
      </c>
      <c r="DC214">
        <f t="shared" si="37"/>
        <v>0</v>
      </c>
    </row>
    <row r="215" spans="1:107" x14ac:dyDescent="0.2">
      <c r="A215">
        <f>ROW(Source!A84)</f>
        <v>84</v>
      </c>
      <c r="B215">
        <v>16784195</v>
      </c>
      <c r="C215">
        <v>16784528</v>
      </c>
      <c r="D215">
        <v>15438286</v>
      </c>
      <c r="E215">
        <v>1</v>
      </c>
      <c r="F215">
        <v>1</v>
      </c>
      <c r="G215">
        <v>1</v>
      </c>
      <c r="H215">
        <v>1</v>
      </c>
      <c r="I215" t="s">
        <v>529</v>
      </c>
      <c r="J215" t="s">
        <v>6</v>
      </c>
      <c r="K215" t="s">
        <v>530</v>
      </c>
      <c r="L215">
        <v>1191</v>
      </c>
      <c r="N215">
        <v>1013</v>
      </c>
      <c r="O215" t="s">
        <v>495</v>
      </c>
      <c r="P215" t="s">
        <v>495</v>
      </c>
      <c r="Q215">
        <v>1</v>
      </c>
      <c r="W215">
        <v>0</v>
      </c>
      <c r="X215">
        <v>-1027537862</v>
      </c>
      <c r="Y215">
        <v>183.62049999999996</v>
      </c>
      <c r="AA215">
        <v>0</v>
      </c>
      <c r="AB215">
        <v>0</v>
      </c>
      <c r="AC215">
        <v>0</v>
      </c>
      <c r="AD215">
        <v>9.18</v>
      </c>
      <c r="AE215">
        <v>0</v>
      </c>
      <c r="AF215">
        <v>0</v>
      </c>
      <c r="AG215">
        <v>0</v>
      </c>
      <c r="AH215">
        <v>9.18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6</v>
      </c>
      <c r="AT215">
        <v>159.66999999999999</v>
      </c>
      <c r="AU215" t="s">
        <v>28</v>
      </c>
      <c r="AV215">
        <v>1</v>
      </c>
      <c r="AW215">
        <v>2</v>
      </c>
      <c r="AX215">
        <v>16784539</v>
      </c>
      <c r="AY215">
        <v>1</v>
      </c>
      <c r="AZ215">
        <v>0</v>
      </c>
      <c r="BA215">
        <v>221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Y215*Source!I84</f>
        <v>87.219737499999979</v>
      </c>
      <c r="CY215">
        <f>AD215</f>
        <v>9.18</v>
      </c>
      <c r="CZ215">
        <f>AH215</f>
        <v>9.18</v>
      </c>
      <c r="DA215">
        <f>AL215</f>
        <v>1</v>
      </c>
      <c r="DB215">
        <f>ROUND((ROUND(AT215*CZ215,2)*1.15),2)</f>
        <v>1685.64</v>
      </c>
      <c r="DC215">
        <f>ROUND((ROUND(AT215*AG215,2)*1.15),2)</f>
        <v>0</v>
      </c>
    </row>
    <row r="216" spans="1:107" x14ac:dyDescent="0.2">
      <c r="A216">
        <f>ROW(Source!A84)</f>
        <v>84</v>
      </c>
      <c r="B216">
        <v>16784195</v>
      </c>
      <c r="C216">
        <v>16784528</v>
      </c>
      <c r="D216">
        <v>15430395</v>
      </c>
      <c r="E216">
        <v>1</v>
      </c>
      <c r="F216">
        <v>1</v>
      </c>
      <c r="G216">
        <v>1</v>
      </c>
      <c r="H216">
        <v>1</v>
      </c>
      <c r="I216" t="s">
        <v>496</v>
      </c>
      <c r="J216" t="s">
        <v>6</v>
      </c>
      <c r="K216" t="s">
        <v>497</v>
      </c>
      <c r="L216">
        <v>1191</v>
      </c>
      <c r="N216">
        <v>1013</v>
      </c>
      <c r="O216" t="s">
        <v>495</v>
      </c>
      <c r="P216" t="s">
        <v>495</v>
      </c>
      <c r="Q216">
        <v>1</v>
      </c>
      <c r="W216">
        <v>0</v>
      </c>
      <c r="X216">
        <v>-1417349443</v>
      </c>
      <c r="Y216">
        <v>1.65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1.65</v>
      </c>
      <c r="AU216" t="s">
        <v>6</v>
      </c>
      <c r="AV216">
        <v>2</v>
      </c>
      <c r="AW216">
        <v>2</v>
      </c>
      <c r="AX216">
        <v>16784540</v>
      </c>
      <c r="AY216">
        <v>1</v>
      </c>
      <c r="AZ216">
        <v>2048</v>
      </c>
      <c r="BA216">
        <v>222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Y216*Source!I84</f>
        <v>0.78374999999999995</v>
      </c>
      <c r="CY216">
        <f>AD216</f>
        <v>0</v>
      </c>
      <c r="CZ216">
        <f>AH216</f>
        <v>0</v>
      </c>
      <c r="DA216">
        <f>AL216</f>
        <v>1</v>
      </c>
      <c r="DB216">
        <f>ROUND(ROUND(AT216*CZ216,2),2)</f>
        <v>0</v>
      </c>
      <c r="DC216">
        <f>ROUND(ROUND(AT216*AG216,2),2)</f>
        <v>0</v>
      </c>
    </row>
    <row r="217" spans="1:107" x14ac:dyDescent="0.2">
      <c r="A217">
        <f>ROW(Source!A84)</f>
        <v>84</v>
      </c>
      <c r="B217">
        <v>16784195</v>
      </c>
      <c r="C217">
        <v>16784528</v>
      </c>
      <c r="D217">
        <v>15247905</v>
      </c>
      <c r="E217">
        <v>1</v>
      </c>
      <c r="F217">
        <v>1</v>
      </c>
      <c r="G217">
        <v>1</v>
      </c>
      <c r="H217">
        <v>2</v>
      </c>
      <c r="I217" t="s">
        <v>631</v>
      </c>
      <c r="J217" t="s">
        <v>632</v>
      </c>
      <c r="K217" t="s">
        <v>633</v>
      </c>
      <c r="L217">
        <v>1368</v>
      </c>
      <c r="N217">
        <v>1011</v>
      </c>
      <c r="O217" t="s">
        <v>501</v>
      </c>
      <c r="P217" t="s">
        <v>501</v>
      </c>
      <c r="Q217">
        <v>1</v>
      </c>
      <c r="W217">
        <v>0</v>
      </c>
      <c r="X217">
        <v>1225731627</v>
      </c>
      <c r="Y217">
        <v>0.1</v>
      </c>
      <c r="AA217">
        <v>0</v>
      </c>
      <c r="AB217">
        <v>89.99</v>
      </c>
      <c r="AC217">
        <v>10.06</v>
      </c>
      <c r="AD217">
        <v>0</v>
      </c>
      <c r="AE217">
        <v>0</v>
      </c>
      <c r="AF217">
        <v>89.99</v>
      </c>
      <c r="AG217">
        <v>10.06</v>
      </c>
      <c r="AH217">
        <v>0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0.08</v>
      </c>
      <c r="AU217" t="s">
        <v>27</v>
      </c>
      <c r="AV217">
        <v>0</v>
      </c>
      <c r="AW217">
        <v>2</v>
      </c>
      <c r="AX217">
        <v>16784541</v>
      </c>
      <c r="AY217">
        <v>1</v>
      </c>
      <c r="AZ217">
        <v>0</v>
      </c>
      <c r="BA217">
        <v>223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Y217*Source!I84</f>
        <v>4.7500000000000001E-2</v>
      </c>
      <c r="CY217">
        <f>AB217</f>
        <v>89.99</v>
      </c>
      <c r="CZ217">
        <f>AF217</f>
        <v>89.99</v>
      </c>
      <c r="DA217">
        <f>AJ217</f>
        <v>1</v>
      </c>
      <c r="DB217">
        <f>ROUND((ROUND(AT217*CZ217,2)*1.25),2)</f>
        <v>9</v>
      </c>
      <c r="DC217">
        <f>ROUND((ROUND(AT217*AG217,2)*1.25),2)</f>
        <v>1</v>
      </c>
    </row>
    <row r="218" spans="1:107" x14ac:dyDescent="0.2">
      <c r="A218">
        <f>ROW(Source!A84)</f>
        <v>84</v>
      </c>
      <c r="B218">
        <v>16784195</v>
      </c>
      <c r="C218">
        <v>16784528</v>
      </c>
      <c r="D218">
        <v>15247974</v>
      </c>
      <c r="E218">
        <v>1</v>
      </c>
      <c r="F218">
        <v>1</v>
      </c>
      <c r="G218">
        <v>1</v>
      </c>
      <c r="H218">
        <v>2</v>
      </c>
      <c r="I218" t="s">
        <v>498</v>
      </c>
      <c r="J218" t="s">
        <v>499</v>
      </c>
      <c r="K218" t="s">
        <v>500</v>
      </c>
      <c r="L218">
        <v>1368</v>
      </c>
      <c r="N218">
        <v>1011</v>
      </c>
      <c r="O218" t="s">
        <v>501</v>
      </c>
      <c r="P218" t="s">
        <v>501</v>
      </c>
      <c r="Q218">
        <v>1</v>
      </c>
      <c r="W218">
        <v>0</v>
      </c>
      <c r="X218">
        <v>1188625873</v>
      </c>
      <c r="Y218">
        <v>0.33750000000000002</v>
      </c>
      <c r="AA218">
        <v>0</v>
      </c>
      <c r="AB218">
        <v>31.26</v>
      </c>
      <c r="AC218">
        <v>13.5</v>
      </c>
      <c r="AD218">
        <v>0</v>
      </c>
      <c r="AE218">
        <v>0</v>
      </c>
      <c r="AF218">
        <v>31.26</v>
      </c>
      <c r="AG218">
        <v>13.5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6</v>
      </c>
      <c r="AT218">
        <v>0.27</v>
      </c>
      <c r="AU218" t="s">
        <v>27</v>
      </c>
      <c r="AV218">
        <v>0</v>
      </c>
      <c r="AW218">
        <v>2</v>
      </c>
      <c r="AX218">
        <v>16784542</v>
      </c>
      <c r="AY218">
        <v>1</v>
      </c>
      <c r="AZ218">
        <v>0</v>
      </c>
      <c r="BA218">
        <v>224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Y218*Source!I84</f>
        <v>0.1603125</v>
      </c>
      <c r="CY218">
        <f>AB218</f>
        <v>31.26</v>
      </c>
      <c r="CZ218">
        <f>AF218</f>
        <v>31.26</v>
      </c>
      <c r="DA218">
        <f>AJ218</f>
        <v>1</v>
      </c>
      <c r="DB218">
        <f>ROUND((ROUND(AT218*CZ218,2)*1.25),2)</f>
        <v>10.55</v>
      </c>
      <c r="DC218">
        <f>ROUND((ROUND(AT218*AG218,2)*1.25),2)</f>
        <v>4.5599999999999996</v>
      </c>
    </row>
    <row r="219" spans="1:107" x14ac:dyDescent="0.2">
      <c r="A219">
        <f>ROW(Source!A84)</f>
        <v>84</v>
      </c>
      <c r="B219">
        <v>16784195</v>
      </c>
      <c r="C219">
        <v>16784528</v>
      </c>
      <c r="D219">
        <v>15248143</v>
      </c>
      <c r="E219">
        <v>1</v>
      </c>
      <c r="F219">
        <v>1</v>
      </c>
      <c r="G219">
        <v>1</v>
      </c>
      <c r="H219">
        <v>2</v>
      </c>
      <c r="I219" t="s">
        <v>612</v>
      </c>
      <c r="J219" t="s">
        <v>613</v>
      </c>
      <c r="K219" t="s">
        <v>614</v>
      </c>
      <c r="L219">
        <v>1368</v>
      </c>
      <c r="N219">
        <v>1011</v>
      </c>
      <c r="O219" t="s">
        <v>501</v>
      </c>
      <c r="P219" t="s">
        <v>501</v>
      </c>
      <c r="Q219">
        <v>1</v>
      </c>
      <c r="W219">
        <v>0</v>
      </c>
      <c r="X219">
        <v>983187852</v>
      </c>
      <c r="Y219">
        <v>1.625</v>
      </c>
      <c r="AA219">
        <v>0</v>
      </c>
      <c r="AB219">
        <v>12.39</v>
      </c>
      <c r="AC219">
        <v>10.06</v>
      </c>
      <c r="AD219">
        <v>0</v>
      </c>
      <c r="AE219">
        <v>0</v>
      </c>
      <c r="AF219">
        <v>12.39</v>
      </c>
      <c r="AG219">
        <v>10.06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1.3</v>
      </c>
      <c r="AU219" t="s">
        <v>27</v>
      </c>
      <c r="AV219">
        <v>0</v>
      </c>
      <c r="AW219">
        <v>2</v>
      </c>
      <c r="AX219">
        <v>16784543</v>
      </c>
      <c r="AY219">
        <v>1</v>
      </c>
      <c r="AZ219">
        <v>0</v>
      </c>
      <c r="BA219">
        <v>225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Y219*Source!I84</f>
        <v>0.77187499999999998</v>
      </c>
      <c r="CY219">
        <f>AB219</f>
        <v>12.39</v>
      </c>
      <c r="CZ219">
        <f>AF219</f>
        <v>12.39</v>
      </c>
      <c r="DA219">
        <f>AJ219</f>
        <v>1</v>
      </c>
      <c r="DB219">
        <f>ROUND((ROUND(AT219*CZ219,2)*1.25),2)</f>
        <v>20.14</v>
      </c>
      <c r="DC219">
        <f>ROUND((ROUND(AT219*AG219,2)*1.25),2)</f>
        <v>16.350000000000001</v>
      </c>
    </row>
    <row r="220" spans="1:107" x14ac:dyDescent="0.2">
      <c r="A220">
        <f>ROW(Source!A84)</f>
        <v>84</v>
      </c>
      <c r="B220">
        <v>16784195</v>
      </c>
      <c r="C220">
        <v>16784528</v>
      </c>
      <c r="D220">
        <v>15167286</v>
      </c>
      <c r="E220">
        <v>1</v>
      </c>
      <c r="F220">
        <v>1</v>
      </c>
      <c r="G220">
        <v>1</v>
      </c>
      <c r="H220">
        <v>3</v>
      </c>
      <c r="I220" t="s">
        <v>597</v>
      </c>
      <c r="J220" t="s">
        <v>598</v>
      </c>
      <c r="K220" t="s">
        <v>599</v>
      </c>
      <c r="L220">
        <v>1339</v>
      </c>
      <c r="N220">
        <v>1007</v>
      </c>
      <c r="O220" t="s">
        <v>128</v>
      </c>
      <c r="P220" t="s">
        <v>128</v>
      </c>
      <c r="Q220">
        <v>1</v>
      </c>
      <c r="W220">
        <v>0</v>
      </c>
      <c r="X220">
        <v>-1660354250</v>
      </c>
      <c r="Y220">
        <v>0.93</v>
      </c>
      <c r="AA220">
        <v>2.44</v>
      </c>
      <c r="AB220">
        <v>0</v>
      </c>
      <c r="AC220">
        <v>0</v>
      </c>
      <c r="AD220">
        <v>0</v>
      </c>
      <c r="AE220">
        <v>2.44</v>
      </c>
      <c r="AF220">
        <v>0</v>
      </c>
      <c r="AG220">
        <v>0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0.93</v>
      </c>
      <c r="AU220" t="s">
        <v>6</v>
      </c>
      <c r="AV220">
        <v>0</v>
      </c>
      <c r="AW220">
        <v>2</v>
      </c>
      <c r="AX220">
        <v>16784544</v>
      </c>
      <c r="AY220">
        <v>1</v>
      </c>
      <c r="AZ220">
        <v>0</v>
      </c>
      <c r="BA220">
        <v>226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Y220*Source!I84</f>
        <v>0.44174999999999998</v>
      </c>
      <c r="CY220">
        <f>AA220</f>
        <v>2.44</v>
      </c>
      <c r="CZ220">
        <f>AE220</f>
        <v>2.44</v>
      </c>
      <c r="DA220">
        <f>AI220</f>
        <v>1</v>
      </c>
      <c r="DB220">
        <f>ROUND(ROUND(AT220*CZ220,2),2)</f>
        <v>2.27</v>
      </c>
      <c r="DC220">
        <f>ROUND(ROUND(AT220*AG220,2),2)</f>
        <v>0</v>
      </c>
    </row>
    <row r="221" spans="1:107" x14ac:dyDescent="0.2">
      <c r="A221">
        <f>ROW(Source!A84)</f>
        <v>84</v>
      </c>
      <c r="B221">
        <v>16784195</v>
      </c>
      <c r="C221">
        <v>16784528</v>
      </c>
      <c r="D221">
        <v>15171018</v>
      </c>
      <c r="E221">
        <v>1</v>
      </c>
      <c r="F221">
        <v>1</v>
      </c>
      <c r="G221">
        <v>1</v>
      </c>
      <c r="H221">
        <v>3</v>
      </c>
      <c r="I221" t="s">
        <v>531</v>
      </c>
      <c r="J221" t="s">
        <v>532</v>
      </c>
      <c r="K221" t="s">
        <v>533</v>
      </c>
      <c r="L221">
        <v>1346</v>
      </c>
      <c r="N221">
        <v>1009</v>
      </c>
      <c r="O221" t="s">
        <v>60</v>
      </c>
      <c r="P221" t="s">
        <v>60</v>
      </c>
      <c r="Q221">
        <v>1</v>
      </c>
      <c r="W221">
        <v>0</v>
      </c>
      <c r="X221">
        <v>813963326</v>
      </c>
      <c r="Y221">
        <v>0.5</v>
      </c>
      <c r="AA221">
        <v>1.82</v>
      </c>
      <c r="AB221">
        <v>0</v>
      </c>
      <c r="AC221">
        <v>0</v>
      </c>
      <c r="AD221">
        <v>0</v>
      </c>
      <c r="AE221">
        <v>1.82</v>
      </c>
      <c r="AF221">
        <v>0</v>
      </c>
      <c r="AG221">
        <v>0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0.5</v>
      </c>
      <c r="AU221" t="s">
        <v>6</v>
      </c>
      <c r="AV221">
        <v>0</v>
      </c>
      <c r="AW221">
        <v>2</v>
      </c>
      <c r="AX221">
        <v>16784545</v>
      </c>
      <c r="AY221">
        <v>1</v>
      </c>
      <c r="AZ221">
        <v>0</v>
      </c>
      <c r="BA221">
        <v>227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Y221*Source!I84</f>
        <v>0.23749999999999999</v>
      </c>
      <c r="CY221">
        <f>AA221</f>
        <v>1.82</v>
      </c>
      <c r="CZ221">
        <f>AE221</f>
        <v>1.82</v>
      </c>
      <c r="DA221">
        <f>AI221</f>
        <v>1</v>
      </c>
      <c r="DB221">
        <f>ROUND(ROUND(AT221*CZ221,2),2)</f>
        <v>0.91</v>
      </c>
      <c r="DC221">
        <f>ROUND(ROUND(AT221*AG221,2),2)</f>
        <v>0</v>
      </c>
    </row>
    <row r="222" spans="1:107" x14ac:dyDescent="0.2">
      <c r="A222">
        <f>ROW(Source!A84)</f>
        <v>84</v>
      </c>
      <c r="B222">
        <v>16784195</v>
      </c>
      <c r="C222">
        <v>16784528</v>
      </c>
      <c r="D222">
        <v>15173093</v>
      </c>
      <c r="E222">
        <v>1</v>
      </c>
      <c r="F222">
        <v>1</v>
      </c>
      <c r="G222">
        <v>1</v>
      </c>
      <c r="H222">
        <v>3</v>
      </c>
      <c r="I222" t="s">
        <v>172</v>
      </c>
      <c r="J222" t="s">
        <v>174</v>
      </c>
      <c r="K222" t="s">
        <v>173</v>
      </c>
      <c r="L222">
        <v>1348</v>
      </c>
      <c r="N222">
        <v>1009</v>
      </c>
      <c r="O222" t="s">
        <v>65</v>
      </c>
      <c r="P222" t="s">
        <v>65</v>
      </c>
      <c r="Q222">
        <v>1000</v>
      </c>
      <c r="W222">
        <v>0</v>
      </c>
      <c r="X222">
        <v>-195795605</v>
      </c>
      <c r="Y222">
        <v>0.05</v>
      </c>
      <c r="AA222">
        <v>9000</v>
      </c>
      <c r="AB222">
        <v>0</v>
      </c>
      <c r="AC222">
        <v>0</v>
      </c>
      <c r="AD222">
        <v>0</v>
      </c>
      <c r="AE222">
        <v>9000</v>
      </c>
      <c r="AF222">
        <v>0</v>
      </c>
      <c r="AG222">
        <v>0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0</v>
      </c>
      <c r="AP222">
        <v>0</v>
      </c>
      <c r="AQ222">
        <v>0</v>
      </c>
      <c r="AR222">
        <v>0</v>
      </c>
      <c r="AS222" t="s">
        <v>6</v>
      </c>
      <c r="AT222">
        <v>0.05</v>
      </c>
      <c r="AU222" t="s">
        <v>6</v>
      </c>
      <c r="AV222">
        <v>0</v>
      </c>
      <c r="AW222">
        <v>1</v>
      </c>
      <c r="AX222">
        <v>-1</v>
      </c>
      <c r="AY222">
        <v>0</v>
      </c>
      <c r="AZ222">
        <v>0</v>
      </c>
      <c r="BA222" t="s">
        <v>6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Y222*Source!I84</f>
        <v>2.375E-2</v>
      </c>
      <c r="CY222">
        <f>AA222</f>
        <v>9000</v>
      </c>
      <c r="CZ222">
        <f>AE222</f>
        <v>9000</v>
      </c>
      <c r="DA222">
        <f>AI222</f>
        <v>1</v>
      </c>
      <c r="DB222">
        <f>ROUND(ROUND(AT222*CZ222,2),2)</f>
        <v>450</v>
      </c>
      <c r="DC222">
        <f>ROUND(ROUND(AT222*AG222,2),2)</f>
        <v>0</v>
      </c>
    </row>
    <row r="223" spans="1:107" x14ac:dyDescent="0.2">
      <c r="A223">
        <f>ROW(Source!A84)</f>
        <v>84</v>
      </c>
      <c r="B223">
        <v>16784195</v>
      </c>
      <c r="C223">
        <v>16784528</v>
      </c>
      <c r="D223">
        <v>15187005</v>
      </c>
      <c r="E223">
        <v>1</v>
      </c>
      <c r="F223">
        <v>1</v>
      </c>
      <c r="G223">
        <v>1</v>
      </c>
      <c r="H223">
        <v>3</v>
      </c>
      <c r="I223" t="s">
        <v>176</v>
      </c>
      <c r="J223" t="s">
        <v>178</v>
      </c>
      <c r="K223" t="s">
        <v>177</v>
      </c>
      <c r="L223">
        <v>1327</v>
      </c>
      <c r="N223">
        <v>1005</v>
      </c>
      <c r="O223" t="s">
        <v>35</v>
      </c>
      <c r="P223" t="s">
        <v>35</v>
      </c>
      <c r="Q223">
        <v>1</v>
      </c>
      <c r="W223">
        <v>0</v>
      </c>
      <c r="X223">
        <v>797365537</v>
      </c>
      <c r="Y223">
        <v>100</v>
      </c>
      <c r="AA223">
        <v>85.71</v>
      </c>
      <c r="AB223">
        <v>0</v>
      </c>
      <c r="AC223">
        <v>0</v>
      </c>
      <c r="AD223">
        <v>0</v>
      </c>
      <c r="AE223">
        <v>85.71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6</v>
      </c>
      <c r="AT223">
        <v>100</v>
      </c>
      <c r="AU223" t="s">
        <v>6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6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Y223*Source!I84</f>
        <v>47.5</v>
      </c>
      <c r="CY223">
        <f>AA223</f>
        <v>85.71</v>
      </c>
      <c r="CZ223">
        <f>AE223</f>
        <v>85.71</v>
      </c>
      <c r="DA223">
        <f>AI223</f>
        <v>1</v>
      </c>
      <c r="DB223">
        <f>ROUND(ROUND(AT223*CZ223,2),2)</f>
        <v>8571</v>
      </c>
      <c r="DC223">
        <f>ROUND(ROUND(AT223*AG223,2),2)</f>
        <v>0</v>
      </c>
    </row>
    <row r="224" spans="1:107" x14ac:dyDescent="0.2">
      <c r="A224">
        <f>ROW(Source!A84)</f>
        <v>84</v>
      </c>
      <c r="B224">
        <v>16784195</v>
      </c>
      <c r="C224">
        <v>16784528</v>
      </c>
      <c r="D224">
        <v>15202555</v>
      </c>
      <c r="E224">
        <v>1</v>
      </c>
      <c r="F224">
        <v>1</v>
      </c>
      <c r="G224">
        <v>1</v>
      </c>
      <c r="H224">
        <v>3</v>
      </c>
      <c r="I224" t="s">
        <v>180</v>
      </c>
      <c r="J224" t="s">
        <v>182</v>
      </c>
      <c r="K224" t="s">
        <v>181</v>
      </c>
      <c r="L224">
        <v>1348</v>
      </c>
      <c r="N224">
        <v>1009</v>
      </c>
      <c r="O224" t="s">
        <v>65</v>
      </c>
      <c r="P224" t="s">
        <v>65</v>
      </c>
      <c r="Q224">
        <v>1000</v>
      </c>
      <c r="W224">
        <v>0</v>
      </c>
      <c r="X224">
        <v>824424713</v>
      </c>
      <c r="Y224">
        <v>0.375</v>
      </c>
      <c r="AA224">
        <v>2919.43</v>
      </c>
      <c r="AB224">
        <v>0</v>
      </c>
      <c r="AC224">
        <v>0</v>
      </c>
      <c r="AD224">
        <v>0</v>
      </c>
      <c r="AE224">
        <v>2919.43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0</v>
      </c>
      <c r="AP224">
        <v>0</v>
      </c>
      <c r="AQ224">
        <v>0</v>
      </c>
      <c r="AR224">
        <v>0</v>
      </c>
      <c r="AS224" t="s">
        <v>6</v>
      </c>
      <c r="AT224">
        <v>0.375</v>
      </c>
      <c r="AU224" t="s">
        <v>6</v>
      </c>
      <c r="AV224">
        <v>0</v>
      </c>
      <c r="AW224">
        <v>1</v>
      </c>
      <c r="AX224">
        <v>-1</v>
      </c>
      <c r="AY224">
        <v>0</v>
      </c>
      <c r="AZ224">
        <v>0</v>
      </c>
      <c r="BA224" t="s">
        <v>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Y224*Source!I84</f>
        <v>0.17812499999999998</v>
      </c>
      <c r="CY224">
        <f>AA224</f>
        <v>2919.43</v>
      </c>
      <c r="CZ224">
        <f>AE224</f>
        <v>2919.43</v>
      </c>
      <c r="DA224">
        <f>AI224</f>
        <v>1</v>
      </c>
      <c r="DB224">
        <f>ROUND(ROUND(AT224*CZ224,2),2)</f>
        <v>1094.79</v>
      </c>
      <c r="DC224">
        <f>ROUND(ROUND(AT224*AG224,2),2)</f>
        <v>0</v>
      </c>
    </row>
    <row r="225" spans="1:107" x14ac:dyDescent="0.2">
      <c r="A225">
        <f>ROW(Source!A85)</f>
        <v>85</v>
      </c>
      <c r="B225">
        <v>16784196</v>
      </c>
      <c r="C225">
        <v>16784528</v>
      </c>
      <c r="D225">
        <v>15438286</v>
      </c>
      <c r="E225">
        <v>1</v>
      </c>
      <c r="F225">
        <v>1</v>
      </c>
      <c r="G225">
        <v>1</v>
      </c>
      <c r="H225">
        <v>1</v>
      </c>
      <c r="I225" t="s">
        <v>529</v>
      </c>
      <c r="J225" t="s">
        <v>6</v>
      </c>
      <c r="K225" t="s">
        <v>530</v>
      </c>
      <c r="L225">
        <v>1191</v>
      </c>
      <c r="N225">
        <v>1013</v>
      </c>
      <c r="O225" t="s">
        <v>495</v>
      </c>
      <c r="P225" t="s">
        <v>495</v>
      </c>
      <c r="Q225">
        <v>1</v>
      </c>
      <c r="W225">
        <v>0</v>
      </c>
      <c r="X225">
        <v>-1027537862</v>
      </c>
      <c r="Y225">
        <v>183.62049999999996</v>
      </c>
      <c r="AA225">
        <v>0</v>
      </c>
      <c r="AB225">
        <v>0</v>
      </c>
      <c r="AC225">
        <v>0</v>
      </c>
      <c r="AD225">
        <v>56.09</v>
      </c>
      <c r="AE225">
        <v>0</v>
      </c>
      <c r="AF225">
        <v>0</v>
      </c>
      <c r="AG225">
        <v>0</v>
      </c>
      <c r="AH225">
        <v>9.18</v>
      </c>
      <c r="AI225">
        <v>1</v>
      </c>
      <c r="AJ225">
        <v>1</v>
      </c>
      <c r="AK225">
        <v>1</v>
      </c>
      <c r="AL225">
        <v>6.11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6</v>
      </c>
      <c r="AT225">
        <v>159.66999999999999</v>
      </c>
      <c r="AU225" t="s">
        <v>28</v>
      </c>
      <c r="AV225">
        <v>1</v>
      </c>
      <c r="AW225">
        <v>2</v>
      </c>
      <c r="AX225">
        <v>16784539</v>
      </c>
      <c r="AY225">
        <v>1</v>
      </c>
      <c r="AZ225">
        <v>0</v>
      </c>
      <c r="BA225">
        <v>231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Y225*Source!I85</f>
        <v>87.219737499999979</v>
      </c>
      <c r="CY225">
        <f>AD225</f>
        <v>56.09</v>
      </c>
      <c r="CZ225">
        <f>AH225</f>
        <v>9.18</v>
      </c>
      <c r="DA225">
        <f>AL225</f>
        <v>6.11</v>
      </c>
      <c r="DB225">
        <f>ROUND((ROUND(AT225*CZ225,2)*1.15),2)</f>
        <v>1685.64</v>
      </c>
      <c r="DC225">
        <f>ROUND((ROUND(AT225*AG225,2)*1.15),2)</f>
        <v>0</v>
      </c>
    </row>
    <row r="226" spans="1:107" x14ac:dyDescent="0.2">
      <c r="A226">
        <f>ROW(Source!A85)</f>
        <v>85</v>
      </c>
      <c r="B226">
        <v>16784196</v>
      </c>
      <c r="C226">
        <v>16784528</v>
      </c>
      <c r="D226">
        <v>15430395</v>
      </c>
      <c r="E226">
        <v>1</v>
      </c>
      <c r="F226">
        <v>1</v>
      </c>
      <c r="G226">
        <v>1</v>
      </c>
      <c r="H226">
        <v>1</v>
      </c>
      <c r="I226" t="s">
        <v>496</v>
      </c>
      <c r="J226" t="s">
        <v>6</v>
      </c>
      <c r="K226" t="s">
        <v>497</v>
      </c>
      <c r="L226">
        <v>1191</v>
      </c>
      <c r="N226">
        <v>1013</v>
      </c>
      <c r="O226" t="s">
        <v>495</v>
      </c>
      <c r="P226" t="s">
        <v>495</v>
      </c>
      <c r="Q226">
        <v>1</v>
      </c>
      <c r="W226">
        <v>0</v>
      </c>
      <c r="X226">
        <v>-1417349443</v>
      </c>
      <c r="Y226">
        <v>1.65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6.11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1.65</v>
      </c>
      <c r="AU226" t="s">
        <v>6</v>
      </c>
      <c r="AV226">
        <v>2</v>
      </c>
      <c r="AW226">
        <v>2</v>
      </c>
      <c r="AX226">
        <v>16784540</v>
      </c>
      <c r="AY226">
        <v>1</v>
      </c>
      <c r="AZ226">
        <v>2048</v>
      </c>
      <c r="BA226">
        <v>232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Y226*Source!I85</f>
        <v>0.78374999999999995</v>
      </c>
      <c r="CY226">
        <f>AD226</f>
        <v>0</v>
      </c>
      <c r="CZ226">
        <f>AH226</f>
        <v>0</v>
      </c>
      <c r="DA226">
        <f>AL226</f>
        <v>1</v>
      </c>
      <c r="DB226">
        <f>ROUND(ROUND(AT226*CZ226,2),2)</f>
        <v>0</v>
      </c>
      <c r="DC226">
        <f>ROUND(ROUND(AT226*AG226,2),2)</f>
        <v>0</v>
      </c>
    </row>
    <row r="227" spans="1:107" x14ac:dyDescent="0.2">
      <c r="A227">
        <f>ROW(Source!A85)</f>
        <v>85</v>
      </c>
      <c r="B227">
        <v>16784196</v>
      </c>
      <c r="C227">
        <v>16784528</v>
      </c>
      <c r="D227">
        <v>15247905</v>
      </c>
      <c r="E227">
        <v>1</v>
      </c>
      <c r="F227">
        <v>1</v>
      </c>
      <c r="G227">
        <v>1</v>
      </c>
      <c r="H227">
        <v>2</v>
      </c>
      <c r="I227" t="s">
        <v>631</v>
      </c>
      <c r="J227" t="s">
        <v>632</v>
      </c>
      <c r="K227" t="s">
        <v>633</v>
      </c>
      <c r="L227">
        <v>1368</v>
      </c>
      <c r="N227">
        <v>1011</v>
      </c>
      <c r="O227" t="s">
        <v>501</v>
      </c>
      <c r="P227" t="s">
        <v>501</v>
      </c>
      <c r="Q227">
        <v>1</v>
      </c>
      <c r="W227">
        <v>0</v>
      </c>
      <c r="X227">
        <v>1225731627</v>
      </c>
      <c r="Y227">
        <v>0.1</v>
      </c>
      <c r="AA227">
        <v>0</v>
      </c>
      <c r="AB227">
        <v>549.84</v>
      </c>
      <c r="AC227">
        <v>10.06</v>
      </c>
      <c r="AD227">
        <v>0</v>
      </c>
      <c r="AE227">
        <v>0</v>
      </c>
      <c r="AF227">
        <v>89.99</v>
      </c>
      <c r="AG227">
        <v>10.06</v>
      </c>
      <c r="AH227">
        <v>0</v>
      </c>
      <c r="AI227">
        <v>1</v>
      </c>
      <c r="AJ227">
        <v>6.11</v>
      </c>
      <c r="AK227">
        <v>1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6</v>
      </c>
      <c r="AT227">
        <v>0.08</v>
      </c>
      <c r="AU227" t="s">
        <v>27</v>
      </c>
      <c r="AV227">
        <v>0</v>
      </c>
      <c r="AW227">
        <v>2</v>
      </c>
      <c r="AX227">
        <v>16784541</v>
      </c>
      <c r="AY227">
        <v>1</v>
      </c>
      <c r="AZ227">
        <v>0</v>
      </c>
      <c r="BA227">
        <v>233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Y227*Source!I85</f>
        <v>4.7500000000000001E-2</v>
      </c>
      <c r="CY227">
        <f>AB227</f>
        <v>549.84</v>
      </c>
      <c r="CZ227">
        <f>AF227</f>
        <v>89.99</v>
      </c>
      <c r="DA227">
        <f>AJ227</f>
        <v>6.11</v>
      </c>
      <c r="DB227">
        <f>ROUND((ROUND(AT227*CZ227,2)*1.25),2)</f>
        <v>9</v>
      </c>
      <c r="DC227">
        <f>ROUND((ROUND(AT227*AG227,2)*1.25),2)</f>
        <v>1</v>
      </c>
    </row>
    <row r="228" spans="1:107" x14ac:dyDescent="0.2">
      <c r="A228">
        <f>ROW(Source!A85)</f>
        <v>85</v>
      </c>
      <c r="B228">
        <v>16784196</v>
      </c>
      <c r="C228">
        <v>16784528</v>
      </c>
      <c r="D228">
        <v>15247974</v>
      </c>
      <c r="E228">
        <v>1</v>
      </c>
      <c r="F228">
        <v>1</v>
      </c>
      <c r="G228">
        <v>1</v>
      </c>
      <c r="H228">
        <v>2</v>
      </c>
      <c r="I228" t="s">
        <v>498</v>
      </c>
      <c r="J228" t="s">
        <v>499</v>
      </c>
      <c r="K228" t="s">
        <v>500</v>
      </c>
      <c r="L228">
        <v>1368</v>
      </c>
      <c r="N228">
        <v>1011</v>
      </c>
      <c r="O228" t="s">
        <v>501</v>
      </c>
      <c r="P228" t="s">
        <v>501</v>
      </c>
      <c r="Q228">
        <v>1</v>
      </c>
      <c r="W228">
        <v>0</v>
      </c>
      <c r="X228">
        <v>1188625873</v>
      </c>
      <c r="Y228">
        <v>0.33750000000000002</v>
      </c>
      <c r="AA228">
        <v>0</v>
      </c>
      <c r="AB228">
        <v>191</v>
      </c>
      <c r="AC228">
        <v>13.5</v>
      </c>
      <c r="AD228">
        <v>0</v>
      </c>
      <c r="AE228">
        <v>0</v>
      </c>
      <c r="AF228">
        <v>31.26</v>
      </c>
      <c r="AG228">
        <v>13.5</v>
      </c>
      <c r="AH228">
        <v>0</v>
      </c>
      <c r="AI228">
        <v>1</v>
      </c>
      <c r="AJ228">
        <v>6.11</v>
      </c>
      <c r="AK228">
        <v>1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6</v>
      </c>
      <c r="AT228">
        <v>0.27</v>
      </c>
      <c r="AU228" t="s">
        <v>27</v>
      </c>
      <c r="AV228">
        <v>0</v>
      </c>
      <c r="AW228">
        <v>2</v>
      </c>
      <c r="AX228">
        <v>16784542</v>
      </c>
      <c r="AY228">
        <v>1</v>
      </c>
      <c r="AZ228">
        <v>0</v>
      </c>
      <c r="BA228">
        <v>234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Y228*Source!I85</f>
        <v>0.1603125</v>
      </c>
      <c r="CY228">
        <f>AB228</f>
        <v>191</v>
      </c>
      <c r="CZ228">
        <f>AF228</f>
        <v>31.26</v>
      </c>
      <c r="DA228">
        <f>AJ228</f>
        <v>6.11</v>
      </c>
      <c r="DB228">
        <f>ROUND((ROUND(AT228*CZ228,2)*1.25),2)</f>
        <v>10.55</v>
      </c>
      <c r="DC228">
        <f>ROUND((ROUND(AT228*AG228,2)*1.25),2)</f>
        <v>4.5599999999999996</v>
      </c>
    </row>
    <row r="229" spans="1:107" x14ac:dyDescent="0.2">
      <c r="A229">
        <f>ROW(Source!A85)</f>
        <v>85</v>
      </c>
      <c r="B229">
        <v>16784196</v>
      </c>
      <c r="C229">
        <v>16784528</v>
      </c>
      <c r="D229">
        <v>15248143</v>
      </c>
      <c r="E229">
        <v>1</v>
      </c>
      <c r="F229">
        <v>1</v>
      </c>
      <c r="G229">
        <v>1</v>
      </c>
      <c r="H229">
        <v>2</v>
      </c>
      <c r="I229" t="s">
        <v>612</v>
      </c>
      <c r="J229" t="s">
        <v>613</v>
      </c>
      <c r="K229" t="s">
        <v>614</v>
      </c>
      <c r="L229">
        <v>1368</v>
      </c>
      <c r="N229">
        <v>1011</v>
      </c>
      <c r="O229" t="s">
        <v>501</v>
      </c>
      <c r="P229" t="s">
        <v>501</v>
      </c>
      <c r="Q229">
        <v>1</v>
      </c>
      <c r="W229">
        <v>0</v>
      </c>
      <c r="X229">
        <v>983187852</v>
      </c>
      <c r="Y229">
        <v>1.625</v>
      </c>
      <c r="AA229">
        <v>0</v>
      </c>
      <c r="AB229">
        <v>75.7</v>
      </c>
      <c r="AC229">
        <v>10.06</v>
      </c>
      <c r="AD229">
        <v>0</v>
      </c>
      <c r="AE229">
        <v>0</v>
      </c>
      <c r="AF229">
        <v>12.39</v>
      </c>
      <c r="AG229">
        <v>10.06</v>
      </c>
      <c r="AH229">
        <v>0</v>
      </c>
      <c r="AI229">
        <v>1</v>
      </c>
      <c r="AJ229">
        <v>6.11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1.3</v>
      </c>
      <c r="AU229" t="s">
        <v>27</v>
      </c>
      <c r="AV229">
        <v>0</v>
      </c>
      <c r="AW229">
        <v>2</v>
      </c>
      <c r="AX229">
        <v>16784543</v>
      </c>
      <c r="AY229">
        <v>1</v>
      </c>
      <c r="AZ229">
        <v>0</v>
      </c>
      <c r="BA229">
        <v>235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Y229*Source!I85</f>
        <v>0.77187499999999998</v>
      </c>
      <c r="CY229">
        <f>AB229</f>
        <v>75.7</v>
      </c>
      <c r="CZ229">
        <f>AF229</f>
        <v>12.39</v>
      </c>
      <c r="DA229">
        <f>AJ229</f>
        <v>6.11</v>
      </c>
      <c r="DB229">
        <f>ROUND((ROUND(AT229*CZ229,2)*1.25),2)</f>
        <v>20.14</v>
      </c>
      <c r="DC229">
        <f>ROUND((ROUND(AT229*AG229,2)*1.25),2)</f>
        <v>16.350000000000001</v>
      </c>
    </row>
    <row r="230" spans="1:107" x14ac:dyDescent="0.2">
      <c r="A230">
        <f>ROW(Source!A85)</f>
        <v>85</v>
      </c>
      <c r="B230">
        <v>16784196</v>
      </c>
      <c r="C230">
        <v>16784528</v>
      </c>
      <c r="D230">
        <v>15167286</v>
      </c>
      <c r="E230">
        <v>1</v>
      </c>
      <c r="F230">
        <v>1</v>
      </c>
      <c r="G230">
        <v>1</v>
      </c>
      <c r="H230">
        <v>3</v>
      </c>
      <c r="I230" t="s">
        <v>597</v>
      </c>
      <c r="J230" t="s">
        <v>598</v>
      </c>
      <c r="K230" t="s">
        <v>599</v>
      </c>
      <c r="L230">
        <v>1339</v>
      </c>
      <c r="N230">
        <v>1007</v>
      </c>
      <c r="O230" t="s">
        <v>128</v>
      </c>
      <c r="P230" t="s">
        <v>128</v>
      </c>
      <c r="Q230">
        <v>1</v>
      </c>
      <c r="W230">
        <v>0</v>
      </c>
      <c r="X230">
        <v>-1660354250</v>
      </c>
      <c r="Y230">
        <v>0.93</v>
      </c>
      <c r="AA230">
        <v>14.91</v>
      </c>
      <c r="AB230">
        <v>0</v>
      </c>
      <c r="AC230">
        <v>0</v>
      </c>
      <c r="AD230">
        <v>0</v>
      </c>
      <c r="AE230">
        <v>2.44</v>
      </c>
      <c r="AF230">
        <v>0</v>
      </c>
      <c r="AG230">
        <v>0</v>
      </c>
      <c r="AH230">
        <v>0</v>
      </c>
      <c r="AI230">
        <v>6.11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0.93</v>
      </c>
      <c r="AU230" t="s">
        <v>6</v>
      </c>
      <c r="AV230">
        <v>0</v>
      </c>
      <c r="AW230">
        <v>2</v>
      </c>
      <c r="AX230">
        <v>16784544</v>
      </c>
      <c r="AY230">
        <v>1</v>
      </c>
      <c r="AZ230">
        <v>0</v>
      </c>
      <c r="BA230">
        <v>236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Y230*Source!I85</f>
        <v>0.44174999999999998</v>
      </c>
      <c r="CY230">
        <f>AA230</f>
        <v>14.91</v>
      </c>
      <c r="CZ230">
        <f>AE230</f>
        <v>2.44</v>
      </c>
      <c r="DA230">
        <f>AI230</f>
        <v>6.11</v>
      </c>
      <c r="DB230">
        <f t="shared" ref="DB230:DB261" si="38">ROUND(ROUND(AT230*CZ230,2),2)</f>
        <v>2.27</v>
      </c>
      <c r="DC230">
        <f t="shared" ref="DC230:DC261" si="39">ROUND(ROUND(AT230*AG230,2),2)</f>
        <v>0</v>
      </c>
    </row>
    <row r="231" spans="1:107" x14ac:dyDescent="0.2">
      <c r="A231">
        <f>ROW(Source!A85)</f>
        <v>85</v>
      </c>
      <c r="B231">
        <v>16784196</v>
      </c>
      <c r="C231">
        <v>16784528</v>
      </c>
      <c r="D231">
        <v>15171018</v>
      </c>
      <c r="E231">
        <v>1</v>
      </c>
      <c r="F231">
        <v>1</v>
      </c>
      <c r="G231">
        <v>1</v>
      </c>
      <c r="H231">
        <v>3</v>
      </c>
      <c r="I231" t="s">
        <v>531</v>
      </c>
      <c r="J231" t="s">
        <v>532</v>
      </c>
      <c r="K231" t="s">
        <v>533</v>
      </c>
      <c r="L231">
        <v>1346</v>
      </c>
      <c r="N231">
        <v>1009</v>
      </c>
      <c r="O231" t="s">
        <v>60</v>
      </c>
      <c r="P231" t="s">
        <v>60</v>
      </c>
      <c r="Q231">
        <v>1</v>
      </c>
      <c r="W231">
        <v>0</v>
      </c>
      <c r="X231">
        <v>813963326</v>
      </c>
      <c r="Y231">
        <v>0.5</v>
      </c>
      <c r="AA231">
        <v>11.12</v>
      </c>
      <c r="AB231">
        <v>0</v>
      </c>
      <c r="AC231">
        <v>0</v>
      </c>
      <c r="AD231">
        <v>0</v>
      </c>
      <c r="AE231">
        <v>1.82</v>
      </c>
      <c r="AF231">
        <v>0</v>
      </c>
      <c r="AG231">
        <v>0</v>
      </c>
      <c r="AH231">
        <v>0</v>
      </c>
      <c r="AI231">
        <v>6.11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0.5</v>
      </c>
      <c r="AU231" t="s">
        <v>6</v>
      </c>
      <c r="AV231">
        <v>0</v>
      </c>
      <c r="AW231">
        <v>2</v>
      </c>
      <c r="AX231">
        <v>16784545</v>
      </c>
      <c r="AY231">
        <v>1</v>
      </c>
      <c r="AZ231">
        <v>0</v>
      </c>
      <c r="BA231">
        <v>237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Y231*Source!I85</f>
        <v>0.23749999999999999</v>
      </c>
      <c r="CY231">
        <f>AA231</f>
        <v>11.12</v>
      </c>
      <c r="CZ231">
        <f>AE231</f>
        <v>1.82</v>
      </c>
      <c r="DA231">
        <f>AI231</f>
        <v>6.11</v>
      </c>
      <c r="DB231">
        <f t="shared" si="38"/>
        <v>0.91</v>
      </c>
      <c r="DC231">
        <f t="shared" si="39"/>
        <v>0</v>
      </c>
    </row>
    <row r="232" spans="1:107" x14ac:dyDescent="0.2">
      <c r="A232">
        <f>ROW(Source!A85)</f>
        <v>85</v>
      </c>
      <c r="B232">
        <v>16784196</v>
      </c>
      <c r="C232">
        <v>16784528</v>
      </c>
      <c r="D232">
        <v>15173093</v>
      </c>
      <c r="E232">
        <v>1</v>
      </c>
      <c r="F232">
        <v>1</v>
      </c>
      <c r="G232">
        <v>1</v>
      </c>
      <c r="H232">
        <v>3</v>
      </c>
      <c r="I232" t="s">
        <v>172</v>
      </c>
      <c r="J232" t="s">
        <v>174</v>
      </c>
      <c r="K232" t="s">
        <v>173</v>
      </c>
      <c r="L232">
        <v>1348</v>
      </c>
      <c r="N232">
        <v>1009</v>
      </c>
      <c r="O232" t="s">
        <v>65</v>
      </c>
      <c r="P232" t="s">
        <v>65</v>
      </c>
      <c r="Q232">
        <v>1000</v>
      </c>
      <c r="W232">
        <v>0</v>
      </c>
      <c r="X232">
        <v>-195795605</v>
      </c>
      <c r="Y232">
        <v>0.05</v>
      </c>
      <c r="AA232">
        <v>54990</v>
      </c>
      <c r="AB232">
        <v>0</v>
      </c>
      <c r="AC232">
        <v>0</v>
      </c>
      <c r="AD232">
        <v>0</v>
      </c>
      <c r="AE232">
        <v>9000</v>
      </c>
      <c r="AF232">
        <v>0</v>
      </c>
      <c r="AG232">
        <v>0</v>
      </c>
      <c r="AH232">
        <v>0</v>
      </c>
      <c r="AI232">
        <v>6.11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6</v>
      </c>
      <c r="AT232">
        <v>0.05</v>
      </c>
      <c r="AU232" t="s">
        <v>6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6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Y232*Source!I85</f>
        <v>2.375E-2</v>
      </c>
      <c r="CY232">
        <f>AA232</f>
        <v>54990</v>
      </c>
      <c r="CZ232">
        <f>AE232</f>
        <v>9000</v>
      </c>
      <c r="DA232">
        <f>AI232</f>
        <v>6.11</v>
      </c>
      <c r="DB232">
        <f t="shared" si="38"/>
        <v>450</v>
      </c>
      <c r="DC232">
        <f t="shared" si="39"/>
        <v>0</v>
      </c>
    </row>
    <row r="233" spans="1:107" x14ac:dyDescent="0.2">
      <c r="A233">
        <f>ROW(Source!A85)</f>
        <v>85</v>
      </c>
      <c r="B233">
        <v>16784196</v>
      </c>
      <c r="C233">
        <v>16784528</v>
      </c>
      <c r="D233">
        <v>15187005</v>
      </c>
      <c r="E233">
        <v>1</v>
      </c>
      <c r="F233">
        <v>1</v>
      </c>
      <c r="G233">
        <v>1</v>
      </c>
      <c r="H233">
        <v>3</v>
      </c>
      <c r="I233" t="s">
        <v>176</v>
      </c>
      <c r="J233" t="s">
        <v>178</v>
      </c>
      <c r="K233" t="s">
        <v>177</v>
      </c>
      <c r="L233">
        <v>1327</v>
      </c>
      <c r="N233">
        <v>1005</v>
      </c>
      <c r="O233" t="s">
        <v>35</v>
      </c>
      <c r="P233" t="s">
        <v>35</v>
      </c>
      <c r="Q233">
        <v>1</v>
      </c>
      <c r="W233">
        <v>0</v>
      </c>
      <c r="X233">
        <v>797365537</v>
      </c>
      <c r="Y233">
        <v>100</v>
      </c>
      <c r="AA233">
        <v>523.69000000000005</v>
      </c>
      <c r="AB233">
        <v>0</v>
      </c>
      <c r="AC233">
        <v>0</v>
      </c>
      <c r="AD233">
        <v>0</v>
      </c>
      <c r="AE233">
        <v>85.71</v>
      </c>
      <c r="AF233">
        <v>0</v>
      </c>
      <c r="AG233">
        <v>0</v>
      </c>
      <c r="AH233">
        <v>0</v>
      </c>
      <c r="AI233">
        <v>6.11</v>
      </c>
      <c r="AJ233">
        <v>1</v>
      </c>
      <c r="AK233">
        <v>1</v>
      </c>
      <c r="AL233">
        <v>1</v>
      </c>
      <c r="AN233">
        <v>0</v>
      </c>
      <c r="AO233">
        <v>0</v>
      </c>
      <c r="AP233">
        <v>0</v>
      </c>
      <c r="AQ233">
        <v>0</v>
      </c>
      <c r="AR233">
        <v>0</v>
      </c>
      <c r="AS233" t="s">
        <v>6</v>
      </c>
      <c r="AT233">
        <v>100</v>
      </c>
      <c r="AU233" t="s">
        <v>6</v>
      </c>
      <c r="AV233">
        <v>0</v>
      </c>
      <c r="AW233">
        <v>1</v>
      </c>
      <c r="AX233">
        <v>-1</v>
      </c>
      <c r="AY233">
        <v>0</v>
      </c>
      <c r="AZ233">
        <v>0</v>
      </c>
      <c r="BA233" t="s">
        <v>6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Y233*Source!I85</f>
        <v>47.5</v>
      </c>
      <c r="CY233">
        <f>AA233</f>
        <v>523.69000000000005</v>
      </c>
      <c r="CZ233">
        <f>AE233</f>
        <v>85.71</v>
      </c>
      <c r="DA233">
        <f>AI233</f>
        <v>6.11</v>
      </c>
      <c r="DB233">
        <f t="shared" si="38"/>
        <v>8571</v>
      </c>
      <c r="DC233">
        <f t="shared" si="39"/>
        <v>0</v>
      </c>
    </row>
    <row r="234" spans="1:107" x14ac:dyDescent="0.2">
      <c r="A234">
        <f>ROW(Source!A85)</f>
        <v>85</v>
      </c>
      <c r="B234">
        <v>16784196</v>
      </c>
      <c r="C234">
        <v>16784528</v>
      </c>
      <c r="D234">
        <v>15202555</v>
      </c>
      <c r="E234">
        <v>1</v>
      </c>
      <c r="F234">
        <v>1</v>
      </c>
      <c r="G234">
        <v>1</v>
      </c>
      <c r="H234">
        <v>3</v>
      </c>
      <c r="I234" t="s">
        <v>180</v>
      </c>
      <c r="J234" t="s">
        <v>182</v>
      </c>
      <c r="K234" t="s">
        <v>181</v>
      </c>
      <c r="L234">
        <v>1348</v>
      </c>
      <c r="N234">
        <v>1009</v>
      </c>
      <c r="O234" t="s">
        <v>65</v>
      </c>
      <c r="P234" t="s">
        <v>65</v>
      </c>
      <c r="Q234">
        <v>1000</v>
      </c>
      <c r="W234">
        <v>0</v>
      </c>
      <c r="X234">
        <v>824424713</v>
      </c>
      <c r="Y234">
        <v>0.375</v>
      </c>
      <c r="AA234">
        <v>17837.72</v>
      </c>
      <c r="AB234">
        <v>0</v>
      </c>
      <c r="AC234">
        <v>0</v>
      </c>
      <c r="AD234">
        <v>0</v>
      </c>
      <c r="AE234">
        <v>2919.43</v>
      </c>
      <c r="AF234">
        <v>0</v>
      </c>
      <c r="AG234">
        <v>0</v>
      </c>
      <c r="AH234">
        <v>0</v>
      </c>
      <c r="AI234">
        <v>6.11</v>
      </c>
      <c r="AJ234">
        <v>1</v>
      </c>
      <c r="AK234">
        <v>1</v>
      </c>
      <c r="AL234">
        <v>1</v>
      </c>
      <c r="AN234">
        <v>0</v>
      </c>
      <c r="AO234">
        <v>0</v>
      </c>
      <c r="AP234">
        <v>0</v>
      </c>
      <c r="AQ234">
        <v>0</v>
      </c>
      <c r="AR234">
        <v>0</v>
      </c>
      <c r="AS234" t="s">
        <v>6</v>
      </c>
      <c r="AT234">
        <v>0.375</v>
      </c>
      <c r="AU234" t="s">
        <v>6</v>
      </c>
      <c r="AV234">
        <v>0</v>
      </c>
      <c r="AW234">
        <v>1</v>
      </c>
      <c r="AX234">
        <v>-1</v>
      </c>
      <c r="AY234">
        <v>0</v>
      </c>
      <c r="AZ234">
        <v>0</v>
      </c>
      <c r="BA234" t="s">
        <v>6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Y234*Source!I85</f>
        <v>0.17812499999999998</v>
      </c>
      <c r="CY234">
        <f>AA234</f>
        <v>17837.72</v>
      </c>
      <c r="CZ234">
        <f>AE234</f>
        <v>2919.43</v>
      </c>
      <c r="DA234">
        <f>AI234</f>
        <v>6.11</v>
      </c>
      <c r="DB234">
        <f t="shared" si="38"/>
        <v>1094.79</v>
      </c>
      <c r="DC234">
        <f t="shared" si="39"/>
        <v>0</v>
      </c>
    </row>
    <row r="235" spans="1:107" x14ac:dyDescent="0.2">
      <c r="A235">
        <f>ROW(Source!A92)</f>
        <v>92</v>
      </c>
      <c r="B235">
        <v>16784195</v>
      </c>
      <c r="C235">
        <v>16784552</v>
      </c>
      <c r="D235">
        <v>15430497</v>
      </c>
      <c r="E235">
        <v>1</v>
      </c>
      <c r="F235">
        <v>1</v>
      </c>
      <c r="G235">
        <v>1</v>
      </c>
      <c r="H235">
        <v>1</v>
      </c>
      <c r="I235" t="s">
        <v>634</v>
      </c>
      <c r="J235" t="s">
        <v>6</v>
      </c>
      <c r="K235" t="s">
        <v>635</v>
      </c>
      <c r="L235">
        <v>1191</v>
      </c>
      <c r="N235">
        <v>1013</v>
      </c>
      <c r="O235" t="s">
        <v>495</v>
      </c>
      <c r="P235" t="s">
        <v>495</v>
      </c>
      <c r="Q235">
        <v>1</v>
      </c>
      <c r="W235">
        <v>0</v>
      </c>
      <c r="X235">
        <v>-719309759</v>
      </c>
      <c r="Y235">
        <v>146.07</v>
      </c>
      <c r="AA235">
        <v>0</v>
      </c>
      <c r="AB235">
        <v>0</v>
      </c>
      <c r="AC235">
        <v>0</v>
      </c>
      <c r="AD235">
        <v>8.86</v>
      </c>
      <c r="AE235">
        <v>0</v>
      </c>
      <c r="AF235">
        <v>0</v>
      </c>
      <c r="AG235">
        <v>0</v>
      </c>
      <c r="AH235">
        <v>8.86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146.07</v>
      </c>
      <c r="AU235" t="s">
        <v>6</v>
      </c>
      <c r="AV235">
        <v>1</v>
      </c>
      <c r="AW235">
        <v>2</v>
      </c>
      <c r="AX235">
        <v>16784558</v>
      </c>
      <c r="AY235">
        <v>1</v>
      </c>
      <c r="AZ235">
        <v>0</v>
      </c>
      <c r="BA235">
        <v>241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Y235*Source!I92</f>
        <v>21.326219999999999</v>
      </c>
      <c r="CY235">
        <f>AD235</f>
        <v>8.86</v>
      </c>
      <c r="CZ235">
        <f>AH235</f>
        <v>8.86</v>
      </c>
      <c r="DA235">
        <f>AL235</f>
        <v>1</v>
      </c>
      <c r="DB235">
        <f t="shared" si="38"/>
        <v>1294.18</v>
      </c>
      <c r="DC235">
        <f t="shared" si="39"/>
        <v>0</v>
      </c>
    </row>
    <row r="236" spans="1:107" x14ac:dyDescent="0.2">
      <c r="A236">
        <f>ROW(Source!A92)</f>
        <v>92</v>
      </c>
      <c r="B236">
        <v>16784195</v>
      </c>
      <c r="C236">
        <v>16784552</v>
      </c>
      <c r="D236">
        <v>15430395</v>
      </c>
      <c r="E236">
        <v>1</v>
      </c>
      <c r="F236">
        <v>1</v>
      </c>
      <c r="G236">
        <v>1</v>
      </c>
      <c r="H236">
        <v>1</v>
      </c>
      <c r="I236" t="s">
        <v>496</v>
      </c>
      <c r="J236" t="s">
        <v>6</v>
      </c>
      <c r="K236" t="s">
        <v>497</v>
      </c>
      <c r="L236">
        <v>1191</v>
      </c>
      <c r="N236">
        <v>1013</v>
      </c>
      <c r="O236" t="s">
        <v>495</v>
      </c>
      <c r="P236" t="s">
        <v>495</v>
      </c>
      <c r="Q236">
        <v>1</v>
      </c>
      <c r="W236">
        <v>0</v>
      </c>
      <c r="X236">
        <v>-1417349443</v>
      </c>
      <c r="Y236">
        <v>0.67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0.67</v>
      </c>
      <c r="AU236" t="s">
        <v>6</v>
      </c>
      <c r="AV236">
        <v>2</v>
      </c>
      <c r="AW236">
        <v>2</v>
      </c>
      <c r="AX236">
        <v>16784559</v>
      </c>
      <c r="AY236">
        <v>1</v>
      </c>
      <c r="AZ236">
        <v>0</v>
      </c>
      <c r="BA236">
        <v>242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Y236*Source!I92</f>
        <v>9.7820000000000004E-2</v>
      </c>
      <c r="CY236">
        <f>AD236</f>
        <v>0</v>
      </c>
      <c r="CZ236">
        <f>AH236</f>
        <v>0</v>
      </c>
      <c r="DA236">
        <f>AL236</f>
        <v>1</v>
      </c>
      <c r="DB236">
        <f t="shared" si="38"/>
        <v>0</v>
      </c>
      <c r="DC236">
        <f t="shared" si="39"/>
        <v>0</v>
      </c>
    </row>
    <row r="237" spans="1:107" x14ac:dyDescent="0.2">
      <c r="A237">
        <f>ROW(Source!A92)</f>
        <v>92</v>
      </c>
      <c r="B237">
        <v>16784195</v>
      </c>
      <c r="C237">
        <v>16784552</v>
      </c>
      <c r="D237">
        <v>15247974</v>
      </c>
      <c r="E237">
        <v>1</v>
      </c>
      <c r="F237">
        <v>1</v>
      </c>
      <c r="G237">
        <v>1</v>
      </c>
      <c r="H237">
        <v>2</v>
      </c>
      <c r="I237" t="s">
        <v>498</v>
      </c>
      <c r="J237" t="s">
        <v>499</v>
      </c>
      <c r="K237" t="s">
        <v>500</v>
      </c>
      <c r="L237">
        <v>1368</v>
      </c>
      <c r="N237">
        <v>1011</v>
      </c>
      <c r="O237" t="s">
        <v>501</v>
      </c>
      <c r="P237" t="s">
        <v>501</v>
      </c>
      <c r="Q237">
        <v>1</v>
      </c>
      <c r="W237">
        <v>0</v>
      </c>
      <c r="X237">
        <v>1188625873</v>
      </c>
      <c r="Y237">
        <v>0.67</v>
      </c>
      <c r="AA237">
        <v>0</v>
      </c>
      <c r="AB237">
        <v>31.26</v>
      </c>
      <c r="AC237">
        <v>13.5</v>
      </c>
      <c r="AD237">
        <v>0</v>
      </c>
      <c r="AE237">
        <v>0</v>
      </c>
      <c r="AF237">
        <v>31.26</v>
      </c>
      <c r="AG237">
        <v>13.5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0.67</v>
      </c>
      <c r="AU237" t="s">
        <v>6</v>
      </c>
      <c r="AV237">
        <v>0</v>
      </c>
      <c r="AW237">
        <v>2</v>
      </c>
      <c r="AX237">
        <v>16784560</v>
      </c>
      <c r="AY237">
        <v>1</v>
      </c>
      <c r="AZ237">
        <v>0</v>
      </c>
      <c r="BA237">
        <v>243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Y237*Source!I92</f>
        <v>9.7820000000000004E-2</v>
      </c>
      <c r="CY237">
        <f>AB237</f>
        <v>31.26</v>
      </c>
      <c r="CZ237">
        <f>AF237</f>
        <v>31.26</v>
      </c>
      <c r="DA237">
        <f>AJ237</f>
        <v>1</v>
      </c>
      <c r="DB237">
        <f t="shared" si="38"/>
        <v>20.94</v>
      </c>
      <c r="DC237">
        <f t="shared" si="39"/>
        <v>9.0500000000000007</v>
      </c>
    </row>
    <row r="238" spans="1:107" x14ac:dyDescent="0.2">
      <c r="A238">
        <f>ROW(Source!A92)</f>
        <v>92</v>
      </c>
      <c r="B238">
        <v>16784195</v>
      </c>
      <c r="C238">
        <v>16784552</v>
      </c>
      <c r="D238">
        <v>15167286</v>
      </c>
      <c r="E238">
        <v>1</v>
      </c>
      <c r="F238">
        <v>1</v>
      </c>
      <c r="G238">
        <v>1</v>
      </c>
      <c r="H238">
        <v>3</v>
      </c>
      <c r="I238" t="s">
        <v>597</v>
      </c>
      <c r="J238" t="s">
        <v>598</v>
      </c>
      <c r="K238" t="s">
        <v>599</v>
      </c>
      <c r="L238">
        <v>1339</v>
      </c>
      <c r="N238">
        <v>1007</v>
      </c>
      <c r="O238" t="s">
        <v>128</v>
      </c>
      <c r="P238" t="s">
        <v>128</v>
      </c>
      <c r="Q238">
        <v>1</v>
      </c>
      <c r="W238">
        <v>0</v>
      </c>
      <c r="X238">
        <v>-1660354250</v>
      </c>
      <c r="Y238">
        <v>0.35</v>
      </c>
      <c r="AA238">
        <v>2.44</v>
      </c>
      <c r="AB238">
        <v>0</v>
      </c>
      <c r="AC238">
        <v>0</v>
      </c>
      <c r="AD238">
        <v>0</v>
      </c>
      <c r="AE238">
        <v>2.44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6</v>
      </c>
      <c r="AT238">
        <v>0.35</v>
      </c>
      <c r="AU238" t="s">
        <v>6</v>
      </c>
      <c r="AV238">
        <v>0</v>
      </c>
      <c r="AW238">
        <v>2</v>
      </c>
      <c r="AX238">
        <v>16784561</v>
      </c>
      <c r="AY238">
        <v>1</v>
      </c>
      <c r="AZ238">
        <v>0</v>
      </c>
      <c r="BA238">
        <v>244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Y238*Source!I92</f>
        <v>5.1099999999999993E-2</v>
      </c>
      <c r="CY238">
        <f>AA238</f>
        <v>2.44</v>
      </c>
      <c r="CZ238">
        <f>AE238</f>
        <v>2.44</v>
      </c>
      <c r="DA238">
        <f>AI238</f>
        <v>1</v>
      </c>
      <c r="DB238">
        <f t="shared" si="38"/>
        <v>0.85</v>
      </c>
      <c r="DC238">
        <f t="shared" si="39"/>
        <v>0</v>
      </c>
    </row>
    <row r="239" spans="1:107" x14ac:dyDescent="0.2">
      <c r="A239">
        <f>ROW(Source!A92)</f>
        <v>92</v>
      </c>
      <c r="B239">
        <v>16784195</v>
      </c>
      <c r="C239">
        <v>16784552</v>
      </c>
      <c r="D239">
        <v>15172819</v>
      </c>
      <c r="E239">
        <v>1</v>
      </c>
      <c r="F239">
        <v>1</v>
      </c>
      <c r="G239">
        <v>1</v>
      </c>
      <c r="H239">
        <v>3</v>
      </c>
      <c r="I239" t="s">
        <v>636</v>
      </c>
      <c r="J239" t="s">
        <v>637</v>
      </c>
      <c r="K239" t="s">
        <v>638</v>
      </c>
      <c r="L239">
        <v>1339</v>
      </c>
      <c r="N239">
        <v>1007</v>
      </c>
      <c r="O239" t="s">
        <v>128</v>
      </c>
      <c r="P239" t="s">
        <v>128</v>
      </c>
      <c r="Q239">
        <v>1</v>
      </c>
      <c r="W239">
        <v>0</v>
      </c>
      <c r="X239">
        <v>-1813551736</v>
      </c>
      <c r="Y239">
        <v>2.2000000000000002</v>
      </c>
      <c r="AA239">
        <v>510.4</v>
      </c>
      <c r="AB239">
        <v>0</v>
      </c>
      <c r="AC239">
        <v>0</v>
      </c>
      <c r="AD239">
        <v>0</v>
      </c>
      <c r="AE239">
        <v>510.4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2.2000000000000002</v>
      </c>
      <c r="AU239" t="s">
        <v>6</v>
      </c>
      <c r="AV239">
        <v>0</v>
      </c>
      <c r="AW239">
        <v>2</v>
      </c>
      <c r="AX239">
        <v>16784563</v>
      </c>
      <c r="AY239">
        <v>1</v>
      </c>
      <c r="AZ239">
        <v>0</v>
      </c>
      <c r="BA239">
        <v>246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Y239*Source!I92</f>
        <v>0.32119999999999999</v>
      </c>
      <c r="CY239">
        <f>AA239</f>
        <v>510.4</v>
      </c>
      <c r="CZ239">
        <f>AE239</f>
        <v>510.4</v>
      </c>
      <c r="DA239">
        <f>AI239</f>
        <v>1</v>
      </c>
      <c r="DB239">
        <f t="shared" si="38"/>
        <v>1122.8800000000001</v>
      </c>
      <c r="DC239">
        <f t="shared" si="39"/>
        <v>0</v>
      </c>
    </row>
    <row r="240" spans="1:107" x14ac:dyDescent="0.2">
      <c r="A240">
        <f>ROW(Source!A93)</f>
        <v>93</v>
      </c>
      <c r="B240">
        <v>16784196</v>
      </c>
      <c r="C240">
        <v>16784552</v>
      </c>
      <c r="D240">
        <v>15430497</v>
      </c>
      <c r="E240">
        <v>1</v>
      </c>
      <c r="F240">
        <v>1</v>
      </c>
      <c r="G240">
        <v>1</v>
      </c>
      <c r="H240">
        <v>1</v>
      </c>
      <c r="I240" t="s">
        <v>634</v>
      </c>
      <c r="J240" t="s">
        <v>6</v>
      </c>
      <c r="K240" t="s">
        <v>635</v>
      </c>
      <c r="L240">
        <v>1191</v>
      </c>
      <c r="N240">
        <v>1013</v>
      </c>
      <c r="O240" t="s">
        <v>495</v>
      </c>
      <c r="P240" t="s">
        <v>495</v>
      </c>
      <c r="Q240">
        <v>1</v>
      </c>
      <c r="W240">
        <v>0</v>
      </c>
      <c r="X240">
        <v>-719309759</v>
      </c>
      <c r="Y240">
        <v>146.07</v>
      </c>
      <c r="AA240">
        <v>0</v>
      </c>
      <c r="AB240">
        <v>0</v>
      </c>
      <c r="AC240">
        <v>0</v>
      </c>
      <c r="AD240">
        <v>54.13</v>
      </c>
      <c r="AE240">
        <v>0</v>
      </c>
      <c r="AF240">
        <v>0</v>
      </c>
      <c r="AG240">
        <v>0</v>
      </c>
      <c r="AH240">
        <v>8.86</v>
      </c>
      <c r="AI240">
        <v>1</v>
      </c>
      <c r="AJ240">
        <v>1</v>
      </c>
      <c r="AK240">
        <v>1</v>
      </c>
      <c r="AL240">
        <v>6.11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146.07</v>
      </c>
      <c r="AU240" t="s">
        <v>6</v>
      </c>
      <c r="AV240">
        <v>1</v>
      </c>
      <c r="AW240">
        <v>2</v>
      </c>
      <c r="AX240">
        <v>16784558</v>
      </c>
      <c r="AY240">
        <v>1</v>
      </c>
      <c r="AZ240">
        <v>0</v>
      </c>
      <c r="BA240">
        <v>247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Y240*Source!I93</f>
        <v>21.326219999999999</v>
      </c>
      <c r="CY240">
        <f>AD240</f>
        <v>54.13</v>
      </c>
      <c r="CZ240">
        <f>AH240</f>
        <v>8.86</v>
      </c>
      <c r="DA240">
        <f>AL240</f>
        <v>6.11</v>
      </c>
      <c r="DB240">
        <f t="shared" si="38"/>
        <v>1294.18</v>
      </c>
      <c r="DC240">
        <f t="shared" si="39"/>
        <v>0</v>
      </c>
    </row>
    <row r="241" spans="1:107" x14ac:dyDescent="0.2">
      <c r="A241">
        <f>ROW(Source!A93)</f>
        <v>93</v>
      </c>
      <c r="B241">
        <v>16784196</v>
      </c>
      <c r="C241">
        <v>16784552</v>
      </c>
      <c r="D241">
        <v>15430395</v>
      </c>
      <c r="E241">
        <v>1</v>
      </c>
      <c r="F241">
        <v>1</v>
      </c>
      <c r="G241">
        <v>1</v>
      </c>
      <c r="H241">
        <v>1</v>
      </c>
      <c r="I241" t="s">
        <v>496</v>
      </c>
      <c r="J241" t="s">
        <v>6</v>
      </c>
      <c r="K241" t="s">
        <v>497</v>
      </c>
      <c r="L241">
        <v>1191</v>
      </c>
      <c r="N241">
        <v>1013</v>
      </c>
      <c r="O241" t="s">
        <v>495</v>
      </c>
      <c r="P241" t="s">
        <v>495</v>
      </c>
      <c r="Q241">
        <v>1</v>
      </c>
      <c r="W241">
        <v>0</v>
      </c>
      <c r="X241">
        <v>-1417349443</v>
      </c>
      <c r="Y241">
        <v>0.67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1</v>
      </c>
      <c r="AJ241">
        <v>1</v>
      </c>
      <c r="AK241">
        <v>6.11</v>
      </c>
      <c r="AL241">
        <v>1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6</v>
      </c>
      <c r="AT241">
        <v>0.67</v>
      </c>
      <c r="AU241" t="s">
        <v>6</v>
      </c>
      <c r="AV241">
        <v>2</v>
      </c>
      <c r="AW241">
        <v>2</v>
      </c>
      <c r="AX241">
        <v>16784559</v>
      </c>
      <c r="AY241">
        <v>1</v>
      </c>
      <c r="AZ241">
        <v>0</v>
      </c>
      <c r="BA241">
        <v>248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Y241*Source!I93</f>
        <v>9.7820000000000004E-2</v>
      </c>
      <c r="CY241">
        <f>AD241</f>
        <v>0</v>
      </c>
      <c r="CZ241">
        <f>AH241</f>
        <v>0</v>
      </c>
      <c r="DA241">
        <f>AL241</f>
        <v>1</v>
      </c>
      <c r="DB241">
        <f t="shared" si="38"/>
        <v>0</v>
      </c>
      <c r="DC241">
        <f t="shared" si="39"/>
        <v>0</v>
      </c>
    </row>
    <row r="242" spans="1:107" x14ac:dyDescent="0.2">
      <c r="A242">
        <f>ROW(Source!A93)</f>
        <v>93</v>
      </c>
      <c r="B242">
        <v>16784196</v>
      </c>
      <c r="C242">
        <v>16784552</v>
      </c>
      <c r="D242">
        <v>15247974</v>
      </c>
      <c r="E242">
        <v>1</v>
      </c>
      <c r="F242">
        <v>1</v>
      </c>
      <c r="G242">
        <v>1</v>
      </c>
      <c r="H242">
        <v>2</v>
      </c>
      <c r="I242" t="s">
        <v>498</v>
      </c>
      <c r="J242" t="s">
        <v>499</v>
      </c>
      <c r="K242" t="s">
        <v>500</v>
      </c>
      <c r="L242">
        <v>1368</v>
      </c>
      <c r="N242">
        <v>1011</v>
      </c>
      <c r="O242" t="s">
        <v>501</v>
      </c>
      <c r="P242" t="s">
        <v>501</v>
      </c>
      <c r="Q242">
        <v>1</v>
      </c>
      <c r="W242">
        <v>0</v>
      </c>
      <c r="X242">
        <v>1188625873</v>
      </c>
      <c r="Y242">
        <v>0.67</v>
      </c>
      <c r="AA242">
        <v>0</v>
      </c>
      <c r="AB242">
        <v>191</v>
      </c>
      <c r="AC242">
        <v>13.5</v>
      </c>
      <c r="AD242">
        <v>0</v>
      </c>
      <c r="AE242">
        <v>0</v>
      </c>
      <c r="AF242">
        <v>31.26</v>
      </c>
      <c r="AG242">
        <v>13.5</v>
      </c>
      <c r="AH242">
        <v>0</v>
      </c>
      <c r="AI242">
        <v>1</v>
      </c>
      <c r="AJ242">
        <v>6.11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0.67</v>
      </c>
      <c r="AU242" t="s">
        <v>6</v>
      </c>
      <c r="AV242">
        <v>0</v>
      </c>
      <c r="AW242">
        <v>2</v>
      </c>
      <c r="AX242">
        <v>16784560</v>
      </c>
      <c r="AY242">
        <v>1</v>
      </c>
      <c r="AZ242">
        <v>0</v>
      </c>
      <c r="BA242">
        <v>249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Y242*Source!I93</f>
        <v>9.7820000000000004E-2</v>
      </c>
      <c r="CY242">
        <f>AB242</f>
        <v>191</v>
      </c>
      <c r="CZ242">
        <f>AF242</f>
        <v>31.26</v>
      </c>
      <c r="DA242">
        <f>AJ242</f>
        <v>6.11</v>
      </c>
      <c r="DB242">
        <f t="shared" si="38"/>
        <v>20.94</v>
      </c>
      <c r="DC242">
        <f t="shared" si="39"/>
        <v>9.0500000000000007</v>
      </c>
    </row>
    <row r="243" spans="1:107" x14ac:dyDescent="0.2">
      <c r="A243">
        <f>ROW(Source!A93)</f>
        <v>93</v>
      </c>
      <c r="B243">
        <v>16784196</v>
      </c>
      <c r="C243">
        <v>16784552</v>
      </c>
      <c r="D243">
        <v>15167286</v>
      </c>
      <c r="E243">
        <v>1</v>
      </c>
      <c r="F243">
        <v>1</v>
      </c>
      <c r="G243">
        <v>1</v>
      </c>
      <c r="H243">
        <v>3</v>
      </c>
      <c r="I243" t="s">
        <v>597</v>
      </c>
      <c r="J243" t="s">
        <v>598</v>
      </c>
      <c r="K243" t="s">
        <v>599</v>
      </c>
      <c r="L243">
        <v>1339</v>
      </c>
      <c r="N243">
        <v>1007</v>
      </c>
      <c r="O243" t="s">
        <v>128</v>
      </c>
      <c r="P243" t="s">
        <v>128</v>
      </c>
      <c r="Q243">
        <v>1</v>
      </c>
      <c r="W243">
        <v>0</v>
      </c>
      <c r="X243">
        <v>-1660354250</v>
      </c>
      <c r="Y243">
        <v>0.35</v>
      </c>
      <c r="AA243">
        <v>14.91</v>
      </c>
      <c r="AB243">
        <v>0</v>
      </c>
      <c r="AC243">
        <v>0</v>
      </c>
      <c r="AD243">
        <v>0</v>
      </c>
      <c r="AE243">
        <v>2.44</v>
      </c>
      <c r="AF243">
        <v>0</v>
      </c>
      <c r="AG243">
        <v>0</v>
      </c>
      <c r="AH243">
        <v>0</v>
      </c>
      <c r="AI243">
        <v>6.11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6</v>
      </c>
      <c r="AT243">
        <v>0.35</v>
      </c>
      <c r="AU243" t="s">
        <v>6</v>
      </c>
      <c r="AV243">
        <v>0</v>
      </c>
      <c r="AW243">
        <v>2</v>
      </c>
      <c r="AX243">
        <v>16784561</v>
      </c>
      <c r="AY243">
        <v>1</v>
      </c>
      <c r="AZ243">
        <v>0</v>
      </c>
      <c r="BA243">
        <v>250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Y243*Source!I93</f>
        <v>5.1099999999999993E-2</v>
      </c>
      <c r="CY243">
        <f>AA243</f>
        <v>14.91</v>
      </c>
      <c r="CZ243">
        <f>AE243</f>
        <v>2.44</v>
      </c>
      <c r="DA243">
        <f>AI243</f>
        <v>6.11</v>
      </c>
      <c r="DB243">
        <f t="shared" si="38"/>
        <v>0.85</v>
      </c>
      <c r="DC243">
        <f t="shared" si="39"/>
        <v>0</v>
      </c>
    </row>
    <row r="244" spans="1:107" x14ac:dyDescent="0.2">
      <c r="A244">
        <f>ROW(Source!A93)</f>
        <v>93</v>
      </c>
      <c r="B244">
        <v>16784196</v>
      </c>
      <c r="C244">
        <v>16784552</v>
      </c>
      <c r="D244">
        <v>15172819</v>
      </c>
      <c r="E244">
        <v>1</v>
      </c>
      <c r="F244">
        <v>1</v>
      </c>
      <c r="G244">
        <v>1</v>
      </c>
      <c r="H244">
        <v>3</v>
      </c>
      <c r="I244" t="s">
        <v>636</v>
      </c>
      <c r="J244" t="s">
        <v>637</v>
      </c>
      <c r="K244" t="s">
        <v>638</v>
      </c>
      <c r="L244">
        <v>1339</v>
      </c>
      <c r="N244">
        <v>1007</v>
      </c>
      <c r="O244" t="s">
        <v>128</v>
      </c>
      <c r="P244" t="s">
        <v>128</v>
      </c>
      <c r="Q244">
        <v>1</v>
      </c>
      <c r="W244">
        <v>0</v>
      </c>
      <c r="X244">
        <v>-1813551736</v>
      </c>
      <c r="Y244">
        <v>2.2000000000000002</v>
      </c>
      <c r="AA244">
        <v>3118.54</v>
      </c>
      <c r="AB244">
        <v>0</v>
      </c>
      <c r="AC244">
        <v>0</v>
      </c>
      <c r="AD244">
        <v>0</v>
      </c>
      <c r="AE244">
        <v>510.4</v>
      </c>
      <c r="AF244">
        <v>0</v>
      </c>
      <c r="AG244">
        <v>0</v>
      </c>
      <c r="AH244">
        <v>0</v>
      </c>
      <c r="AI244">
        <v>6.11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6</v>
      </c>
      <c r="AT244">
        <v>2.2000000000000002</v>
      </c>
      <c r="AU244" t="s">
        <v>6</v>
      </c>
      <c r="AV244">
        <v>0</v>
      </c>
      <c r="AW244">
        <v>2</v>
      </c>
      <c r="AX244">
        <v>16784563</v>
      </c>
      <c r="AY244">
        <v>1</v>
      </c>
      <c r="AZ244">
        <v>0</v>
      </c>
      <c r="BA244">
        <v>252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Y244*Source!I93</f>
        <v>0.32119999999999999</v>
      </c>
      <c r="CY244">
        <f>AA244</f>
        <v>3118.54</v>
      </c>
      <c r="CZ244">
        <f>AE244</f>
        <v>510.4</v>
      </c>
      <c r="DA244">
        <f>AI244</f>
        <v>6.11</v>
      </c>
      <c r="DB244">
        <f t="shared" si="38"/>
        <v>1122.8800000000001</v>
      </c>
      <c r="DC244">
        <f t="shared" si="39"/>
        <v>0</v>
      </c>
    </row>
    <row r="245" spans="1:107" x14ac:dyDescent="0.2">
      <c r="A245">
        <f>ROW(Source!A94)</f>
        <v>94</v>
      </c>
      <c r="B245">
        <v>16784195</v>
      </c>
      <c r="C245">
        <v>16785082</v>
      </c>
      <c r="D245">
        <v>15435099</v>
      </c>
      <c r="E245">
        <v>1</v>
      </c>
      <c r="F245">
        <v>1</v>
      </c>
      <c r="G245">
        <v>1</v>
      </c>
      <c r="H245">
        <v>1</v>
      </c>
      <c r="I245" t="s">
        <v>639</v>
      </c>
      <c r="J245" t="s">
        <v>6</v>
      </c>
      <c r="K245" t="s">
        <v>640</v>
      </c>
      <c r="L245">
        <v>1191</v>
      </c>
      <c r="N245">
        <v>1013</v>
      </c>
      <c r="O245" t="s">
        <v>495</v>
      </c>
      <c r="P245" t="s">
        <v>495</v>
      </c>
      <c r="Q245">
        <v>1</v>
      </c>
      <c r="W245">
        <v>0</v>
      </c>
      <c r="X245">
        <v>1010519658</v>
      </c>
      <c r="Y245">
        <v>29.6</v>
      </c>
      <c r="AA245">
        <v>0</v>
      </c>
      <c r="AB245">
        <v>0</v>
      </c>
      <c r="AC245">
        <v>0</v>
      </c>
      <c r="AD245">
        <v>8.64</v>
      </c>
      <c r="AE245">
        <v>0</v>
      </c>
      <c r="AF245">
        <v>0</v>
      </c>
      <c r="AG245">
        <v>0</v>
      </c>
      <c r="AH245">
        <v>8.64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6</v>
      </c>
      <c r="AT245">
        <v>29.6</v>
      </c>
      <c r="AU245" t="s">
        <v>6</v>
      </c>
      <c r="AV245">
        <v>1</v>
      </c>
      <c r="AW245">
        <v>2</v>
      </c>
      <c r="AX245">
        <v>16785095</v>
      </c>
      <c r="AY245">
        <v>1</v>
      </c>
      <c r="AZ245">
        <v>0</v>
      </c>
      <c r="BA245">
        <v>253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Y245*Source!I94</f>
        <v>14.296800000000001</v>
      </c>
      <c r="CY245">
        <f>AD245</f>
        <v>8.64</v>
      </c>
      <c r="CZ245">
        <f>AH245</f>
        <v>8.64</v>
      </c>
      <c r="DA245">
        <f>AL245</f>
        <v>1</v>
      </c>
      <c r="DB245">
        <f t="shared" si="38"/>
        <v>255.74</v>
      </c>
      <c r="DC245">
        <f t="shared" si="39"/>
        <v>0</v>
      </c>
    </row>
    <row r="246" spans="1:107" x14ac:dyDescent="0.2">
      <c r="A246">
        <f>ROW(Source!A94)</f>
        <v>94</v>
      </c>
      <c r="B246">
        <v>16784195</v>
      </c>
      <c r="C246">
        <v>16785082</v>
      </c>
      <c r="D246">
        <v>15430395</v>
      </c>
      <c r="E246">
        <v>1</v>
      </c>
      <c r="F246">
        <v>1</v>
      </c>
      <c r="G246">
        <v>1</v>
      </c>
      <c r="H246">
        <v>1</v>
      </c>
      <c r="I246" t="s">
        <v>496</v>
      </c>
      <c r="J246" t="s">
        <v>6</v>
      </c>
      <c r="K246" t="s">
        <v>497</v>
      </c>
      <c r="L246">
        <v>1191</v>
      </c>
      <c r="N246">
        <v>1013</v>
      </c>
      <c r="O246" t="s">
        <v>495</v>
      </c>
      <c r="P246" t="s">
        <v>495</v>
      </c>
      <c r="Q246">
        <v>1</v>
      </c>
      <c r="W246">
        <v>0</v>
      </c>
      <c r="X246">
        <v>-1417349443</v>
      </c>
      <c r="Y246">
        <v>0.16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0</v>
      </c>
      <c r="AQ246">
        <v>0</v>
      </c>
      <c r="AR246">
        <v>0</v>
      </c>
      <c r="AS246" t="s">
        <v>6</v>
      </c>
      <c r="AT246">
        <v>0.16</v>
      </c>
      <c r="AU246" t="s">
        <v>6</v>
      </c>
      <c r="AV246">
        <v>2</v>
      </c>
      <c r="AW246">
        <v>2</v>
      </c>
      <c r="AX246">
        <v>16785096</v>
      </c>
      <c r="AY246">
        <v>1</v>
      </c>
      <c r="AZ246">
        <v>0</v>
      </c>
      <c r="BA246">
        <v>254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Y246*Source!I94</f>
        <v>7.7280000000000001E-2</v>
      </c>
      <c r="CY246">
        <f>AD246</f>
        <v>0</v>
      </c>
      <c r="CZ246">
        <f>AH246</f>
        <v>0</v>
      </c>
      <c r="DA246">
        <f>AL246</f>
        <v>1</v>
      </c>
      <c r="DB246">
        <f t="shared" si="38"/>
        <v>0</v>
      </c>
      <c r="DC246">
        <f t="shared" si="39"/>
        <v>0</v>
      </c>
    </row>
    <row r="247" spans="1:107" x14ac:dyDescent="0.2">
      <c r="A247">
        <f>ROW(Source!A94)</f>
        <v>94</v>
      </c>
      <c r="B247">
        <v>16784195</v>
      </c>
      <c r="C247">
        <v>16785082</v>
      </c>
      <c r="D247">
        <v>15247974</v>
      </c>
      <c r="E247">
        <v>1</v>
      </c>
      <c r="F247">
        <v>1</v>
      </c>
      <c r="G247">
        <v>1</v>
      </c>
      <c r="H247">
        <v>2</v>
      </c>
      <c r="I247" t="s">
        <v>498</v>
      </c>
      <c r="J247" t="s">
        <v>499</v>
      </c>
      <c r="K247" t="s">
        <v>500</v>
      </c>
      <c r="L247">
        <v>1368</v>
      </c>
      <c r="N247">
        <v>1011</v>
      </c>
      <c r="O247" t="s">
        <v>501</v>
      </c>
      <c r="P247" t="s">
        <v>501</v>
      </c>
      <c r="Q247">
        <v>1</v>
      </c>
      <c r="W247">
        <v>0</v>
      </c>
      <c r="X247">
        <v>1188625873</v>
      </c>
      <c r="Y247">
        <v>0.1</v>
      </c>
      <c r="AA247">
        <v>0</v>
      </c>
      <c r="AB247">
        <v>31.26</v>
      </c>
      <c r="AC247">
        <v>13.5</v>
      </c>
      <c r="AD247">
        <v>0</v>
      </c>
      <c r="AE247">
        <v>0</v>
      </c>
      <c r="AF247">
        <v>31.26</v>
      </c>
      <c r="AG247">
        <v>13.5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0</v>
      </c>
      <c r="AQ247">
        <v>0</v>
      </c>
      <c r="AR247">
        <v>0</v>
      </c>
      <c r="AS247" t="s">
        <v>6</v>
      </c>
      <c r="AT247">
        <v>0.1</v>
      </c>
      <c r="AU247" t="s">
        <v>6</v>
      </c>
      <c r="AV247">
        <v>0</v>
      </c>
      <c r="AW247">
        <v>2</v>
      </c>
      <c r="AX247">
        <v>16785097</v>
      </c>
      <c r="AY247">
        <v>1</v>
      </c>
      <c r="AZ247">
        <v>0</v>
      </c>
      <c r="BA247">
        <v>255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Y247*Source!I94</f>
        <v>4.8300000000000003E-2</v>
      </c>
      <c r="CY247">
        <f>AB247</f>
        <v>31.26</v>
      </c>
      <c r="CZ247">
        <f>AF247</f>
        <v>31.26</v>
      </c>
      <c r="DA247">
        <f>AJ247</f>
        <v>1</v>
      </c>
      <c r="DB247">
        <f t="shared" si="38"/>
        <v>3.13</v>
      </c>
      <c r="DC247">
        <f t="shared" si="39"/>
        <v>1.35</v>
      </c>
    </row>
    <row r="248" spans="1:107" x14ac:dyDescent="0.2">
      <c r="A248">
        <f>ROW(Source!A94)</f>
        <v>94</v>
      </c>
      <c r="B248">
        <v>16784195</v>
      </c>
      <c r="C248">
        <v>16785082</v>
      </c>
      <c r="D248">
        <v>15249073</v>
      </c>
      <c r="E248">
        <v>1</v>
      </c>
      <c r="F248">
        <v>1</v>
      </c>
      <c r="G248">
        <v>1</v>
      </c>
      <c r="H248">
        <v>2</v>
      </c>
      <c r="I248" t="s">
        <v>504</v>
      </c>
      <c r="J248" t="s">
        <v>505</v>
      </c>
      <c r="K248" t="s">
        <v>506</v>
      </c>
      <c r="L248">
        <v>1368</v>
      </c>
      <c r="N248">
        <v>1011</v>
      </c>
      <c r="O248" t="s">
        <v>501</v>
      </c>
      <c r="P248" t="s">
        <v>501</v>
      </c>
      <c r="Q248">
        <v>1</v>
      </c>
      <c r="W248">
        <v>0</v>
      </c>
      <c r="X248">
        <v>1372534845</v>
      </c>
      <c r="Y248">
        <v>0.06</v>
      </c>
      <c r="AA248">
        <v>0</v>
      </c>
      <c r="AB248">
        <v>65.709999999999994</v>
      </c>
      <c r="AC248">
        <v>11.6</v>
      </c>
      <c r="AD248">
        <v>0</v>
      </c>
      <c r="AE248">
        <v>0</v>
      </c>
      <c r="AF248">
        <v>65.709999999999994</v>
      </c>
      <c r="AG248">
        <v>11.6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0.06</v>
      </c>
      <c r="AU248" t="s">
        <v>6</v>
      </c>
      <c r="AV248">
        <v>0</v>
      </c>
      <c r="AW248">
        <v>2</v>
      </c>
      <c r="AX248">
        <v>16785098</v>
      </c>
      <c r="AY248">
        <v>1</v>
      </c>
      <c r="AZ248">
        <v>0</v>
      </c>
      <c r="BA248">
        <v>256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Y248*Source!I94</f>
        <v>2.8979999999999999E-2</v>
      </c>
      <c r="CY248">
        <f>AB248</f>
        <v>65.709999999999994</v>
      </c>
      <c r="CZ248">
        <f>AF248</f>
        <v>65.709999999999994</v>
      </c>
      <c r="DA248">
        <f>AJ248</f>
        <v>1</v>
      </c>
      <c r="DB248">
        <f t="shared" si="38"/>
        <v>3.94</v>
      </c>
      <c r="DC248">
        <f t="shared" si="39"/>
        <v>0.7</v>
      </c>
    </row>
    <row r="249" spans="1:107" x14ac:dyDescent="0.2">
      <c r="A249">
        <f>ROW(Source!A94)</f>
        <v>94</v>
      </c>
      <c r="B249">
        <v>16784195</v>
      </c>
      <c r="C249">
        <v>16785082</v>
      </c>
      <c r="D249">
        <v>15167286</v>
      </c>
      <c r="E249">
        <v>1</v>
      </c>
      <c r="F249">
        <v>1</v>
      </c>
      <c r="G249">
        <v>1</v>
      </c>
      <c r="H249">
        <v>3</v>
      </c>
      <c r="I249" t="s">
        <v>597</v>
      </c>
      <c r="J249" t="s">
        <v>598</v>
      </c>
      <c r="K249" t="s">
        <v>599</v>
      </c>
      <c r="L249">
        <v>1339</v>
      </c>
      <c r="N249">
        <v>1007</v>
      </c>
      <c r="O249" t="s">
        <v>128</v>
      </c>
      <c r="P249" t="s">
        <v>128</v>
      </c>
      <c r="Q249">
        <v>1</v>
      </c>
      <c r="W249">
        <v>0</v>
      </c>
      <c r="X249">
        <v>-1660354250</v>
      </c>
      <c r="Y249">
        <v>0.24</v>
      </c>
      <c r="AA249">
        <v>2.44</v>
      </c>
      <c r="AB249">
        <v>0</v>
      </c>
      <c r="AC249">
        <v>0</v>
      </c>
      <c r="AD249">
        <v>0</v>
      </c>
      <c r="AE249">
        <v>2.44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0</v>
      </c>
      <c r="AQ249">
        <v>0</v>
      </c>
      <c r="AR249">
        <v>0</v>
      </c>
      <c r="AS249" t="s">
        <v>6</v>
      </c>
      <c r="AT249">
        <v>0.24</v>
      </c>
      <c r="AU249" t="s">
        <v>6</v>
      </c>
      <c r="AV249">
        <v>0</v>
      </c>
      <c r="AW249">
        <v>2</v>
      </c>
      <c r="AX249">
        <v>16785099</v>
      </c>
      <c r="AY249">
        <v>1</v>
      </c>
      <c r="AZ249">
        <v>0</v>
      </c>
      <c r="BA249">
        <v>257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Y249*Source!I94</f>
        <v>0.11592</v>
      </c>
      <c r="CY249">
        <f t="shared" ref="CY249:CY256" si="40">AA249</f>
        <v>2.44</v>
      </c>
      <c r="CZ249">
        <f t="shared" ref="CZ249:CZ256" si="41">AE249</f>
        <v>2.44</v>
      </c>
      <c r="DA249">
        <f t="shared" ref="DA249:DA256" si="42">AI249</f>
        <v>1</v>
      </c>
      <c r="DB249">
        <f t="shared" si="38"/>
        <v>0.59</v>
      </c>
      <c r="DC249">
        <f t="shared" si="39"/>
        <v>0</v>
      </c>
    </row>
    <row r="250" spans="1:107" x14ac:dyDescent="0.2">
      <c r="A250">
        <f>ROW(Source!A94)</f>
        <v>94</v>
      </c>
      <c r="B250">
        <v>16784195</v>
      </c>
      <c r="C250">
        <v>16785082</v>
      </c>
      <c r="D250">
        <v>15167766</v>
      </c>
      <c r="E250">
        <v>1</v>
      </c>
      <c r="F250">
        <v>1</v>
      </c>
      <c r="G250">
        <v>1</v>
      </c>
      <c r="H250">
        <v>3</v>
      </c>
      <c r="I250" t="s">
        <v>641</v>
      </c>
      <c r="J250" t="s">
        <v>642</v>
      </c>
      <c r="K250" t="s">
        <v>643</v>
      </c>
      <c r="L250">
        <v>1354</v>
      </c>
      <c r="N250">
        <v>1010</v>
      </c>
      <c r="O250" t="s">
        <v>277</v>
      </c>
      <c r="P250" t="s">
        <v>277</v>
      </c>
      <c r="Q250">
        <v>1</v>
      </c>
      <c r="W250">
        <v>0</v>
      </c>
      <c r="X250">
        <v>-1046673864</v>
      </c>
      <c r="Y250">
        <v>5.0999999999999996</v>
      </c>
      <c r="AA250">
        <v>4.5</v>
      </c>
      <c r="AB250">
        <v>0</v>
      </c>
      <c r="AC250">
        <v>0</v>
      </c>
      <c r="AD250">
        <v>0</v>
      </c>
      <c r="AE250">
        <v>4.5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0</v>
      </c>
      <c r="AQ250">
        <v>0</v>
      </c>
      <c r="AR250">
        <v>0</v>
      </c>
      <c r="AS250" t="s">
        <v>6</v>
      </c>
      <c r="AT250">
        <v>5.0999999999999996</v>
      </c>
      <c r="AU250" t="s">
        <v>6</v>
      </c>
      <c r="AV250">
        <v>0</v>
      </c>
      <c r="AW250">
        <v>2</v>
      </c>
      <c r="AX250">
        <v>16785100</v>
      </c>
      <c r="AY250">
        <v>1</v>
      </c>
      <c r="AZ250">
        <v>0</v>
      </c>
      <c r="BA250">
        <v>258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Y250*Source!I94</f>
        <v>2.4632999999999998</v>
      </c>
      <c r="CY250">
        <f t="shared" si="40"/>
        <v>4.5</v>
      </c>
      <c r="CZ250">
        <f t="shared" si="41"/>
        <v>4.5</v>
      </c>
      <c r="DA250">
        <f t="shared" si="42"/>
        <v>1</v>
      </c>
      <c r="DB250">
        <f t="shared" si="38"/>
        <v>22.95</v>
      </c>
      <c r="DC250">
        <f t="shared" si="39"/>
        <v>0</v>
      </c>
    </row>
    <row r="251" spans="1:107" x14ac:dyDescent="0.2">
      <c r="A251">
        <f>ROW(Source!A94)</f>
        <v>94</v>
      </c>
      <c r="B251">
        <v>16784195</v>
      </c>
      <c r="C251">
        <v>16785082</v>
      </c>
      <c r="D251">
        <v>15168015</v>
      </c>
      <c r="E251">
        <v>1</v>
      </c>
      <c r="F251">
        <v>1</v>
      </c>
      <c r="G251">
        <v>1</v>
      </c>
      <c r="H251">
        <v>3</v>
      </c>
      <c r="I251" t="s">
        <v>644</v>
      </c>
      <c r="J251" t="s">
        <v>645</v>
      </c>
      <c r="K251" t="s">
        <v>646</v>
      </c>
      <c r="L251">
        <v>1348</v>
      </c>
      <c r="N251">
        <v>1009</v>
      </c>
      <c r="O251" t="s">
        <v>65</v>
      </c>
      <c r="P251" t="s">
        <v>65</v>
      </c>
      <c r="Q251">
        <v>1000</v>
      </c>
      <c r="W251">
        <v>0</v>
      </c>
      <c r="X251">
        <v>-526970962</v>
      </c>
      <c r="Y251">
        <v>2.5499999999999998E-2</v>
      </c>
      <c r="AA251">
        <v>586.47</v>
      </c>
      <c r="AB251">
        <v>0</v>
      </c>
      <c r="AC251">
        <v>0</v>
      </c>
      <c r="AD251">
        <v>0</v>
      </c>
      <c r="AE251">
        <v>586.47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0</v>
      </c>
      <c r="AQ251">
        <v>0</v>
      </c>
      <c r="AR251">
        <v>0</v>
      </c>
      <c r="AS251" t="s">
        <v>6</v>
      </c>
      <c r="AT251">
        <v>2.5499999999999998E-2</v>
      </c>
      <c r="AU251" t="s">
        <v>6</v>
      </c>
      <c r="AV251">
        <v>0</v>
      </c>
      <c r="AW251">
        <v>2</v>
      </c>
      <c r="AX251">
        <v>16785101</v>
      </c>
      <c r="AY251">
        <v>1</v>
      </c>
      <c r="AZ251">
        <v>0</v>
      </c>
      <c r="BA251">
        <v>259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Y251*Source!I94</f>
        <v>1.2316499999999999E-2</v>
      </c>
      <c r="CY251">
        <f t="shared" si="40"/>
        <v>586.47</v>
      </c>
      <c r="CZ251">
        <f t="shared" si="41"/>
        <v>586.47</v>
      </c>
      <c r="DA251">
        <f t="shared" si="42"/>
        <v>1</v>
      </c>
      <c r="DB251">
        <f t="shared" si="38"/>
        <v>14.95</v>
      </c>
      <c r="DC251">
        <f t="shared" si="39"/>
        <v>0</v>
      </c>
    </row>
    <row r="252" spans="1:107" x14ac:dyDescent="0.2">
      <c r="A252">
        <f>ROW(Source!A94)</f>
        <v>94</v>
      </c>
      <c r="B252">
        <v>16784195</v>
      </c>
      <c r="C252">
        <v>16785082</v>
      </c>
      <c r="D252">
        <v>15170682</v>
      </c>
      <c r="E252">
        <v>1</v>
      </c>
      <c r="F252">
        <v>1</v>
      </c>
      <c r="G252">
        <v>1</v>
      </c>
      <c r="H252">
        <v>3</v>
      </c>
      <c r="I252" t="s">
        <v>647</v>
      </c>
      <c r="J252" t="s">
        <v>648</v>
      </c>
      <c r="K252" t="s">
        <v>649</v>
      </c>
      <c r="L252">
        <v>1327</v>
      </c>
      <c r="N252">
        <v>1005</v>
      </c>
      <c r="O252" t="s">
        <v>35</v>
      </c>
      <c r="P252" t="s">
        <v>35</v>
      </c>
      <c r="Q252">
        <v>1</v>
      </c>
      <c r="W252">
        <v>0</v>
      </c>
      <c r="X252">
        <v>-1987926685</v>
      </c>
      <c r="Y252">
        <v>1.6</v>
      </c>
      <c r="AA252">
        <v>72.319999999999993</v>
      </c>
      <c r="AB252">
        <v>0</v>
      </c>
      <c r="AC252">
        <v>0</v>
      </c>
      <c r="AD252">
        <v>0</v>
      </c>
      <c r="AE252">
        <v>72.319999999999993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6</v>
      </c>
      <c r="AT252">
        <v>1.6</v>
      </c>
      <c r="AU252" t="s">
        <v>6</v>
      </c>
      <c r="AV252">
        <v>0</v>
      </c>
      <c r="AW252">
        <v>2</v>
      </c>
      <c r="AX252">
        <v>16785102</v>
      </c>
      <c r="AY252">
        <v>1</v>
      </c>
      <c r="AZ252">
        <v>0</v>
      </c>
      <c r="BA252">
        <v>260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Y252*Source!I94</f>
        <v>0.77280000000000004</v>
      </c>
      <c r="CY252">
        <f t="shared" si="40"/>
        <v>72.319999999999993</v>
      </c>
      <c r="CZ252">
        <f t="shared" si="41"/>
        <v>72.319999999999993</v>
      </c>
      <c r="DA252">
        <f t="shared" si="42"/>
        <v>1</v>
      </c>
      <c r="DB252">
        <f t="shared" si="38"/>
        <v>115.71</v>
      </c>
      <c r="DC252">
        <f t="shared" si="39"/>
        <v>0</v>
      </c>
    </row>
    <row r="253" spans="1:107" x14ac:dyDescent="0.2">
      <c r="A253">
        <f>ROW(Source!A94)</f>
        <v>94</v>
      </c>
      <c r="B253">
        <v>16784195</v>
      </c>
      <c r="C253">
        <v>16785082</v>
      </c>
      <c r="D253">
        <v>15171907</v>
      </c>
      <c r="E253">
        <v>1</v>
      </c>
      <c r="F253">
        <v>1</v>
      </c>
      <c r="G253">
        <v>1</v>
      </c>
      <c r="H253">
        <v>3</v>
      </c>
      <c r="I253" t="s">
        <v>650</v>
      </c>
      <c r="J253" t="s">
        <v>651</v>
      </c>
      <c r="K253" t="s">
        <v>652</v>
      </c>
      <c r="L253">
        <v>1339</v>
      </c>
      <c r="N253">
        <v>1007</v>
      </c>
      <c r="O253" t="s">
        <v>128</v>
      </c>
      <c r="P253" t="s">
        <v>128</v>
      </c>
      <c r="Q253">
        <v>1</v>
      </c>
      <c r="W253">
        <v>0</v>
      </c>
      <c r="X253">
        <v>1795918813</v>
      </c>
      <c r="Y253">
        <v>4.4000000000000003E-3</v>
      </c>
      <c r="AA253">
        <v>74.58</v>
      </c>
      <c r="AB253">
        <v>0</v>
      </c>
      <c r="AC253">
        <v>0</v>
      </c>
      <c r="AD253">
        <v>0</v>
      </c>
      <c r="AE253">
        <v>74.58</v>
      </c>
      <c r="AF253">
        <v>0</v>
      </c>
      <c r="AG253">
        <v>0</v>
      </c>
      <c r="AH253">
        <v>0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6</v>
      </c>
      <c r="AT253">
        <v>4.4000000000000003E-3</v>
      </c>
      <c r="AU253" t="s">
        <v>6</v>
      </c>
      <c r="AV253">
        <v>0</v>
      </c>
      <c r="AW253">
        <v>2</v>
      </c>
      <c r="AX253">
        <v>16785103</v>
      </c>
      <c r="AY253">
        <v>1</v>
      </c>
      <c r="AZ253">
        <v>0</v>
      </c>
      <c r="BA253">
        <v>261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Y253*Source!I94</f>
        <v>2.1252000000000003E-3</v>
      </c>
      <c r="CY253">
        <f t="shared" si="40"/>
        <v>74.58</v>
      </c>
      <c r="CZ253">
        <f t="shared" si="41"/>
        <v>74.58</v>
      </c>
      <c r="DA253">
        <f t="shared" si="42"/>
        <v>1</v>
      </c>
      <c r="DB253">
        <f t="shared" si="38"/>
        <v>0.33</v>
      </c>
      <c r="DC253">
        <f t="shared" si="39"/>
        <v>0</v>
      </c>
    </row>
    <row r="254" spans="1:107" x14ac:dyDescent="0.2">
      <c r="A254">
        <f>ROW(Source!A94)</f>
        <v>94</v>
      </c>
      <c r="B254">
        <v>16784195</v>
      </c>
      <c r="C254">
        <v>16785082</v>
      </c>
      <c r="D254">
        <v>15202490</v>
      </c>
      <c r="E254">
        <v>1</v>
      </c>
      <c r="F254">
        <v>1</v>
      </c>
      <c r="G254">
        <v>1</v>
      </c>
      <c r="H254">
        <v>3</v>
      </c>
      <c r="I254" t="s">
        <v>653</v>
      </c>
      <c r="J254" t="s">
        <v>654</v>
      </c>
      <c r="K254" t="s">
        <v>655</v>
      </c>
      <c r="L254">
        <v>1346</v>
      </c>
      <c r="N254">
        <v>1009</v>
      </c>
      <c r="O254" t="s">
        <v>60</v>
      </c>
      <c r="P254" t="s">
        <v>60</v>
      </c>
      <c r="Q254">
        <v>1</v>
      </c>
      <c r="W254">
        <v>0</v>
      </c>
      <c r="X254">
        <v>-1684093315</v>
      </c>
      <c r="Y254">
        <v>4.0199999999999996</v>
      </c>
      <c r="AA254">
        <v>8.09</v>
      </c>
      <c r="AB254">
        <v>0</v>
      </c>
      <c r="AC254">
        <v>0</v>
      </c>
      <c r="AD254">
        <v>0</v>
      </c>
      <c r="AE254">
        <v>8.09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4.0199999999999996</v>
      </c>
      <c r="AU254" t="s">
        <v>6</v>
      </c>
      <c r="AV254">
        <v>0</v>
      </c>
      <c r="AW254">
        <v>2</v>
      </c>
      <c r="AX254">
        <v>16785104</v>
      </c>
      <c r="AY254">
        <v>1</v>
      </c>
      <c r="AZ254">
        <v>0</v>
      </c>
      <c r="BA254">
        <v>262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Y254*Source!I94</f>
        <v>1.9416599999999997</v>
      </c>
      <c r="CY254">
        <f t="shared" si="40"/>
        <v>8.09</v>
      </c>
      <c r="CZ254">
        <f t="shared" si="41"/>
        <v>8.09</v>
      </c>
      <c r="DA254">
        <f t="shared" si="42"/>
        <v>1</v>
      </c>
      <c r="DB254">
        <f t="shared" si="38"/>
        <v>32.520000000000003</v>
      </c>
      <c r="DC254">
        <f t="shared" si="39"/>
        <v>0</v>
      </c>
    </row>
    <row r="255" spans="1:107" x14ac:dyDescent="0.2">
      <c r="A255">
        <f>ROW(Source!A94)</f>
        <v>94</v>
      </c>
      <c r="B255">
        <v>16784195</v>
      </c>
      <c r="C255">
        <v>16785082</v>
      </c>
      <c r="D255">
        <v>15203252</v>
      </c>
      <c r="E255">
        <v>1</v>
      </c>
      <c r="F255">
        <v>1</v>
      </c>
      <c r="G255">
        <v>1</v>
      </c>
      <c r="H255">
        <v>3</v>
      </c>
      <c r="I255" t="s">
        <v>196</v>
      </c>
      <c r="J255" t="s">
        <v>198</v>
      </c>
      <c r="K255" t="s">
        <v>197</v>
      </c>
      <c r="L255">
        <v>1348</v>
      </c>
      <c r="N255">
        <v>1009</v>
      </c>
      <c r="O255" t="s">
        <v>65</v>
      </c>
      <c r="P255" t="s">
        <v>65</v>
      </c>
      <c r="Q255">
        <v>1000</v>
      </c>
      <c r="W255">
        <v>0</v>
      </c>
      <c r="X255">
        <v>1410424693</v>
      </c>
      <c r="Y255">
        <v>7.0999999999999994E-2</v>
      </c>
      <c r="AA255">
        <v>13287.69</v>
      </c>
      <c r="AB255">
        <v>0</v>
      </c>
      <c r="AC255">
        <v>0</v>
      </c>
      <c r="AD255">
        <v>0</v>
      </c>
      <c r="AE255">
        <v>13287.69</v>
      </c>
      <c r="AF255">
        <v>0</v>
      </c>
      <c r="AG255">
        <v>0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6</v>
      </c>
      <c r="AT255">
        <v>7.0999999999999994E-2</v>
      </c>
      <c r="AU255" t="s">
        <v>6</v>
      </c>
      <c r="AV255">
        <v>0</v>
      </c>
      <c r="AW255">
        <v>1</v>
      </c>
      <c r="AX255">
        <v>-1</v>
      </c>
      <c r="AY255">
        <v>0</v>
      </c>
      <c r="AZ255">
        <v>0</v>
      </c>
      <c r="BA255" t="s">
        <v>6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Y255*Source!I94</f>
        <v>3.4292999999999997E-2</v>
      </c>
      <c r="CY255">
        <f t="shared" si="40"/>
        <v>13287.69</v>
      </c>
      <c r="CZ255">
        <f t="shared" si="41"/>
        <v>13287.69</v>
      </c>
      <c r="DA255">
        <f t="shared" si="42"/>
        <v>1</v>
      </c>
      <c r="DB255">
        <f t="shared" si="38"/>
        <v>943.43</v>
      </c>
      <c r="DC255">
        <f t="shared" si="39"/>
        <v>0</v>
      </c>
    </row>
    <row r="256" spans="1:107" x14ac:dyDescent="0.2">
      <c r="A256">
        <f>ROW(Source!A94)</f>
        <v>94</v>
      </c>
      <c r="B256">
        <v>16784195</v>
      </c>
      <c r="C256">
        <v>16785082</v>
      </c>
      <c r="D256">
        <v>15204729</v>
      </c>
      <c r="E256">
        <v>1</v>
      </c>
      <c r="F256">
        <v>1</v>
      </c>
      <c r="G256">
        <v>1</v>
      </c>
      <c r="H256">
        <v>3</v>
      </c>
      <c r="I256" t="s">
        <v>656</v>
      </c>
      <c r="J256" t="s">
        <v>657</v>
      </c>
      <c r="K256" t="s">
        <v>658</v>
      </c>
      <c r="L256">
        <v>1348</v>
      </c>
      <c r="N256">
        <v>1009</v>
      </c>
      <c r="O256" t="s">
        <v>65</v>
      </c>
      <c r="P256" t="s">
        <v>65</v>
      </c>
      <c r="Q256">
        <v>1000</v>
      </c>
      <c r="W256">
        <v>0</v>
      </c>
      <c r="X256">
        <v>-2084827333</v>
      </c>
      <c r="Y256">
        <v>7.1999999999999995E-2</v>
      </c>
      <c r="AA256">
        <v>4294</v>
      </c>
      <c r="AB256">
        <v>0</v>
      </c>
      <c r="AC256">
        <v>0</v>
      </c>
      <c r="AD256">
        <v>0</v>
      </c>
      <c r="AE256">
        <v>4294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7.1999999999999995E-2</v>
      </c>
      <c r="AU256" t="s">
        <v>6</v>
      </c>
      <c r="AV256">
        <v>0</v>
      </c>
      <c r="AW256">
        <v>2</v>
      </c>
      <c r="AX256">
        <v>16785106</v>
      </c>
      <c r="AY256">
        <v>1</v>
      </c>
      <c r="AZ256">
        <v>0</v>
      </c>
      <c r="BA256">
        <v>264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Y256*Source!I94</f>
        <v>3.4775999999999994E-2</v>
      </c>
      <c r="CY256">
        <f t="shared" si="40"/>
        <v>4294</v>
      </c>
      <c r="CZ256">
        <f t="shared" si="41"/>
        <v>4294</v>
      </c>
      <c r="DA256">
        <f t="shared" si="42"/>
        <v>1</v>
      </c>
      <c r="DB256">
        <f t="shared" si="38"/>
        <v>309.17</v>
      </c>
      <c r="DC256">
        <f t="shared" si="39"/>
        <v>0</v>
      </c>
    </row>
    <row r="257" spans="1:107" x14ac:dyDescent="0.2">
      <c r="A257">
        <f>ROW(Source!A95)</f>
        <v>95</v>
      </c>
      <c r="B257">
        <v>16784196</v>
      </c>
      <c r="C257">
        <v>16785082</v>
      </c>
      <c r="D257">
        <v>15435099</v>
      </c>
      <c r="E257">
        <v>1</v>
      </c>
      <c r="F257">
        <v>1</v>
      </c>
      <c r="G257">
        <v>1</v>
      </c>
      <c r="H257">
        <v>1</v>
      </c>
      <c r="I257" t="s">
        <v>639</v>
      </c>
      <c r="J257" t="s">
        <v>6</v>
      </c>
      <c r="K257" t="s">
        <v>640</v>
      </c>
      <c r="L257">
        <v>1191</v>
      </c>
      <c r="N257">
        <v>1013</v>
      </c>
      <c r="O257" t="s">
        <v>495</v>
      </c>
      <c r="P257" t="s">
        <v>495</v>
      </c>
      <c r="Q257">
        <v>1</v>
      </c>
      <c r="W257">
        <v>0</v>
      </c>
      <c r="X257">
        <v>1010519658</v>
      </c>
      <c r="Y257">
        <v>29.6</v>
      </c>
      <c r="AA257">
        <v>0</v>
      </c>
      <c r="AB257">
        <v>0</v>
      </c>
      <c r="AC257">
        <v>0</v>
      </c>
      <c r="AD257">
        <v>52.79</v>
      </c>
      <c r="AE257">
        <v>0</v>
      </c>
      <c r="AF257">
        <v>0</v>
      </c>
      <c r="AG257">
        <v>0</v>
      </c>
      <c r="AH257">
        <v>8.64</v>
      </c>
      <c r="AI257">
        <v>1</v>
      </c>
      <c r="AJ257">
        <v>1</v>
      </c>
      <c r="AK257">
        <v>1</v>
      </c>
      <c r="AL257">
        <v>6.11</v>
      </c>
      <c r="AN257">
        <v>0</v>
      </c>
      <c r="AO257">
        <v>1</v>
      </c>
      <c r="AP257">
        <v>0</v>
      </c>
      <c r="AQ257">
        <v>0</v>
      </c>
      <c r="AR257">
        <v>0</v>
      </c>
      <c r="AS257" t="s">
        <v>6</v>
      </c>
      <c r="AT257">
        <v>29.6</v>
      </c>
      <c r="AU257" t="s">
        <v>6</v>
      </c>
      <c r="AV257">
        <v>1</v>
      </c>
      <c r="AW257">
        <v>2</v>
      </c>
      <c r="AX257">
        <v>16785095</v>
      </c>
      <c r="AY257">
        <v>1</v>
      </c>
      <c r="AZ257">
        <v>0</v>
      </c>
      <c r="BA257">
        <v>265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Y257*Source!I95</f>
        <v>14.296800000000001</v>
      </c>
      <c r="CY257">
        <f>AD257</f>
        <v>52.79</v>
      </c>
      <c r="CZ257">
        <f>AH257</f>
        <v>8.64</v>
      </c>
      <c r="DA257">
        <f>AL257</f>
        <v>6.11</v>
      </c>
      <c r="DB257">
        <f t="shared" si="38"/>
        <v>255.74</v>
      </c>
      <c r="DC257">
        <f t="shared" si="39"/>
        <v>0</v>
      </c>
    </row>
    <row r="258" spans="1:107" x14ac:dyDescent="0.2">
      <c r="A258">
        <f>ROW(Source!A95)</f>
        <v>95</v>
      </c>
      <c r="B258">
        <v>16784196</v>
      </c>
      <c r="C258">
        <v>16785082</v>
      </c>
      <c r="D258">
        <v>15430395</v>
      </c>
      <c r="E258">
        <v>1</v>
      </c>
      <c r="F258">
        <v>1</v>
      </c>
      <c r="G258">
        <v>1</v>
      </c>
      <c r="H258">
        <v>1</v>
      </c>
      <c r="I258" t="s">
        <v>496</v>
      </c>
      <c r="J258" t="s">
        <v>6</v>
      </c>
      <c r="K258" t="s">
        <v>497</v>
      </c>
      <c r="L258">
        <v>1191</v>
      </c>
      <c r="N258">
        <v>1013</v>
      </c>
      <c r="O258" t="s">
        <v>495</v>
      </c>
      <c r="P258" t="s">
        <v>495</v>
      </c>
      <c r="Q258">
        <v>1</v>
      </c>
      <c r="W258">
        <v>0</v>
      </c>
      <c r="X258">
        <v>-1417349443</v>
      </c>
      <c r="Y258">
        <v>0.16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6.11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0.16</v>
      </c>
      <c r="AU258" t="s">
        <v>6</v>
      </c>
      <c r="AV258">
        <v>2</v>
      </c>
      <c r="AW258">
        <v>2</v>
      </c>
      <c r="AX258">
        <v>16785096</v>
      </c>
      <c r="AY258">
        <v>1</v>
      </c>
      <c r="AZ258">
        <v>0</v>
      </c>
      <c r="BA258">
        <v>266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Y258*Source!I95</f>
        <v>7.7280000000000001E-2</v>
      </c>
      <c r="CY258">
        <f>AD258</f>
        <v>0</v>
      </c>
      <c r="CZ258">
        <f>AH258</f>
        <v>0</v>
      </c>
      <c r="DA258">
        <f>AL258</f>
        <v>1</v>
      </c>
      <c r="DB258">
        <f t="shared" si="38"/>
        <v>0</v>
      </c>
      <c r="DC258">
        <f t="shared" si="39"/>
        <v>0</v>
      </c>
    </row>
    <row r="259" spans="1:107" x14ac:dyDescent="0.2">
      <c r="A259">
        <f>ROW(Source!A95)</f>
        <v>95</v>
      </c>
      <c r="B259">
        <v>16784196</v>
      </c>
      <c r="C259">
        <v>16785082</v>
      </c>
      <c r="D259">
        <v>15247974</v>
      </c>
      <c r="E259">
        <v>1</v>
      </c>
      <c r="F259">
        <v>1</v>
      </c>
      <c r="G259">
        <v>1</v>
      </c>
      <c r="H259">
        <v>2</v>
      </c>
      <c r="I259" t="s">
        <v>498</v>
      </c>
      <c r="J259" t="s">
        <v>499</v>
      </c>
      <c r="K259" t="s">
        <v>500</v>
      </c>
      <c r="L259">
        <v>1368</v>
      </c>
      <c r="N259">
        <v>1011</v>
      </c>
      <c r="O259" t="s">
        <v>501</v>
      </c>
      <c r="P259" t="s">
        <v>501</v>
      </c>
      <c r="Q259">
        <v>1</v>
      </c>
      <c r="W259">
        <v>0</v>
      </c>
      <c r="X259">
        <v>1188625873</v>
      </c>
      <c r="Y259">
        <v>0.1</v>
      </c>
      <c r="AA259">
        <v>0</v>
      </c>
      <c r="AB259">
        <v>191</v>
      </c>
      <c r="AC259">
        <v>13.5</v>
      </c>
      <c r="AD259">
        <v>0</v>
      </c>
      <c r="AE259">
        <v>0</v>
      </c>
      <c r="AF259">
        <v>31.26</v>
      </c>
      <c r="AG259">
        <v>13.5</v>
      </c>
      <c r="AH259">
        <v>0</v>
      </c>
      <c r="AI259">
        <v>1</v>
      </c>
      <c r="AJ259">
        <v>6.11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6</v>
      </c>
      <c r="AT259">
        <v>0.1</v>
      </c>
      <c r="AU259" t="s">
        <v>6</v>
      </c>
      <c r="AV259">
        <v>0</v>
      </c>
      <c r="AW259">
        <v>2</v>
      </c>
      <c r="AX259">
        <v>16785097</v>
      </c>
      <c r="AY259">
        <v>1</v>
      </c>
      <c r="AZ259">
        <v>0</v>
      </c>
      <c r="BA259">
        <v>267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Y259*Source!I95</f>
        <v>4.8300000000000003E-2</v>
      </c>
      <c r="CY259">
        <f>AB259</f>
        <v>191</v>
      </c>
      <c r="CZ259">
        <f>AF259</f>
        <v>31.26</v>
      </c>
      <c r="DA259">
        <f>AJ259</f>
        <v>6.11</v>
      </c>
      <c r="DB259">
        <f t="shared" si="38"/>
        <v>3.13</v>
      </c>
      <c r="DC259">
        <f t="shared" si="39"/>
        <v>1.35</v>
      </c>
    </row>
    <row r="260" spans="1:107" x14ac:dyDescent="0.2">
      <c r="A260">
        <f>ROW(Source!A95)</f>
        <v>95</v>
      </c>
      <c r="B260">
        <v>16784196</v>
      </c>
      <c r="C260">
        <v>16785082</v>
      </c>
      <c r="D260">
        <v>15249073</v>
      </c>
      <c r="E260">
        <v>1</v>
      </c>
      <c r="F260">
        <v>1</v>
      </c>
      <c r="G260">
        <v>1</v>
      </c>
      <c r="H260">
        <v>2</v>
      </c>
      <c r="I260" t="s">
        <v>504</v>
      </c>
      <c r="J260" t="s">
        <v>505</v>
      </c>
      <c r="K260" t="s">
        <v>506</v>
      </c>
      <c r="L260">
        <v>1368</v>
      </c>
      <c r="N260">
        <v>1011</v>
      </c>
      <c r="O260" t="s">
        <v>501</v>
      </c>
      <c r="P260" t="s">
        <v>501</v>
      </c>
      <c r="Q260">
        <v>1</v>
      </c>
      <c r="W260">
        <v>0</v>
      </c>
      <c r="X260">
        <v>1372534845</v>
      </c>
      <c r="Y260">
        <v>0.06</v>
      </c>
      <c r="AA260">
        <v>0</v>
      </c>
      <c r="AB260">
        <v>401.49</v>
      </c>
      <c r="AC260">
        <v>11.6</v>
      </c>
      <c r="AD260">
        <v>0</v>
      </c>
      <c r="AE260">
        <v>0</v>
      </c>
      <c r="AF260">
        <v>65.709999999999994</v>
      </c>
      <c r="AG260">
        <v>11.6</v>
      </c>
      <c r="AH260">
        <v>0</v>
      </c>
      <c r="AI260">
        <v>1</v>
      </c>
      <c r="AJ260">
        <v>6.11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0.06</v>
      </c>
      <c r="AU260" t="s">
        <v>6</v>
      </c>
      <c r="AV260">
        <v>0</v>
      </c>
      <c r="AW260">
        <v>2</v>
      </c>
      <c r="AX260">
        <v>16785098</v>
      </c>
      <c r="AY260">
        <v>1</v>
      </c>
      <c r="AZ260">
        <v>0</v>
      </c>
      <c r="BA260">
        <v>268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Y260*Source!I95</f>
        <v>2.8979999999999999E-2</v>
      </c>
      <c r="CY260">
        <f>AB260</f>
        <v>401.49</v>
      </c>
      <c r="CZ260">
        <f>AF260</f>
        <v>65.709999999999994</v>
      </c>
      <c r="DA260">
        <f>AJ260</f>
        <v>6.11</v>
      </c>
      <c r="DB260">
        <f t="shared" si="38"/>
        <v>3.94</v>
      </c>
      <c r="DC260">
        <f t="shared" si="39"/>
        <v>0.7</v>
      </c>
    </row>
    <row r="261" spans="1:107" x14ac:dyDescent="0.2">
      <c r="A261">
        <f>ROW(Source!A95)</f>
        <v>95</v>
      </c>
      <c r="B261">
        <v>16784196</v>
      </c>
      <c r="C261">
        <v>16785082</v>
      </c>
      <c r="D261">
        <v>15167286</v>
      </c>
      <c r="E261">
        <v>1</v>
      </c>
      <c r="F261">
        <v>1</v>
      </c>
      <c r="G261">
        <v>1</v>
      </c>
      <c r="H261">
        <v>3</v>
      </c>
      <c r="I261" t="s">
        <v>597</v>
      </c>
      <c r="J261" t="s">
        <v>598</v>
      </c>
      <c r="K261" t="s">
        <v>599</v>
      </c>
      <c r="L261">
        <v>1339</v>
      </c>
      <c r="N261">
        <v>1007</v>
      </c>
      <c r="O261" t="s">
        <v>128</v>
      </c>
      <c r="P261" t="s">
        <v>128</v>
      </c>
      <c r="Q261">
        <v>1</v>
      </c>
      <c r="W261">
        <v>0</v>
      </c>
      <c r="X261">
        <v>-1660354250</v>
      </c>
      <c r="Y261">
        <v>0.24</v>
      </c>
      <c r="AA261">
        <v>14.91</v>
      </c>
      <c r="AB261">
        <v>0</v>
      </c>
      <c r="AC261">
        <v>0</v>
      </c>
      <c r="AD261">
        <v>0</v>
      </c>
      <c r="AE261">
        <v>2.44</v>
      </c>
      <c r="AF261">
        <v>0</v>
      </c>
      <c r="AG261">
        <v>0</v>
      </c>
      <c r="AH261">
        <v>0</v>
      </c>
      <c r="AI261">
        <v>6.11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0.24</v>
      </c>
      <c r="AU261" t="s">
        <v>6</v>
      </c>
      <c r="AV261">
        <v>0</v>
      </c>
      <c r="AW261">
        <v>2</v>
      </c>
      <c r="AX261">
        <v>16785099</v>
      </c>
      <c r="AY261">
        <v>1</v>
      </c>
      <c r="AZ261">
        <v>0</v>
      </c>
      <c r="BA261">
        <v>269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Y261*Source!I95</f>
        <v>0.11592</v>
      </c>
      <c r="CY261">
        <f t="shared" ref="CY261:CY268" si="43">AA261</f>
        <v>14.91</v>
      </c>
      <c r="CZ261">
        <f t="shared" ref="CZ261:CZ268" si="44">AE261</f>
        <v>2.44</v>
      </c>
      <c r="DA261">
        <f t="shared" ref="DA261:DA268" si="45">AI261</f>
        <v>6.11</v>
      </c>
      <c r="DB261">
        <f t="shared" si="38"/>
        <v>0.59</v>
      </c>
      <c r="DC261">
        <f t="shared" si="39"/>
        <v>0</v>
      </c>
    </row>
    <row r="262" spans="1:107" x14ac:dyDescent="0.2">
      <c r="A262">
        <f>ROW(Source!A95)</f>
        <v>95</v>
      </c>
      <c r="B262">
        <v>16784196</v>
      </c>
      <c r="C262">
        <v>16785082</v>
      </c>
      <c r="D262">
        <v>15167766</v>
      </c>
      <c r="E262">
        <v>1</v>
      </c>
      <c r="F262">
        <v>1</v>
      </c>
      <c r="G262">
        <v>1</v>
      </c>
      <c r="H262">
        <v>3</v>
      </c>
      <c r="I262" t="s">
        <v>641</v>
      </c>
      <c r="J262" t="s">
        <v>642</v>
      </c>
      <c r="K262" t="s">
        <v>643</v>
      </c>
      <c r="L262">
        <v>1354</v>
      </c>
      <c r="N262">
        <v>1010</v>
      </c>
      <c r="O262" t="s">
        <v>277</v>
      </c>
      <c r="P262" t="s">
        <v>277</v>
      </c>
      <c r="Q262">
        <v>1</v>
      </c>
      <c r="W262">
        <v>0</v>
      </c>
      <c r="X262">
        <v>-1046673864</v>
      </c>
      <c r="Y262">
        <v>5.0999999999999996</v>
      </c>
      <c r="AA262">
        <v>27.5</v>
      </c>
      <c r="AB262">
        <v>0</v>
      </c>
      <c r="AC262">
        <v>0</v>
      </c>
      <c r="AD262">
        <v>0</v>
      </c>
      <c r="AE262">
        <v>4.5</v>
      </c>
      <c r="AF262">
        <v>0</v>
      </c>
      <c r="AG262">
        <v>0</v>
      </c>
      <c r="AH262">
        <v>0</v>
      </c>
      <c r="AI262">
        <v>6.11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5.0999999999999996</v>
      </c>
      <c r="AU262" t="s">
        <v>6</v>
      </c>
      <c r="AV262">
        <v>0</v>
      </c>
      <c r="AW262">
        <v>2</v>
      </c>
      <c r="AX262">
        <v>16785100</v>
      </c>
      <c r="AY262">
        <v>1</v>
      </c>
      <c r="AZ262">
        <v>0</v>
      </c>
      <c r="BA262">
        <v>270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Y262*Source!I95</f>
        <v>2.4632999999999998</v>
      </c>
      <c r="CY262">
        <f t="shared" si="43"/>
        <v>27.5</v>
      </c>
      <c r="CZ262">
        <f t="shared" si="44"/>
        <v>4.5</v>
      </c>
      <c r="DA262">
        <f t="shared" si="45"/>
        <v>6.11</v>
      </c>
      <c r="DB262">
        <f t="shared" ref="DB262:DB280" si="46">ROUND(ROUND(AT262*CZ262,2),2)</f>
        <v>22.95</v>
      </c>
      <c r="DC262">
        <f t="shared" ref="DC262:DC280" si="47">ROUND(ROUND(AT262*AG262,2),2)</f>
        <v>0</v>
      </c>
    </row>
    <row r="263" spans="1:107" x14ac:dyDescent="0.2">
      <c r="A263">
        <f>ROW(Source!A95)</f>
        <v>95</v>
      </c>
      <c r="B263">
        <v>16784196</v>
      </c>
      <c r="C263">
        <v>16785082</v>
      </c>
      <c r="D263">
        <v>15168015</v>
      </c>
      <c r="E263">
        <v>1</v>
      </c>
      <c r="F263">
        <v>1</v>
      </c>
      <c r="G263">
        <v>1</v>
      </c>
      <c r="H263">
        <v>3</v>
      </c>
      <c r="I263" t="s">
        <v>644</v>
      </c>
      <c r="J263" t="s">
        <v>645</v>
      </c>
      <c r="K263" t="s">
        <v>646</v>
      </c>
      <c r="L263">
        <v>1348</v>
      </c>
      <c r="N263">
        <v>1009</v>
      </c>
      <c r="O263" t="s">
        <v>65</v>
      </c>
      <c r="P263" t="s">
        <v>65</v>
      </c>
      <c r="Q263">
        <v>1000</v>
      </c>
      <c r="W263">
        <v>0</v>
      </c>
      <c r="X263">
        <v>-526970962</v>
      </c>
      <c r="Y263">
        <v>2.5499999999999998E-2</v>
      </c>
      <c r="AA263">
        <v>3583.33</v>
      </c>
      <c r="AB263">
        <v>0</v>
      </c>
      <c r="AC263">
        <v>0</v>
      </c>
      <c r="AD263">
        <v>0</v>
      </c>
      <c r="AE263">
        <v>586.47</v>
      </c>
      <c r="AF263">
        <v>0</v>
      </c>
      <c r="AG263">
        <v>0</v>
      </c>
      <c r="AH263">
        <v>0</v>
      </c>
      <c r="AI263">
        <v>6.11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2.5499999999999998E-2</v>
      </c>
      <c r="AU263" t="s">
        <v>6</v>
      </c>
      <c r="AV263">
        <v>0</v>
      </c>
      <c r="AW263">
        <v>2</v>
      </c>
      <c r="AX263">
        <v>16785101</v>
      </c>
      <c r="AY263">
        <v>1</v>
      </c>
      <c r="AZ263">
        <v>0</v>
      </c>
      <c r="BA263">
        <v>271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Y263*Source!I95</f>
        <v>1.2316499999999999E-2</v>
      </c>
      <c r="CY263">
        <f t="shared" si="43"/>
        <v>3583.33</v>
      </c>
      <c r="CZ263">
        <f t="shared" si="44"/>
        <v>586.47</v>
      </c>
      <c r="DA263">
        <f t="shared" si="45"/>
        <v>6.11</v>
      </c>
      <c r="DB263">
        <f t="shared" si="46"/>
        <v>14.95</v>
      </c>
      <c r="DC263">
        <f t="shared" si="47"/>
        <v>0</v>
      </c>
    </row>
    <row r="264" spans="1:107" x14ac:dyDescent="0.2">
      <c r="A264">
        <f>ROW(Source!A95)</f>
        <v>95</v>
      </c>
      <c r="B264">
        <v>16784196</v>
      </c>
      <c r="C264">
        <v>16785082</v>
      </c>
      <c r="D264">
        <v>15170682</v>
      </c>
      <c r="E264">
        <v>1</v>
      </c>
      <c r="F264">
        <v>1</v>
      </c>
      <c r="G264">
        <v>1</v>
      </c>
      <c r="H264">
        <v>3</v>
      </c>
      <c r="I264" t="s">
        <v>647</v>
      </c>
      <c r="J264" t="s">
        <v>648</v>
      </c>
      <c r="K264" t="s">
        <v>649</v>
      </c>
      <c r="L264">
        <v>1327</v>
      </c>
      <c r="N264">
        <v>1005</v>
      </c>
      <c r="O264" t="s">
        <v>35</v>
      </c>
      <c r="P264" t="s">
        <v>35</v>
      </c>
      <c r="Q264">
        <v>1</v>
      </c>
      <c r="W264">
        <v>0</v>
      </c>
      <c r="X264">
        <v>-1987926685</v>
      </c>
      <c r="Y264">
        <v>1.6</v>
      </c>
      <c r="AA264">
        <v>441.88</v>
      </c>
      <c r="AB264">
        <v>0</v>
      </c>
      <c r="AC264">
        <v>0</v>
      </c>
      <c r="AD264">
        <v>0</v>
      </c>
      <c r="AE264">
        <v>72.319999999999993</v>
      </c>
      <c r="AF264">
        <v>0</v>
      </c>
      <c r="AG264">
        <v>0</v>
      </c>
      <c r="AH264">
        <v>0</v>
      </c>
      <c r="AI264">
        <v>6.11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1.6</v>
      </c>
      <c r="AU264" t="s">
        <v>6</v>
      </c>
      <c r="AV264">
        <v>0</v>
      </c>
      <c r="AW264">
        <v>2</v>
      </c>
      <c r="AX264">
        <v>16785102</v>
      </c>
      <c r="AY264">
        <v>1</v>
      </c>
      <c r="AZ264">
        <v>0</v>
      </c>
      <c r="BA264">
        <v>272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Y264*Source!I95</f>
        <v>0.77280000000000004</v>
      </c>
      <c r="CY264">
        <f t="shared" si="43"/>
        <v>441.88</v>
      </c>
      <c r="CZ264">
        <f t="shared" si="44"/>
        <v>72.319999999999993</v>
      </c>
      <c r="DA264">
        <f t="shared" si="45"/>
        <v>6.11</v>
      </c>
      <c r="DB264">
        <f t="shared" si="46"/>
        <v>115.71</v>
      </c>
      <c r="DC264">
        <f t="shared" si="47"/>
        <v>0</v>
      </c>
    </row>
    <row r="265" spans="1:107" x14ac:dyDescent="0.2">
      <c r="A265">
        <f>ROW(Source!A95)</f>
        <v>95</v>
      </c>
      <c r="B265">
        <v>16784196</v>
      </c>
      <c r="C265">
        <v>16785082</v>
      </c>
      <c r="D265">
        <v>15171907</v>
      </c>
      <c r="E265">
        <v>1</v>
      </c>
      <c r="F265">
        <v>1</v>
      </c>
      <c r="G265">
        <v>1</v>
      </c>
      <c r="H265">
        <v>3</v>
      </c>
      <c r="I265" t="s">
        <v>650</v>
      </c>
      <c r="J265" t="s">
        <v>651</v>
      </c>
      <c r="K265" t="s">
        <v>652</v>
      </c>
      <c r="L265">
        <v>1339</v>
      </c>
      <c r="N265">
        <v>1007</v>
      </c>
      <c r="O265" t="s">
        <v>128</v>
      </c>
      <c r="P265" t="s">
        <v>128</v>
      </c>
      <c r="Q265">
        <v>1</v>
      </c>
      <c r="W265">
        <v>0</v>
      </c>
      <c r="X265">
        <v>1795918813</v>
      </c>
      <c r="Y265">
        <v>4.4000000000000003E-3</v>
      </c>
      <c r="AA265">
        <v>455.68</v>
      </c>
      <c r="AB265">
        <v>0</v>
      </c>
      <c r="AC265">
        <v>0</v>
      </c>
      <c r="AD265">
        <v>0</v>
      </c>
      <c r="AE265">
        <v>74.58</v>
      </c>
      <c r="AF265">
        <v>0</v>
      </c>
      <c r="AG265">
        <v>0</v>
      </c>
      <c r="AH265">
        <v>0</v>
      </c>
      <c r="AI265">
        <v>6.11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4.4000000000000003E-3</v>
      </c>
      <c r="AU265" t="s">
        <v>6</v>
      </c>
      <c r="AV265">
        <v>0</v>
      </c>
      <c r="AW265">
        <v>2</v>
      </c>
      <c r="AX265">
        <v>16785103</v>
      </c>
      <c r="AY265">
        <v>1</v>
      </c>
      <c r="AZ265">
        <v>0</v>
      </c>
      <c r="BA265">
        <v>273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Y265*Source!I95</f>
        <v>2.1252000000000003E-3</v>
      </c>
      <c r="CY265">
        <f t="shared" si="43"/>
        <v>455.68</v>
      </c>
      <c r="CZ265">
        <f t="shared" si="44"/>
        <v>74.58</v>
      </c>
      <c r="DA265">
        <f t="shared" si="45"/>
        <v>6.11</v>
      </c>
      <c r="DB265">
        <f t="shared" si="46"/>
        <v>0.33</v>
      </c>
      <c r="DC265">
        <f t="shared" si="47"/>
        <v>0</v>
      </c>
    </row>
    <row r="266" spans="1:107" x14ac:dyDescent="0.2">
      <c r="A266">
        <f>ROW(Source!A95)</f>
        <v>95</v>
      </c>
      <c r="B266">
        <v>16784196</v>
      </c>
      <c r="C266">
        <v>16785082</v>
      </c>
      <c r="D266">
        <v>15202490</v>
      </c>
      <c r="E266">
        <v>1</v>
      </c>
      <c r="F266">
        <v>1</v>
      </c>
      <c r="G266">
        <v>1</v>
      </c>
      <c r="H266">
        <v>3</v>
      </c>
      <c r="I266" t="s">
        <v>653</v>
      </c>
      <c r="J266" t="s">
        <v>654</v>
      </c>
      <c r="K266" t="s">
        <v>655</v>
      </c>
      <c r="L266">
        <v>1346</v>
      </c>
      <c r="N266">
        <v>1009</v>
      </c>
      <c r="O266" t="s">
        <v>60</v>
      </c>
      <c r="P266" t="s">
        <v>60</v>
      </c>
      <c r="Q266">
        <v>1</v>
      </c>
      <c r="W266">
        <v>0</v>
      </c>
      <c r="X266">
        <v>-1684093315</v>
      </c>
      <c r="Y266">
        <v>4.0199999999999996</v>
      </c>
      <c r="AA266">
        <v>49.43</v>
      </c>
      <c r="AB266">
        <v>0</v>
      </c>
      <c r="AC266">
        <v>0</v>
      </c>
      <c r="AD266">
        <v>0</v>
      </c>
      <c r="AE266">
        <v>8.09</v>
      </c>
      <c r="AF266">
        <v>0</v>
      </c>
      <c r="AG266">
        <v>0</v>
      </c>
      <c r="AH266">
        <v>0</v>
      </c>
      <c r="AI266">
        <v>6.11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4.0199999999999996</v>
      </c>
      <c r="AU266" t="s">
        <v>6</v>
      </c>
      <c r="AV266">
        <v>0</v>
      </c>
      <c r="AW266">
        <v>2</v>
      </c>
      <c r="AX266">
        <v>16785104</v>
      </c>
      <c r="AY266">
        <v>1</v>
      </c>
      <c r="AZ266">
        <v>0</v>
      </c>
      <c r="BA266">
        <v>274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Y266*Source!I95</f>
        <v>1.9416599999999997</v>
      </c>
      <c r="CY266">
        <f t="shared" si="43"/>
        <v>49.43</v>
      </c>
      <c r="CZ266">
        <f t="shared" si="44"/>
        <v>8.09</v>
      </c>
      <c r="DA266">
        <f t="shared" si="45"/>
        <v>6.11</v>
      </c>
      <c r="DB266">
        <f t="shared" si="46"/>
        <v>32.520000000000003</v>
      </c>
      <c r="DC266">
        <f t="shared" si="47"/>
        <v>0</v>
      </c>
    </row>
    <row r="267" spans="1:107" x14ac:dyDescent="0.2">
      <c r="A267">
        <f>ROW(Source!A95)</f>
        <v>95</v>
      </c>
      <c r="B267">
        <v>16784196</v>
      </c>
      <c r="C267">
        <v>16785082</v>
      </c>
      <c r="D267">
        <v>15203252</v>
      </c>
      <c r="E267">
        <v>1</v>
      </c>
      <c r="F267">
        <v>1</v>
      </c>
      <c r="G267">
        <v>1</v>
      </c>
      <c r="H267">
        <v>3</v>
      </c>
      <c r="I267" t="s">
        <v>196</v>
      </c>
      <c r="J267" t="s">
        <v>198</v>
      </c>
      <c r="K267" t="s">
        <v>197</v>
      </c>
      <c r="L267">
        <v>1348</v>
      </c>
      <c r="N267">
        <v>1009</v>
      </c>
      <c r="O267" t="s">
        <v>65</v>
      </c>
      <c r="P267" t="s">
        <v>65</v>
      </c>
      <c r="Q267">
        <v>1000</v>
      </c>
      <c r="W267">
        <v>0</v>
      </c>
      <c r="X267">
        <v>1410424693</v>
      </c>
      <c r="Y267">
        <v>7.0999999999999994E-2</v>
      </c>
      <c r="AA267">
        <v>81187.789999999994</v>
      </c>
      <c r="AB267">
        <v>0</v>
      </c>
      <c r="AC267">
        <v>0</v>
      </c>
      <c r="AD267">
        <v>0</v>
      </c>
      <c r="AE267">
        <v>13287.69</v>
      </c>
      <c r="AF267">
        <v>0</v>
      </c>
      <c r="AG267">
        <v>0</v>
      </c>
      <c r="AH267">
        <v>0</v>
      </c>
      <c r="AI267">
        <v>6.11</v>
      </c>
      <c r="AJ267">
        <v>1</v>
      </c>
      <c r="AK267">
        <v>1</v>
      </c>
      <c r="AL267">
        <v>1</v>
      </c>
      <c r="AN267">
        <v>0</v>
      </c>
      <c r="AO267">
        <v>0</v>
      </c>
      <c r="AP267">
        <v>0</v>
      </c>
      <c r="AQ267">
        <v>0</v>
      </c>
      <c r="AR267">
        <v>0</v>
      </c>
      <c r="AS267" t="s">
        <v>6</v>
      </c>
      <c r="AT267">
        <v>7.0999999999999994E-2</v>
      </c>
      <c r="AU267" t="s">
        <v>6</v>
      </c>
      <c r="AV267">
        <v>0</v>
      </c>
      <c r="AW267">
        <v>1</v>
      </c>
      <c r="AX267">
        <v>-1</v>
      </c>
      <c r="AY267">
        <v>0</v>
      </c>
      <c r="AZ267">
        <v>0</v>
      </c>
      <c r="BA267" t="s">
        <v>6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Y267*Source!I95</f>
        <v>3.4292999999999997E-2</v>
      </c>
      <c r="CY267">
        <f t="shared" si="43"/>
        <v>81187.789999999994</v>
      </c>
      <c r="CZ267">
        <f t="shared" si="44"/>
        <v>13287.69</v>
      </c>
      <c r="DA267">
        <f t="shared" si="45"/>
        <v>6.11</v>
      </c>
      <c r="DB267">
        <f t="shared" si="46"/>
        <v>943.43</v>
      </c>
      <c r="DC267">
        <f t="shared" si="47"/>
        <v>0</v>
      </c>
    </row>
    <row r="268" spans="1:107" x14ac:dyDescent="0.2">
      <c r="A268">
        <f>ROW(Source!A95)</f>
        <v>95</v>
      </c>
      <c r="B268">
        <v>16784196</v>
      </c>
      <c r="C268">
        <v>16785082</v>
      </c>
      <c r="D268">
        <v>15204729</v>
      </c>
      <c r="E268">
        <v>1</v>
      </c>
      <c r="F268">
        <v>1</v>
      </c>
      <c r="G268">
        <v>1</v>
      </c>
      <c r="H268">
        <v>3</v>
      </c>
      <c r="I268" t="s">
        <v>656</v>
      </c>
      <c r="J268" t="s">
        <v>657</v>
      </c>
      <c r="K268" t="s">
        <v>658</v>
      </c>
      <c r="L268">
        <v>1348</v>
      </c>
      <c r="N268">
        <v>1009</v>
      </c>
      <c r="O268" t="s">
        <v>65</v>
      </c>
      <c r="P268" t="s">
        <v>65</v>
      </c>
      <c r="Q268">
        <v>1000</v>
      </c>
      <c r="W268">
        <v>0</v>
      </c>
      <c r="X268">
        <v>-2084827333</v>
      </c>
      <c r="Y268">
        <v>7.1999999999999995E-2</v>
      </c>
      <c r="AA268">
        <v>26236.34</v>
      </c>
      <c r="AB268">
        <v>0</v>
      </c>
      <c r="AC268">
        <v>0</v>
      </c>
      <c r="AD268">
        <v>0</v>
      </c>
      <c r="AE268">
        <v>4294</v>
      </c>
      <c r="AF268">
        <v>0</v>
      </c>
      <c r="AG268">
        <v>0</v>
      </c>
      <c r="AH268">
        <v>0</v>
      </c>
      <c r="AI268">
        <v>6.11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7.1999999999999995E-2</v>
      </c>
      <c r="AU268" t="s">
        <v>6</v>
      </c>
      <c r="AV268">
        <v>0</v>
      </c>
      <c r="AW268">
        <v>2</v>
      </c>
      <c r="AX268">
        <v>16785106</v>
      </c>
      <c r="AY268">
        <v>1</v>
      </c>
      <c r="AZ268">
        <v>0</v>
      </c>
      <c r="BA268">
        <v>276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Y268*Source!I95</f>
        <v>3.4775999999999994E-2</v>
      </c>
      <c r="CY268">
        <f t="shared" si="43"/>
        <v>26236.34</v>
      </c>
      <c r="CZ268">
        <f t="shared" si="44"/>
        <v>4294</v>
      </c>
      <c r="DA268">
        <f t="shared" si="45"/>
        <v>6.11</v>
      </c>
      <c r="DB268">
        <f t="shared" si="46"/>
        <v>309.17</v>
      </c>
      <c r="DC268">
        <f t="shared" si="47"/>
        <v>0</v>
      </c>
    </row>
    <row r="269" spans="1:107" x14ac:dyDescent="0.2">
      <c r="A269">
        <f>ROW(Source!A98)</f>
        <v>98</v>
      </c>
      <c r="B269">
        <v>16784195</v>
      </c>
      <c r="C269">
        <v>16784564</v>
      </c>
      <c r="D269">
        <v>15436014</v>
      </c>
      <c r="E269">
        <v>1</v>
      </c>
      <c r="F269">
        <v>1</v>
      </c>
      <c r="G269">
        <v>1</v>
      </c>
      <c r="H269">
        <v>1</v>
      </c>
      <c r="I269" t="s">
        <v>502</v>
      </c>
      <c r="J269" t="s">
        <v>6</v>
      </c>
      <c r="K269" t="s">
        <v>503</v>
      </c>
      <c r="L269">
        <v>1191</v>
      </c>
      <c r="N269">
        <v>1013</v>
      </c>
      <c r="O269" t="s">
        <v>495</v>
      </c>
      <c r="P269" t="s">
        <v>495</v>
      </c>
      <c r="Q269">
        <v>1</v>
      </c>
      <c r="W269">
        <v>0</v>
      </c>
      <c r="X269">
        <v>-784637506</v>
      </c>
      <c r="Y269">
        <v>65.94</v>
      </c>
      <c r="AA269">
        <v>0</v>
      </c>
      <c r="AB269">
        <v>0</v>
      </c>
      <c r="AC269">
        <v>0</v>
      </c>
      <c r="AD269">
        <v>8.74</v>
      </c>
      <c r="AE269">
        <v>0</v>
      </c>
      <c r="AF269">
        <v>0</v>
      </c>
      <c r="AG269">
        <v>0</v>
      </c>
      <c r="AH269">
        <v>8.74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65.94</v>
      </c>
      <c r="AU269" t="s">
        <v>6</v>
      </c>
      <c r="AV269">
        <v>1</v>
      </c>
      <c r="AW269">
        <v>2</v>
      </c>
      <c r="AX269">
        <v>16784571</v>
      </c>
      <c r="AY269">
        <v>1</v>
      </c>
      <c r="AZ269">
        <v>0</v>
      </c>
      <c r="BA269">
        <v>277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Y269*Source!I98</f>
        <v>2.0441400000000001</v>
      </c>
      <c r="CY269">
        <f>AD269</f>
        <v>8.74</v>
      </c>
      <c r="CZ269">
        <f>AH269</f>
        <v>8.74</v>
      </c>
      <c r="DA269">
        <f>AL269</f>
        <v>1</v>
      </c>
      <c r="DB269">
        <f t="shared" si="46"/>
        <v>576.32000000000005</v>
      </c>
      <c r="DC269">
        <f t="shared" si="47"/>
        <v>0</v>
      </c>
    </row>
    <row r="270" spans="1:107" x14ac:dyDescent="0.2">
      <c r="A270">
        <f>ROW(Source!A98)</f>
        <v>98</v>
      </c>
      <c r="B270">
        <v>16784195</v>
      </c>
      <c r="C270">
        <v>16784564</v>
      </c>
      <c r="D270">
        <v>15430395</v>
      </c>
      <c r="E270">
        <v>1</v>
      </c>
      <c r="F270">
        <v>1</v>
      </c>
      <c r="G270">
        <v>1</v>
      </c>
      <c r="H270">
        <v>1</v>
      </c>
      <c r="I270" t="s">
        <v>496</v>
      </c>
      <c r="J270" t="s">
        <v>6</v>
      </c>
      <c r="K270" t="s">
        <v>497</v>
      </c>
      <c r="L270">
        <v>1191</v>
      </c>
      <c r="N270">
        <v>1013</v>
      </c>
      <c r="O270" t="s">
        <v>495</v>
      </c>
      <c r="P270" t="s">
        <v>495</v>
      </c>
      <c r="Q270">
        <v>1</v>
      </c>
      <c r="W270">
        <v>0</v>
      </c>
      <c r="X270">
        <v>-1417349443</v>
      </c>
      <c r="Y270">
        <v>0.01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0.01</v>
      </c>
      <c r="AU270" t="s">
        <v>6</v>
      </c>
      <c r="AV270">
        <v>2</v>
      </c>
      <c r="AW270">
        <v>2</v>
      </c>
      <c r="AX270">
        <v>16784572</v>
      </c>
      <c r="AY270">
        <v>1</v>
      </c>
      <c r="AZ270">
        <v>0</v>
      </c>
      <c r="BA270">
        <v>278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Y270*Source!I98</f>
        <v>3.1E-4</v>
      </c>
      <c r="CY270">
        <f>AD270</f>
        <v>0</v>
      </c>
      <c r="CZ270">
        <f>AH270</f>
        <v>0</v>
      </c>
      <c r="DA270">
        <f>AL270</f>
        <v>1</v>
      </c>
      <c r="DB270">
        <f t="shared" si="46"/>
        <v>0</v>
      </c>
      <c r="DC270">
        <f t="shared" si="47"/>
        <v>0</v>
      </c>
    </row>
    <row r="271" spans="1:107" x14ac:dyDescent="0.2">
      <c r="A271">
        <f>ROW(Source!A98)</f>
        <v>98</v>
      </c>
      <c r="B271">
        <v>16784195</v>
      </c>
      <c r="C271">
        <v>16784564</v>
      </c>
      <c r="D271">
        <v>15249073</v>
      </c>
      <c r="E271">
        <v>1</v>
      </c>
      <c r="F271">
        <v>1</v>
      </c>
      <c r="G271">
        <v>1</v>
      </c>
      <c r="H271">
        <v>2</v>
      </c>
      <c r="I271" t="s">
        <v>504</v>
      </c>
      <c r="J271" t="s">
        <v>505</v>
      </c>
      <c r="K271" t="s">
        <v>506</v>
      </c>
      <c r="L271">
        <v>1368</v>
      </c>
      <c r="N271">
        <v>1011</v>
      </c>
      <c r="O271" t="s">
        <v>501</v>
      </c>
      <c r="P271" t="s">
        <v>501</v>
      </c>
      <c r="Q271">
        <v>1</v>
      </c>
      <c r="W271">
        <v>0</v>
      </c>
      <c r="X271">
        <v>1372534845</v>
      </c>
      <c r="Y271">
        <v>0.01</v>
      </c>
      <c r="AA271">
        <v>0</v>
      </c>
      <c r="AB271">
        <v>65.709999999999994</v>
      </c>
      <c r="AC271">
        <v>11.6</v>
      </c>
      <c r="AD271">
        <v>0</v>
      </c>
      <c r="AE271">
        <v>0</v>
      </c>
      <c r="AF271">
        <v>65.709999999999994</v>
      </c>
      <c r="AG271">
        <v>11.6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0.01</v>
      </c>
      <c r="AU271" t="s">
        <v>6</v>
      </c>
      <c r="AV271">
        <v>0</v>
      </c>
      <c r="AW271">
        <v>2</v>
      </c>
      <c r="AX271">
        <v>16784573</v>
      </c>
      <c r="AY271">
        <v>1</v>
      </c>
      <c r="AZ271">
        <v>0</v>
      </c>
      <c r="BA271">
        <v>279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Y271*Source!I98</f>
        <v>3.1E-4</v>
      </c>
      <c r="CY271">
        <f>AB271</f>
        <v>65.709999999999994</v>
      </c>
      <c r="CZ271">
        <f>AF271</f>
        <v>65.709999999999994</v>
      </c>
      <c r="DA271">
        <f>AJ271</f>
        <v>1</v>
      </c>
      <c r="DB271">
        <f t="shared" si="46"/>
        <v>0.66</v>
      </c>
      <c r="DC271">
        <f t="shared" si="47"/>
        <v>0.12</v>
      </c>
    </row>
    <row r="272" spans="1:107" x14ac:dyDescent="0.2">
      <c r="A272">
        <f>ROW(Source!A98)</f>
        <v>98</v>
      </c>
      <c r="B272">
        <v>16784195</v>
      </c>
      <c r="C272">
        <v>16784564</v>
      </c>
      <c r="D272">
        <v>15171018</v>
      </c>
      <c r="E272">
        <v>1</v>
      </c>
      <c r="F272">
        <v>1</v>
      </c>
      <c r="G272">
        <v>1</v>
      </c>
      <c r="H272">
        <v>3</v>
      </c>
      <c r="I272" t="s">
        <v>531</v>
      </c>
      <c r="J272" t="s">
        <v>532</v>
      </c>
      <c r="K272" t="s">
        <v>533</v>
      </c>
      <c r="L272">
        <v>1346</v>
      </c>
      <c r="N272">
        <v>1009</v>
      </c>
      <c r="O272" t="s">
        <v>60</v>
      </c>
      <c r="P272" t="s">
        <v>60</v>
      </c>
      <c r="Q272">
        <v>1</v>
      </c>
      <c r="W272">
        <v>0</v>
      </c>
      <c r="X272">
        <v>813963326</v>
      </c>
      <c r="Y272">
        <v>0.1</v>
      </c>
      <c r="AA272">
        <v>1.82</v>
      </c>
      <c r="AB272">
        <v>0</v>
      </c>
      <c r="AC272">
        <v>0</v>
      </c>
      <c r="AD272">
        <v>0</v>
      </c>
      <c r="AE272">
        <v>1.82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0.1</v>
      </c>
      <c r="AU272" t="s">
        <v>6</v>
      </c>
      <c r="AV272">
        <v>0</v>
      </c>
      <c r="AW272">
        <v>2</v>
      </c>
      <c r="AX272">
        <v>16784574</v>
      </c>
      <c r="AY272">
        <v>1</v>
      </c>
      <c r="AZ272">
        <v>0</v>
      </c>
      <c r="BA272">
        <v>280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Y272*Source!I98</f>
        <v>3.1000000000000003E-3</v>
      </c>
      <c r="CY272">
        <f>AA272</f>
        <v>1.82</v>
      </c>
      <c r="CZ272">
        <f>AE272</f>
        <v>1.82</v>
      </c>
      <c r="DA272">
        <f>AI272</f>
        <v>1</v>
      </c>
      <c r="DB272">
        <f t="shared" si="46"/>
        <v>0.18</v>
      </c>
      <c r="DC272">
        <f t="shared" si="47"/>
        <v>0</v>
      </c>
    </row>
    <row r="273" spans="1:107" x14ac:dyDescent="0.2">
      <c r="A273">
        <f>ROW(Source!A98)</f>
        <v>98</v>
      </c>
      <c r="B273">
        <v>16784195</v>
      </c>
      <c r="C273">
        <v>16784564</v>
      </c>
      <c r="D273">
        <v>15203744</v>
      </c>
      <c r="E273">
        <v>1</v>
      </c>
      <c r="F273">
        <v>1</v>
      </c>
      <c r="G273">
        <v>1</v>
      </c>
      <c r="H273">
        <v>3</v>
      </c>
      <c r="I273" t="s">
        <v>204</v>
      </c>
      <c r="J273" t="s">
        <v>206</v>
      </c>
      <c r="K273" t="s">
        <v>205</v>
      </c>
      <c r="L273">
        <v>1348</v>
      </c>
      <c r="N273">
        <v>1009</v>
      </c>
      <c r="O273" t="s">
        <v>65</v>
      </c>
      <c r="P273" t="s">
        <v>65</v>
      </c>
      <c r="Q273">
        <v>1000</v>
      </c>
      <c r="W273">
        <v>0</v>
      </c>
      <c r="X273">
        <v>1129880761</v>
      </c>
      <c r="Y273">
        <v>1.61E-2</v>
      </c>
      <c r="AA273">
        <v>21058.67</v>
      </c>
      <c r="AB273">
        <v>0</v>
      </c>
      <c r="AC273">
        <v>0</v>
      </c>
      <c r="AD273">
        <v>0</v>
      </c>
      <c r="AE273">
        <v>21058.67</v>
      </c>
      <c r="AF273">
        <v>0</v>
      </c>
      <c r="AG273">
        <v>0</v>
      </c>
      <c r="AH273">
        <v>0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0</v>
      </c>
      <c r="AP273">
        <v>0</v>
      </c>
      <c r="AQ273">
        <v>0</v>
      </c>
      <c r="AR273">
        <v>0</v>
      </c>
      <c r="AS273" t="s">
        <v>6</v>
      </c>
      <c r="AT273">
        <v>1.61E-2</v>
      </c>
      <c r="AU273" t="s">
        <v>6</v>
      </c>
      <c r="AV273">
        <v>0</v>
      </c>
      <c r="AW273">
        <v>1</v>
      </c>
      <c r="AX273">
        <v>-1</v>
      </c>
      <c r="AY273">
        <v>0</v>
      </c>
      <c r="AZ273">
        <v>0</v>
      </c>
      <c r="BA273" t="s">
        <v>6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Y273*Source!I98</f>
        <v>4.9909999999999993E-4</v>
      </c>
      <c r="CY273">
        <f>AA273</f>
        <v>21058.67</v>
      </c>
      <c r="CZ273">
        <f>AE273</f>
        <v>21058.67</v>
      </c>
      <c r="DA273">
        <f>AI273</f>
        <v>1</v>
      </c>
      <c r="DB273">
        <f t="shared" si="46"/>
        <v>339.04</v>
      </c>
      <c r="DC273">
        <f t="shared" si="47"/>
        <v>0</v>
      </c>
    </row>
    <row r="274" spans="1:107" x14ac:dyDescent="0.2">
      <c r="A274">
        <f>ROW(Source!A98)</f>
        <v>98</v>
      </c>
      <c r="B274">
        <v>16784195</v>
      </c>
      <c r="C274">
        <v>16784564</v>
      </c>
      <c r="D274">
        <v>15204468</v>
      </c>
      <c r="E274">
        <v>1</v>
      </c>
      <c r="F274">
        <v>1</v>
      </c>
      <c r="G274">
        <v>1</v>
      </c>
      <c r="H274">
        <v>3</v>
      </c>
      <c r="I274" t="s">
        <v>659</v>
      </c>
      <c r="J274" t="s">
        <v>660</v>
      </c>
      <c r="K274" t="s">
        <v>661</v>
      </c>
      <c r="L274">
        <v>1348</v>
      </c>
      <c r="N274">
        <v>1009</v>
      </c>
      <c r="O274" t="s">
        <v>65</v>
      </c>
      <c r="P274" t="s">
        <v>65</v>
      </c>
      <c r="Q274">
        <v>1000</v>
      </c>
      <c r="W274">
        <v>0</v>
      </c>
      <c r="X274">
        <v>-909021926</v>
      </c>
      <c r="Y274">
        <v>8.9999999999999993E-3</v>
      </c>
      <c r="AA274">
        <v>16950</v>
      </c>
      <c r="AB274">
        <v>0</v>
      </c>
      <c r="AC274">
        <v>0</v>
      </c>
      <c r="AD274">
        <v>0</v>
      </c>
      <c r="AE274">
        <v>16950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8.9999999999999993E-3</v>
      </c>
      <c r="AU274" t="s">
        <v>6</v>
      </c>
      <c r="AV274">
        <v>0</v>
      </c>
      <c r="AW274">
        <v>2</v>
      </c>
      <c r="AX274">
        <v>16784576</v>
      </c>
      <c r="AY274">
        <v>1</v>
      </c>
      <c r="AZ274">
        <v>0</v>
      </c>
      <c r="BA274">
        <v>282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Y274*Source!I98</f>
        <v>2.7899999999999995E-4</v>
      </c>
      <c r="CY274">
        <f>AA274</f>
        <v>16950</v>
      </c>
      <c r="CZ274">
        <f>AE274</f>
        <v>16950</v>
      </c>
      <c r="DA274">
        <f>AI274</f>
        <v>1</v>
      </c>
      <c r="DB274">
        <f t="shared" si="46"/>
        <v>152.55000000000001</v>
      </c>
      <c r="DC274">
        <f t="shared" si="47"/>
        <v>0</v>
      </c>
    </row>
    <row r="275" spans="1:107" x14ac:dyDescent="0.2">
      <c r="A275">
        <f>ROW(Source!A99)</f>
        <v>99</v>
      </c>
      <c r="B275">
        <v>16784196</v>
      </c>
      <c r="C275">
        <v>16784564</v>
      </c>
      <c r="D275">
        <v>15436014</v>
      </c>
      <c r="E275">
        <v>1</v>
      </c>
      <c r="F275">
        <v>1</v>
      </c>
      <c r="G275">
        <v>1</v>
      </c>
      <c r="H275">
        <v>1</v>
      </c>
      <c r="I275" t="s">
        <v>502</v>
      </c>
      <c r="J275" t="s">
        <v>6</v>
      </c>
      <c r="K275" t="s">
        <v>503</v>
      </c>
      <c r="L275">
        <v>1191</v>
      </c>
      <c r="N275">
        <v>1013</v>
      </c>
      <c r="O275" t="s">
        <v>495</v>
      </c>
      <c r="P275" t="s">
        <v>495</v>
      </c>
      <c r="Q275">
        <v>1</v>
      </c>
      <c r="W275">
        <v>0</v>
      </c>
      <c r="X275">
        <v>-784637506</v>
      </c>
      <c r="Y275">
        <v>65.94</v>
      </c>
      <c r="AA275">
        <v>0</v>
      </c>
      <c r="AB275">
        <v>0</v>
      </c>
      <c r="AC275">
        <v>0</v>
      </c>
      <c r="AD275">
        <v>53.4</v>
      </c>
      <c r="AE275">
        <v>0</v>
      </c>
      <c r="AF275">
        <v>0</v>
      </c>
      <c r="AG275">
        <v>0</v>
      </c>
      <c r="AH275">
        <v>8.74</v>
      </c>
      <c r="AI275">
        <v>1</v>
      </c>
      <c r="AJ275">
        <v>1</v>
      </c>
      <c r="AK275">
        <v>1</v>
      </c>
      <c r="AL275">
        <v>6.11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65.94</v>
      </c>
      <c r="AU275" t="s">
        <v>6</v>
      </c>
      <c r="AV275">
        <v>1</v>
      </c>
      <c r="AW275">
        <v>2</v>
      </c>
      <c r="AX275">
        <v>16784571</v>
      </c>
      <c r="AY275">
        <v>1</v>
      </c>
      <c r="AZ275">
        <v>0</v>
      </c>
      <c r="BA275">
        <v>283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Y275*Source!I99</f>
        <v>2.0441400000000001</v>
      </c>
      <c r="CY275">
        <f>AD275</f>
        <v>53.4</v>
      </c>
      <c r="CZ275">
        <f>AH275</f>
        <v>8.74</v>
      </c>
      <c r="DA275">
        <f>AL275</f>
        <v>6.11</v>
      </c>
      <c r="DB275">
        <f t="shared" si="46"/>
        <v>576.32000000000005</v>
      </c>
      <c r="DC275">
        <f t="shared" si="47"/>
        <v>0</v>
      </c>
    </row>
    <row r="276" spans="1:107" x14ac:dyDescent="0.2">
      <c r="A276">
        <f>ROW(Source!A99)</f>
        <v>99</v>
      </c>
      <c r="B276">
        <v>16784196</v>
      </c>
      <c r="C276">
        <v>16784564</v>
      </c>
      <c r="D276">
        <v>15430395</v>
      </c>
      <c r="E276">
        <v>1</v>
      </c>
      <c r="F276">
        <v>1</v>
      </c>
      <c r="G276">
        <v>1</v>
      </c>
      <c r="H276">
        <v>1</v>
      </c>
      <c r="I276" t="s">
        <v>496</v>
      </c>
      <c r="J276" t="s">
        <v>6</v>
      </c>
      <c r="K276" t="s">
        <v>497</v>
      </c>
      <c r="L276">
        <v>1191</v>
      </c>
      <c r="N276">
        <v>1013</v>
      </c>
      <c r="O276" t="s">
        <v>495</v>
      </c>
      <c r="P276" t="s">
        <v>495</v>
      </c>
      <c r="Q276">
        <v>1</v>
      </c>
      <c r="W276">
        <v>0</v>
      </c>
      <c r="X276">
        <v>-1417349443</v>
      </c>
      <c r="Y276">
        <v>0.01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1</v>
      </c>
      <c r="AJ276">
        <v>1</v>
      </c>
      <c r="AK276">
        <v>6.11</v>
      </c>
      <c r="AL276">
        <v>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0.01</v>
      </c>
      <c r="AU276" t="s">
        <v>6</v>
      </c>
      <c r="AV276">
        <v>2</v>
      </c>
      <c r="AW276">
        <v>2</v>
      </c>
      <c r="AX276">
        <v>16784572</v>
      </c>
      <c r="AY276">
        <v>1</v>
      </c>
      <c r="AZ276">
        <v>0</v>
      </c>
      <c r="BA276">
        <v>284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Y276*Source!I99</f>
        <v>3.1E-4</v>
      </c>
      <c r="CY276">
        <f>AD276</f>
        <v>0</v>
      </c>
      <c r="CZ276">
        <f>AH276</f>
        <v>0</v>
      </c>
      <c r="DA276">
        <f>AL276</f>
        <v>1</v>
      </c>
      <c r="DB276">
        <f t="shared" si="46"/>
        <v>0</v>
      </c>
      <c r="DC276">
        <f t="shared" si="47"/>
        <v>0</v>
      </c>
    </row>
    <row r="277" spans="1:107" x14ac:dyDescent="0.2">
      <c r="A277">
        <f>ROW(Source!A99)</f>
        <v>99</v>
      </c>
      <c r="B277">
        <v>16784196</v>
      </c>
      <c r="C277">
        <v>16784564</v>
      </c>
      <c r="D277">
        <v>15249073</v>
      </c>
      <c r="E277">
        <v>1</v>
      </c>
      <c r="F277">
        <v>1</v>
      </c>
      <c r="G277">
        <v>1</v>
      </c>
      <c r="H277">
        <v>2</v>
      </c>
      <c r="I277" t="s">
        <v>504</v>
      </c>
      <c r="J277" t="s">
        <v>505</v>
      </c>
      <c r="K277" t="s">
        <v>506</v>
      </c>
      <c r="L277">
        <v>1368</v>
      </c>
      <c r="N277">
        <v>1011</v>
      </c>
      <c r="O277" t="s">
        <v>501</v>
      </c>
      <c r="P277" t="s">
        <v>501</v>
      </c>
      <c r="Q277">
        <v>1</v>
      </c>
      <c r="W277">
        <v>0</v>
      </c>
      <c r="X277">
        <v>1372534845</v>
      </c>
      <c r="Y277">
        <v>0.01</v>
      </c>
      <c r="AA277">
        <v>0</v>
      </c>
      <c r="AB277">
        <v>401.49</v>
      </c>
      <c r="AC277">
        <v>11.6</v>
      </c>
      <c r="AD277">
        <v>0</v>
      </c>
      <c r="AE277">
        <v>0</v>
      </c>
      <c r="AF277">
        <v>65.709999999999994</v>
      </c>
      <c r="AG277">
        <v>11.6</v>
      </c>
      <c r="AH277">
        <v>0</v>
      </c>
      <c r="AI277">
        <v>1</v>
      </c>
      <c r="AJ277">
        <v>6.11</v>
      </c>
      <c r="AK277">
        <v>1</v>
      </c>
      <c r="AL277">
        <v>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6</v>
      </c>
      <c r="AT277">
        <v>0.01</v>
      </c>
      <c r="AU277" t="s">
        <v>6</v>
      </c>
      <c r="AV277">
        <v>0</v>
      </c>
      <c r="AW277">
        <v>2</v>
      </c>
      <c r="AX277">
        <v>16784573</v>
      </c>
      <c r="AY277">
        <v>1</v>
      </c>
      <c r="AZ277">
        <v>0</v>
      </c>
      <c r="BA277">
        <v>285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Y277*Source!I99</f>
        <v>3.1E-4</v>
      </c>
      <c r="CY277">
        <f>AB277</f>
        <v>401.49</v>
      </c>
      <c r="CZ277">
        <f>AF277</f>
        <v>65.709999999999994</v>
      </c>
      <c r="DA277">
        <f>AJ277</f>
        <v>6.11</v>
      </c>
      <c r="DB277">
        <f t="shared" si="46"/>
        <v>0.66</v>
      </c>
      <c r="DC277">
        <f t="shared" si="47"/>
        <v>0.12</v>
      </c>
    </row>
    <row r="278" spans="1:107" x14ac:dyDescent="0.2">
      <c r="A278">
        <f>ROW(Source!A99)</f>
        <v>99</v>
      </c>
      <c r="B278">
        <v>16784196</v>
      </c>
      <c r="C278">
        <v>16784564</v>
      </c>
      <c r="D278">
        <v>15171018</v>
      </c>
      <c r="E278">
        <v>1</v>
      </c>
      <c r="F278">
        <v>1</v>
      </c>
      <c r="G278">
        <v>1</v>
      </c>
      <c r="H278">
        <v>3</v>
      </c>
      <c r="I278" t="s">
        <v>531</v>
      </c>
      <c r="J278" t="s">
        <v>532</v>
      </c>
      <c r="K278" t="s">
        <v>533</v>
      </c>
      <c r="L278">
        <v>1346</v>
      </c>
      <c r="N278">
        <v>1009</v>
      </c>
      <c r="O278" t="s">
        <v>60</v>
      </c>
      <c r="P278" t="s">
        <v>60</v>
      </c>
      <c r="Q278">
        <v>1</v>
      </c>
      <c r="W278">
        <v>0</v>
      </c>
      <c r="X278">
        <v>813963326</v>
      </c>
      <c r="Y278">
        <v>0.1</v>
      </c>
      <c r="AA278">
        <v>11.12</v>
      </c>
      <c r="AB278">
        <v>0</v>
      </c>
      <c r="AC278">
        <v>0</v>
      </c>
      <c r="AD278">
        <v>0</v>
      </c>
      <c r="AE278">
        <v>1.82</v>
      </c>
      <c r="AF278">
        <v>0</v>
      </c>
      <c r="AG278">
        <v>0</v>
      </c>
      <c r="AH278">
        <v>0</v>
      </c>
      <c r="AI278">
        <v>6.11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0.1</v>
      </c>
      <c r="AU278" t="s">
        <v>6</v>
      </c>
      <c r="AV278">
        <v>0</v>
      </c>
      <c r="AW278">
        <v>2</v>
      </c>
      <c r="AX278">
        <v>16784574</v>
      </c>
      <c r="AY278">
        <v>1</v>
      </c>
      <c r="AZ278">
        <v>0</v>
      </c>
      <c r="BA278">
        <v>286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Y278*Source!I99</f>
        <v>3.1000000000000003E-3</v>
      </c>
      <c r="CY278">
        <f>AA278</f>
        <v>11.12</v>
      </c>
      <c r="CZ278">
        <f>AE278</f>
        <v>1.82</v>
      </c>
      <c r="DA278">
        <f>AI278</f>
        <v>6.11</v>
      </c>
      <c r="DB278">
        <f t="shared" si="46"/>
        <v>0.18</v>
      </c>
      <c r="DC278">
        <f t="shared" si="47"/>
        <v>0</v>
      </c>
    </row>
    <row r="279" spans="1:107" x14ac:dyDescent="0.2">
      <c r="A279">
        <f>ROW(Source!A99)</f>
        <v>99</v>
      </c>
      <c r="B279">
        <v>16784196</v>
      </c>
      <c r="C279">
        <v>16784564</v>
      </c>
      <c r="D279">
        <v>15203744</v>
      </c>
      <c r="E279">
        <v>1</v>
      </c>
      <c r="F279">
        <v>1</v>
      </c>
      <c r="G279">
        <v>1</v>
      </c>
      <c r="H279">
        <v>3</v>
      </c>
      <c r="I279" t="s">
        <v>204</v>
      </c>
      <c r="J279" t="s">
        <v>206</v>
      </c>
      <c r="K279" t="s">
        <v>205</v>
      </c>
      <c r="L279">
        <v>1348</v>
      </c>
      <c r="N279">
        <v>1009</v>
      </c>
      <c r="O279" t="s">
        <v>65</v>
      </c>
      <c r="P279" t="s">
        <v>65</v>
      </c>
      <c r="Q279">
        <v>1000</v>
      </c>
      <c r="W279">
        <v>0</v>
      </c>
      <c r="X279">
        <v>1129880761</v>
      </c>
      <c r="Y279">
        <v>1.61E-2</v>
      </c>
      <c r="AA279">
        <v>128668.47</v>
      </c>
      <c r="AB279">
        <v>0</v>
      </c>
      <c r="AC279">
        <v>0</v>
      </c>
      <c r="AD279">
        <v>0</v>
      </c>
      <c r="AE279">
        <v>21058.67</v>
      </c>
      <c r="AF279">
        <v>0</v>
      </c>
      <c r="AG279">
        <v>0</v>
      </c>
      <c r="AH279">
        <v>0</v>
      </c>
      <c r="AI279">
        <v>6.11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6</v>
      </c>
      <c r="AT279">
        <v>1.61E-2</v>
      </c>
      <c r="AU279" t="s">
        <v>6</v>
      </c>
      <c r="AV279">
        <v>0</v>
      </c>
      <c r="AW279">
        <v>1</v>
      </c>
      <c r="AX279">
        <v>-1</v>
      </c>
      <c r="AY279">
        <v>0</v>
      </c>
      <c r="AZ279">
        <v>0</v>
      </c>
      <c r="BA279" t="s">
        <v>6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Y279*Source!I99</f>
        <v>4.9909999999999993E-4</v>
      </c>
      <c r="CY279">
        <f>AA279</f>
        <v>128668.47</v>
      </c>
      <c r="CZ279">
        <f>AE279</f>
        <v>21058.67</v>
      </c>
      <c r="DA279">
        <f>AI279</f>
        <v>6.11</v>
      </c>
      <c r="DB279">
        <f t="shared" si="46"/>
        <v>339.04</v>
      </c>
      <c r="DC279">
        <f t="shared" si="47"/>
        <v>0</v>
      </c>
    </row>
    <row r="280" spans="1:107" x14ac:dyDescent="0.2">
      <c r="A280">
        <f>ROW(Source!A99)</f>
        <v>99</v>
      </c>
      <c r="B280">
        <v>16784196</v>
      </c>
      <c r="C280">
        <v>16784564</v>
      </c>
      <c r="D280">
        <v>15204468</v>
      </c>
      <c r="E280">
        <v>1</v>
      </c>
      <c r="F280">
        <v>1</v>
      </c>
      <c r="G280">
        <v>1</v>
      </c>
      <c r="H280">
        <v>3</v>
      </c>
      <c r="I280" t="s">
        <v>659</v>
      </c>
      <c r="J280" t="s">
        <v>660</v>
      </c>
      <c r="K280" t="s">
        <v>661</v>
      </c>
      <c r="L280">
        <v>1348</v>
      </c>
      <c r="N280">
        <v>1009</v>
      </c>
      <c r="O280" t="s">
        <v>65</v>
      </c>
      <c r="P280" t="s">
        <v>65</v>
      </c>
      <c r="Q280">
        <v>1000</v>
      </c>
      <c r="W280">
        <v>0</v>
      </c>
      <c r="X280">
        <v>-909021926</v>
      </c>
      <c r="Y280">
        <v>8.9999999999999993E-3</v>
      </c>
      <c r="AA280">
        <v>103564.5</v>
      </c>
      <c r="AB280">
        <v>0</v>
      </c>
      <c r="AC280">
        <v>0</v>
      </c>
      <c r="AD280">
        <v>0</v>
      </c>
      <c r="AE280">
        <v>16950</v>
      </c>
      <c r="AF280">
        <v>0</v>
      </c>
      <c r="AG280">
        <v>0</v>
      </c>
      <c r="AH280">
        <v>0</v>
      </c>
      <c r="AI280">
        <v>6.11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8.9999999999999993E-3</v>
      </c>
      <c r="AU280" t="s">
        <v>6</v>
      </c>
      <c r="AV280">
        <v>0</v>
      </c>
      <c r="AW280">
        <v>2</v>
      </c>
      <c r="AX280">
        <v>16784576</v>
      </c>
      <c r="AY280">
        <v>1</v>
      </c>
      <c r="AZ280">
        <v>0</v>
      </c>
      <c r="BA280">
        <v>288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Y280*Source!I99</f>
        <v>2.7899999999999995E-4</v>
      </c>
      <c r="CY280">
        <f>AA280</f>
        <v>103564.5</v>
      </c>
      <c r="CZ280">
        <f>AE280</f>
        <v>16950</v>
      </c>
      <c r="DA280">
        <f>AI280</f>
        <v>6.11</v>
      </c>
      <c r="DB280">
        <f t="shared" si="46"/>
        <v>152.55000000000001</v>
      </c>
      <c r="DC280">
        <f t="shared" si="47"/>
        <v>0</v>
      </c>
    </row>
    <row r="281" spans="1:107" x14ac:dyDescent="0.2">
      <c r="A281">
        <f>ROW(Source!A102)</f>
        <v>102</v>
      </c>
      <c r="B281">
        <v>16784195</v>
      </c>
      <c r="C281">
        <v>16785062</v>
      </c>
      <c r="D281">
        <v>15430767</v>
      </c>
      <c r="E281">
        <v>1</v>
      </c>
      <c r="F281">
        <v>1</v>
      </c>
      <c r="G281">
        <v>1</v>
      </c>
      <c r="H281">
        <v>1</v>
      </c>
      <c r="I281" t="s">
        <v>527</v>
      </c>
      <c r="J281" t="s">
        <v>6</v>
      </c>
      <c r="K281" t="s">
        <v>528</v>
      </c>
      <c r="L281">
        <v>1191</v>
      </c>
      <c r="N281">
        <v>1013</v>
      </c>
      <c r="O281" t="s">
        <v>495</v>
      </c>
      <c r="P281" t="s">
        <v>495</v>
      </c>
      <c r="Q281">
        <v>1</v>
      </c>
      <c r="W281">
        <v>0</v>
      </c>
      <c r="X281">
        <v>-400197608</v>
      </c>
      <c r="Y281">
        <v>27.648000000000003</v>
      </c>
      <c r="AA281">
        <v>0</v>
      </c>
      <c r="AB281">
        <v>0</v>
      </c>
      <c r="AC281">
        <v>0</v>
      </c>
      <c r="AD281">
        <v>8.5299999999999994</v>
      </c>
      <c r="AE281">
        <v>0</v>
      </c>
      <c r="AF281">
        <v>0</v>
      </c>
      <c r="AG281">
        <v>0</v>
      </c>
      <c r="AH281">
        <v>8.5299999999999994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6</v>
      </c>
      <c r="AT281">
        <v>34.56</v>
      </c>
      <c r="AU281" t="s">
        <v>211</v>
      </c>
      <c r="AV281">
        <v>1</v>
      </c>
      <c r="AW281">
        <v>2</v>
      </c>
      <c r="AX281">
        <v>16785063</v>
      </c>
      <c r="AY281">
        <v>1</v>
      </c>
      <c r="AZ281">
        <v>0</v>
      </c>
      <c r="BA281">
        <v>289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Y281*Source!I102</f>
        <v>2.8200959999999999</v>
      </c>
      <c r="CY281">
        <f>AD281</f>
        <v>8.5299999999999994</v>
      </c>
      <c r="CZ281">
        <f>AH281</f>
        <v>8.5299999999999994</v>
      </c>
      <c r="DA281">
        <f>AL281</f>
        <v>1</v>
      </c>
      <c r="DB281">
        <f>ROUND((ROUND(AT281*CZ281,2)*0.8),2)</f>
        <v>235.84</v>
      </c>
      <c r="DC281">
        <f>ROUND((ROUND(AT281*AG281,2)*0.8),2)</f>
        <v>0</v>
      </c>
    </row>
    <row r="282" spans="1:107" x14ac:dyDescent="0.2">
      <c r="A282">
        <f>ROW(Source!A102)</f>
        <v>102</v>
      </c>
      <c r="B282">
        <v>16784195</v>
      </c>
      <c r="C282">
        <v>16785062</v>
      </c>
      <c r="D282">
        <v>15193110</v>
      </c>
      <c r="E282">
        <v>1</v>
      </c>
      <c r="F282">
        <v>1</v>
      </c>
      <c r="G282">
        <v>1</v>
      </c>
      <c r="H282">
        <v>3</v>
      </c>
      <c r="I282" t="s">
        <v>662</v>
      </c>
      <c r="J282" t="s">
        <v>663</v>
      </c>
      <c r="K282" t="s">
        <v>664</v>
      </c>
      <c r="L282">
        <v>1327</v>
      </c>
      <c r="N282">
        <v>1005</v>
      </c>
      <c r="O282" t="s">
        <v>35</v>
      </c>
      <c r="P282" t="s">
        <v>35</v>
      </c>
      <c r="Q282">
        <v>1</v>
      </c>
      <c r="W282">
        <v>0</v>
      </c>
      <c r="X282">
        <v>1818210239</v>
      </c>
      <c r="Y282">
        <v>0</v>
      </c>
      <c r="AA282">
        <v>701.31</v>
      </c>
      <c r="AB282">
        <v>0</v>
      </c>
      <c r="AC282">
        <v>0</v>
      </c>
      <c r="AD282">
        <v>0</v>
      </c>
      <c r="AE282">
        <v>701.31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1</v>
      </c>
      <c r="AQ282">
        <v>0</v>
      </c>
      <c r="AR282">
        <v>0</v>
      </c>
      <c r="AS282" t="s">
        <v>6</v>
      </c>
      <c r="AT282">
        <v>100</v>
      </c>
      <c r="AU282" t="s">
        <v>81</v>
      </c>
      <c r="AV282">
        <v>0</v>
      </c>
      <c r="AW282">
        <v>2</v>
      </c>
      <c r="AX282">
        <v>16785064</v>
      </c>
      <c r="AY282">
        <v>1</v>
      </c>
      <c r="AZ282">
        <v>0</v>
      </c>
      <c r="BA282">
        <v>290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Y282*Source!I102</f>
        <v>0</v>
      </c>
      <c r="CY282">
        <f>AA282</f>
        <v>701.31</v>
      </c>
      <c r="CZ282">
        <f>AE282</f>
        <v>701.31</v>
      </c>
      <c r="DA282">
        <f>AI282</f>
        <v>1</v>
      </c>
      <c r="DB282">
        <f>ROUND((ROUND(AT282*CZ282,2)*0),2)</f>
        <v>0</v>
      </c>
      <c r="DC282">
        <f>ROUND((ROUND(AT282*AG282,2)*0),2)</f>
        <v>0</v>
      </c>
    </row>
    <row r="283" spans="1:107" x14ac:dyDescent="0.2">
      <c r="A283">
        <f>ROW(Source!A103)</f>
        <v>103</v>
      </c>
      <c r="B283">
        <v>16784196</v>
      </c>
      <c r="C283">
        <v>16785062</v>
      </c>
      <c r="D283">
        <v>15430767</v>
      </c>
      <c r="E283">
        <v>1</v>
      </c>
      <c r="F283">
        <v>1</v>
      </c>
      <c r="G283">
        <v>1</v>
      </c>
      <c r="H283">
        <v>1</v>
      </c>
      <c r="I283" t="s">
        <v>527</v>
      </c>
      <c r="J283" t="s">
        <v>6</v>
      </c>
      <c r="K283" t="s">
        <v>528</v>
      </c>
      <c r="L283">
        <v>1191</v>
      </c>
      <c r="N283">
        <v>1013</v>
      </c>
      <c r="O283" t="s">
        <v>495</v>
      </c>
      <c r="P283" t="s">
        <v>495</v>
      </c>
      <c r="Q283">
        <v>1</v>
      </c>
      <c r="W283">
        <v>0</v>
      </c>
      <c r="X283">
        <v>-400197608</v>
      </c>
      <c r="Y283">
        <v>27.648000000000003</v>
      </c>
      <c r="AA283">
        <v>0</v>
      </c>
      <c r="AB283">
        <v>0</v>
      </c>
      <c r="AC283">
        <v>0</v>
      </c>
      <c r="AD283">
        <v>52.12</v>
      </c>
      <c r="AE283">
        <v>0</v>
      </c>
      <c r="AF283">
        <v>0</v>
      </c>
      <c r="AG283">
        <v>0</v>
      </c>
      <c r="AH283">
        <v>8.5299999999999994</v>
      </c>
      <c r="AI283">
        <v>1</v>
      </c>
      <c r="AJ283">
        <v>1</v>
      </c>
      <c r="AK283">
        <v>1</v>
      </c>
      <c r="AL283">
        <v>6.11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6</v>
      </c>
      <c r="AT283">
        <v>34.56</v>
      </c>
      <c r="AU283" t="s">
        <v>211</v>
      </c>
      <c r="AV283">
        <v>1</v>
      </c>
      <c r="AW283">
        <v>2</v>
      </c>
      <c r="AX283">
        <v>16785063</v>
      </c>
      <c r="AY283">
        <v>1</v>
      </c>
      <c r="AZ283">
        <v>0</v>
      </c>
      <c r="BA283">
        <v>291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Y283*Source!I103</f>
        <v>2.8200959999999999</v>
      </c>
      <c r="CY283">
        <f>AD283</f>
        <v>52.12</v>
      </c>
      <c r="CZ283">
        <f>AH283</f>
        <v>8.5299999999999994</v>
      </c>
      <c r="DA283">
        <f>AL283</f>
        <v>6.11</v>
      </c>
      <c r="DB283">
        <f>ROUND((ROUND(AT283*CZ283,2)*0.8),2)</f>
        <v>235.84</v>
      </c>
      <c r="DC283">
        <f>ROUND((ROUND(AT283*AG283,2)*0.8),2)</f>
        <v>0</v>
      </c>
    </row>
    <row r="284" spans="1:107" x14ac:dyDescent="0.2">
      <c r="A284">
        <f>ROW(Source!A103)</f>
        <v>103</v>
      </c>
      <c r="B284">
        <v>16784196</v>
      </c>
      <c r="C284">
        <v>16785062</v>
      </c>
      <c r="D284">
        <v>15193110</v>
      </c>
      <c r="E284">
        <v>1</v>
      </c>
      <c r="F284">
        <v>1</v>
      </c>
      <c r="G284">
        <v>1</v>
      </c>
      <c r="H284">
        <v>3</v>
      </c>
      <c r="I284" t="s">
        <v>662</v>
      </c>
      <c r="J284" t="s">
        <v>663</v>
      </c>
      <c r="K284" t="s">
        <v>664</v>
      </c>
      <c r="L284">
        <v>1327</v>
      </c>
      <c r="N284">
        <v>1005</v>
      </c>
      <c r="O284" t="s">
        <v>35</v>
      </c>
      <c r="P284" t="s">
        <v>35</v>
      </c>
      <c r="Q284">
        <v>1</v>
      </c>
      <c r="W284">
        <v>0</v>
      </c>
      <c r="X284">
        <v>1818210239</v>
      </c>
      <c r="Y284">
        <v>0</v>
      </c>
      <c r="AA284">
        <v>4285</v>
      </c>
      <c r="AB284">
        <v>0</v>
      </c>
      <c r="AC284">
        <v>0</v>
      </c>
      <c r="AD284">
        <v>0</v>
      </c>
      <c r="AE284">
        <v>701.31</v>
      </c>
      <c r="AF284">
        <v>0</v>
      </c>
      <c r="AG284">
        <v>0</v>
      </c>
      <c r="AH284">
        <v>0</v>
      </c>
      <c r="AI284">
        <v>6.11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</v>
      </c>
      <c r="AT284">
        <v>100</v>
      </c>
      <c r="AU284" t="s">
        <v>81</v>
      </c>
      <c r="AV284">
        <v>0</v>
      </c>
      <c r="AW284">
        <v>2</v>
      </c>
      <c r="AX284">
        <v>16785064</v>
      </c>
      <c r="AY284">
        <v>1</v>
      </c>
      <c r="AZ284">
        <v>0</v>
      </c>
      <c r="BA284">
        <v>292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Y284*Source!I103</f>
        <v>0</v>
      </c>
      <c r="CY284">
        <f>AA284</f>
        <v>4285</v>
      </c>
      <c r="CZ284">
        <f>AE284</f>
        <v>701.31</v>
      </c>
      <c r="DA284">
        <f>AI284</f>
        <v>6.11</v>
      </c>
      <c r="DB284">
        <f>ROUND((ROUND(AT284*CZ284,2)*0),2)</f>
        <v>0</v>
      </c>
      <c r="DC284">
        <f>ROUND((ROUND(AT284*AG284,2)*0),2)</f>
        <v>0</v>
      </c>
    </row>
    <row r="285" spans="1:107" x14ac:dyDescent="0.2">
      <c r="A285">
        <f>ROW(Source!A104)</f>
        <v>104</v>
      </c>
      <c r="B285">
        <v>16784195</v>
      </c>
      <c r="C285">
        <v>16784588</v>
      </c>
      <c r="D285">
        <v>15430767</v>
      </c>
      <c r="E285">
        <v>1</v>
      </c>
      <c r="F285">
        <v>1</v>
      </c>
      <c r="G285">
        <v>1</v>
      </c>
      <c r="H285">
        <v>1</v>
      </c>
      <c r="I285" t="s">
        <v>527</v>
      </c>
      <c r="J285" t="s">
        <v>6</v>
      </c>
      <c r="K285" t="s">
        <v>528</v>
      </c>
      <c r="L285">
        <v>1191</v>
      </c>
      <c r="N285">
        <v>1013</v>
      </c>
      <c r="O285" t="s">
        <v>495</v>
      </c>
      <c r="P285" t="s">
        <v>495</v>
      </c>
      <c r="Q285">
        <v>1</v>
      </c>
      <c r="W285">
        <v>0</v>
      </c>
      <c r="X285">
        <v>-400197608</v>
      </c>
      <c r="Y285">
        <v>39.744</v>
      </c>
      <c r="AA285">
        <v>0</v>
      </c>
      <c r="AB285">
        <v>0</v>
      </c>
      <c r="AC285">
        <v>0</v>
      </c>
      <c r="AD285">
        <v>8.5299999999999994</v>
      </c>
      <c r="AE285">
        <v>0</v>
      </c>
      <c r="AF285">
        <v>0</v>
      </c>
      <c r="AG285">
        <v>0</v>
      </c>
      <c r="AH285">
        <v>8.5299999999999994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6</v>
      </c>
      <c r="AT285">
        <v>34.56</v>
      </c>
      <c r="AU285" t="s">
        <v>28</v>
      </c>
      <c r="AV285">
        <v>1</v>
      </c>
      <c r="AW285">
        <v>2</v>
      </c>
      <c r="AX285">
        <v>16784593</v>
      </c>
      <c r="AY285">
        <v>1</v>
      </c>
      <c r="AZ285">
        <v>0</v>
      </c>
      <c r="BA285">
        <v>293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Y285*Source!I104</f>
        <v>8.3462399999999999</v>
      </c>
      <c r="CY285">
        <f>AD285</f>
        <v>8.5299999999999994</v>
      </c>
      <c r="CZ285">
        <f>AH285</f>
        <v>8.5299999999999994</v>
      </c>
      <c r="DA285">
        <f>AL285</f>
        <v>1</v>
      </c>
      <c r="DB285">
        <f>ROUND((ROUND(AT285*CZ285,2)*1.15),2)</f>
        <v>339.02</v>
      </c>
      <c r="DC285">
        <f>ROUND((ROUND(AT285*AG285,2)*1.15),2)</f>
        <v>0</v>
      </c>
    </row>
    <row r="286" spans="1:107" x14ac:dyDescent="0.2">
      <c r="A286">
        <f>ROW(Source!A104)</f>
        <v>104</v>
      </c>
      <c r="B286">
        <v>16784195</v>
      </c>
      <c r="C286">
        <v>16784588</v>
      </c>
      <c r="D286">
        <v>15167415</v>
      </c>
      <c r="E286">
        <v>1</v>
      </c>
      <c r="F286">
        <v>1</v>
      </c>
      <c r="G286">
        <v>1</v>
      </c>
      <c r="H286">
        <v>3</v>
      </c>
      <c r="I286" t="s">
        <v>220</v>
      </c>
      <c r="J286" t="s">
        <v>223</v>
      </c>
      <c r="K286" t="s">
        <v>221</v>
      </c>
      <c r="L286">
        <v>1035</v>
      </c>
      <c r="N286">
        <v>1013</v>
      </c>
      <c r="O286" t="s">
        <v>222</v>
      </c>
      <c r="P286" t="s">
        <v>222</v>
      </c>
      <c r="Q286">
        <v>1</v>
      </c>
      <c r="W286">
        <v>0</v>
      </c>
      <c r="X286">
        <v>178640745</v>
      </c>
      <c r="Y286">
        <v>23.809524</v>
      </c>
      <c r="AA286">
        <v>72.77</v>
      </c>
      <c r="AB286">
        <v>0</v>
      </c>
      <c r="AC286">
        <v>0</v>
      </c>
      <c r="AD286">
        <v>0</v>
      </c>
      <c r="AE286">
        <v>72.77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6</v>
      </c>
      <c r="AT286">
        <v>23.809524</v>
      </c>
      <c r="AU286" t="s">
        <v>6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Y286*Source!I104</f>
        <v>5.0000000399999998</v>
      </c>
      <c r="CY286">
        <f>AA286</f>
        <v>72.77</v>
      </c>
      <c r="CZ286">
        <f>AE286</f>
        <v>72.77</v>
      </c>
      <c r="DA286">
        <f>AI286</f>
        <v>1</v>
      </c>
      <c r="DB286">
        <f>ROUND(ROUND(AT286*CZ286,2),2)</f>
        <v>1732.62</v>
      </c>
      <c r="DC286">
        <f>ROUND(ROUND(AT286*AG286,2),2)</f>
        <v>0</v>
      </c>
    </row>
    <row r="287" spans="1:107" x14ac:dyDescent="0.2">
      <c r="A287">
        <f>ROW(Source!A104)</f>
        <v>104</v>
      </c>
      <c r="B287">
        <v>16784195</v>
      </c>
      <c r="C287">
        <v>16784588</v>
      </c>
      <c r="D287">
        <v>15193110</v>
      </c>
      <c r="E287">
        <v>1</v>
      </c>
      <c r="F287">
        <v>1</v>
      </c>
      <c r="G287">
        <v>1</v>
      </c>
      <c r="H287">
        <v>3</v>
      </c>
      <c r="I287" t="s">
        <v>662</v>
      </c>
      <c r="J287" t="s">
        <v>663</v>
      </c>
      <c r="K287" t="s">
        <v>664</v>
      </c>
      <c r="L287">
        <v>1327</v>
      </c>
      <c r="N287">
        <v>1005</v>
      </c>
      <c r="O287" t="s">
        <v>35</v>
      </c>
      <c r="P287" t="s">
        <v>35</v>
      </c>
      <c r="Q287">
        <v>1</v>
      </c>
      <c r="W287">
        <v>0</v>
      </c>
      <c r="X287">
        <v>1818210239</v>
      </c>
      <c r="Y287">
        <v>100</v>
      </c>
      <c r="AA287">
        <v>701.31</v>
      </c>
      <c r="AB287">
        <v>0</v>
      </c>
      <c r="AC287">
        <v>0</v>
      </c>
      <c r="AD287">
        <v>0</v>
      </c>
      <c r="AE287">
        <v>701.31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6</v>
      </c>
      <c r="AT287">
        <v>100</v>
      </c>
      <c r="AU287" t="s">
        <v>6</v>
      </c>
      <c r="AV287">
        <v>0</v>
      </c>
      <c r="AW287">
        <v>2</v>
      </c>
      <c r="AX287">
        <v>16784594</v>
      </c>
      <c r="AY287">
        <v>1</v>
      </c>
      <c r="AZ287">
        <v>0</v>
      </c>
      <c r="BA287">
        <v>294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Y287*Source!I104</f>
        <v>21</v>
      </c>
      <c r="CY287">
        <f>AA287</f>
        <v>701.31</v>
      </c>
      <c r="CZ287">
        <f>AE287</f>
        <v>701.31</v>
      </c>
      <c r="DA287">
        <f>AI287</f>
        <v>1</v>
      </c>
      <c r="DB287">
        <f>ROUND(ROUND(AT287*CZ287,2),2)</f>
        <v>70131</v>
      </c>
      <c r="DC287">
        <f>ROUND(ROUND(AT287*AG287,2),2)</f>
        <v>0</v>
      </c>
    </row>
    <row r="288" spans="1:107" x14ac:dyDescent="0.2">
      <c r="A288">
        <f>ROW(Source!A104)</f>
        <v>104</v>
      </c>
      <c r="B288">
        <v>16784195</v>
      </c>
      <c r="C288">
        <v>16784588</v>
      </c>
      <c r="D288">
        <v>15196242</v>
      </c>
      <c r="E288">
        <v>1</v>
      </c>
      <c r="F288">
        <v>1</v>
      </c>
      <c r="G288">
        <v>1</v>
      </c>
      <c r="H288">
        <v>3</v>
      </c>
      <c r="I288" t="s">
        <v>216</v>
      </c>
      <c r="J288" t="s">
        <v>218</v>
      </c>
      <c r="K288" t="s">
        <v>217</v>
      </c>
      <c r="L288">
        <v>1327</v>
      </c>
      <c r="N288">
        <v>1005</v>
      </c>
      <c r="O288" t="s">
        <v>35</v>
      </c>
      <c r="P288" t="s">
        <v>35</v>
      </c>
      <c r="Q288">
        <v>1</v>
      </c>
      <c r="W288">
        <v>0</v>
      </c>
      <c r="X288">
        <v>893131269</v>
      </c>
      <c r="Y288">
        <v>34.951456</v>
      </c>
      <c r="AA288">
        <v>268.88</v>
      </c>
      <c r="AB288">
        <v>0</v>
      </c>
      <c r="AC288">
        <v>0</v>
      </c>
      <c r="AD288">
        <v>0</v>
      </c>
      <c r="AE288">
        <v>268.88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</v>
      </c>
      <c r="AT288">
        <v>34.951456</v>
      </c>
      <c r="AU288" t="s">
        <v>6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Y288*Source!I104</f>
        <v>7.33980576</v>
      </c>
      <c r="CY288">
        <f>AA288</f>
        <v>268.88</v>
      </c>
      <c r="CZ288">
        <f>AE288</f>
        <v>268.88</v>
      </c>
      <c r="DA288">
        <f>AI288</f>
        <v>1</v>
      </c>
      <c r="DB288">
        <f>ROUND(ROUND(AT288*CZ288,2),2)</f>
        <v>9397.75</v>
      </c>
      <c r="DC288">
        <f>ROUND(ROUND(AT288*AG288,2),2)</f>
        <v>0</v>
      </c>
    </row>
    <row r="289" spans="1:107" x14ac:dyDescent="0.2">
      <c r="A289">
        <f>ROW(Source!A105)</f>
        <v>105</v>
      </c>
      <c r="B289">
        <v>16784196</v>
      </c>
      <c r="C289">
        <v>16784588</v>
      </c>
      <c r="D289">
        <v>15430767</v>
      </c>
      <c r="E289">
        <v>1</v>
      </c>
      <c r="F289">
        <v>1</v>
      </c>
      <c r="G289">
        <v>1</v>
      </c>
      <c r="H289">
        <v>1</v>
      </c>
      <c r="I289" t="s">
        <v>527</v>
      </c>
      <c r="J289" t="s">
        <v>6</v>
      </c>
      <c r="K289" t="s">
        <v>528</v>
      </c>
      <c r="L289">
        <v>1191</v>
      </c>
      <c r="N289">
        <v>1013</v>
      </c>
      <c r="O289" t="s">
        <v>495</v>
      </c>
      <c r="P289" t="s">
        <v>495</v>
      </c>
      <c r="Q289">
        <v>1</v>
      </c>
      <c r="W289">
        <v>0</v>
      </c>
      <c r="X289">
        <v>-400197608</v>
      </c>
      <c r="Y289">
        <v>39.744</v>
      </c>
      <c r="AA289">
        <v>0</v>
      </c>
      <c r="AB289">
        <v>0</v>
      </c>
      <c r="AC289">
        <v>0</v>
      </c>
      <c r="AD289">
        <v>52.12</v>
      </c>
      <c r="AE289">
        <v>0</v>
      </c>
      <c r="AF289">
        <v>0</v>
      </c>
      <c r="AG289">
        <v>0</v>
      </c>
      <c r="AH289">
        <v>8.5299999999999994</v>
      </c>
      <c r="AI289">
        <v>1</v>
      </c>
      <c r="AJ289">
        <v>1</v>
      </c>
      <c r="AK289">
        <v>1</v>
      </c>
      <c r="AL289">
        <v>6.11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6</v>
      </c>
      <c r="AT289">
        <v>34.56</v>
      </c>
      <c r="AU289" t="s">
        <v>28</v>
      </c>
      <c r="AV289">
        <v>1</v>
      </c>
      <c r="AW289">
        <v>2</v>
      </c>
      <c r="AX289">
        <v>16784593</v>
      </c>
      <c r="AY289">
        <v>1</v>
      </c>
      <c r="AZ289">
        <v>0</v>
      </c>
      <c r="BA289">
        <v>295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Y289*Source!I105</f>
        <v>8.3462399999999999</v>
      </c>
      <c r="CY289">
        <f>AD289</f>
        <v>52.12</v>
      </c>
      <c r="CZ289">
        <f>AH289</f>
        <v>8.5299999999999994</v>
      </c>
      <c r="DA289">
        <f>AL289</f>
        <v>6.11</v>
      </c>
      <c r="DB289">
        <f>ROUND((ROUND(AT289*CZ289,2)*1.15),2)</f>
        <v>339.02</v>
      </c>
      <c r="DC289">
        <f>ROUND((ROUND(AT289*AG289,2)*1.15),2)</f>
        <v>0</v>
      </c>
    </row>
    <row r="290" spans="1:107" x14ac:dyDescent="0.2">
      <c r="A290">
        <f>ROW(Source!A105)</f>
        <v>105</v>
      </c>
      <c r="B290">
        <v>16784196</v>
      </c>
      <c r="C290">
        <v>16784588</v>
      </c>
      <c r="D290">
        <v>15167415</v>
      </c>
      <c r="E290">
        <v>1</v>
      </c>
      <c r="F290">
        <v>1</v>
      </c>
      <c r="G290">
        <v>1</v>
      </c>
      <c r="H290">
        <v>3</v>
      </c>
      <c r="I290" t="s">
        <v>220</v>
      </c>
      <c r="J290" t="s">
        <v>223</v>
      </c>
      <c r="K290" t="s">
        <v>221</v>
      </c>
      <c r="L290">
        <v>1035</v>
      </c>
      <c r="N290">
        <v>1013</v>
      </c>
      <c r="O290" t="s">
        <v>222</v>
      </c>
      <c r="P290" t="s">
        <v>222</v>
      </c>
      <c r="Q290">
        <v>1</v>
      </c>
      <c r="W290">
        <v>0</v>
      </c>
      <c r="X290">
        <v>178640745</v>
      </c>
      <c r="Y290">
        <v>23.809524</v>
      </c>
      <c r="AA290">
        <v>444.62</v>
      </c>
      <c r="AB290">
        <v>0</v>
      </c>
      <c r="AC290">
        <v>0</v>
      </c>
      <c r="AD290">
        <v>0</v>
      </c>
      <c r="AE290">
        <v>72.77</v>
      </c>
      <c r="AF290">
        <v>0</v>
      </c>
      <c r="AG290">
        <v>0</v>
      </c>
      <c r="AH290">
        <v>0</v>
      </c>
      <c r="AI290">
        <v>6.11</v>
      </c>
      <c r="AJ290">
        <v>1</v>
      </c>
      <c r="AK290">
        <v>1</v>
      </c>
      <c r="AL290">
        <v>1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6</v>
      </c>
      <c r="AT290">
        <v>23.809524</v>
      </c>
      <c r="AU290" t="s">
        <v>6</v>
      </c>
      <c r="AV290">
        <v>0</v>
      </c>
      <c r="AW290">
        <v>1</v>
      </c>
      <c r="AX290">
        <v>-1</v>
      </c>
      <c r="AY290">
        <v>0</v>
      </c>
      <c r="AZ290">
        <v>0</v>
      </c>
      <c r="BA290" t="s">
        <v>6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Y290*Source!I105</f>
        <v>5.0000000399999998</v>
      </c>
      <c r="CY290">
        <f>AA290</f>
        <v>444.62</v>
      </c>
      <c r="CZ290">
        <f>AE290</f>
        <v>72.77</v>
      </c>
      <c r="DA290">
        <f>AI290</f>
        <v>6.11</v>
      </c>
      <c r="DB290">
        <f t="shared" ref="DB290:DB304" si="48">ROUND(ROUND(AT290*CZ290,2),2)</f>
        <v>1732.62</v>
      </c>
      <c r="DC290">
        <f t="shared" ref="DC290:DC304" si="49">ROUND(ROUND(AT290*AG290,2),2)</f>
        <v>0</v>
      </c>
    </row>
    <row r="291" spans="1:107" x14ac:dyDescent="0.2">
      <c r="A291">
        <f>ROW(Source!A105)</f>
        <v>105</v>
      </c>
      <c r="B291">
        <v>16784196</v>
      </c>
      <c r="C291">
        <v>16784588</v>
      </c>
      <c r="D291">
        <v>15193110</v>
      </c>
      <c r="E291">
        <v>1</v>
      </c>
      <c r="F291">
        <v>1</v>
      </c>
      <c r="G291">
        <v>1</v>
      </c>
      <c r="H291">
        <v>3</v>
      </c>
      <c r="I291" t="s">
        <v>662</v>
      </c>
      <c r="J291" t="s">
        <v>663</v>
      </c>
      <c r="K291" t="s">
        <v>664</v>
      </c>
      <c r="L291">
        <v>1327</v>
      </c>
      <c r="N291">
        <v>1005</v>
      </c>
      <c r="O291" t="s">
        <v>35</v>
      </c>
      <c r="P291" t="s">
        <v>35</v>
      </c>
      <c r="Q291">
        <v>1</v>
      </c>
      <c r="W291">
        <v>0</v>
      </c>
      <c r="X291">
        <v>1818210239</v>
      </c>
      <c r="Y291">
        <v>100</v>
      </c>
      <c r="AA291">
        <v>4285</v>
      </c>
      <c r="AB291">
        <v>0</v>
      </c>
      <c r="AC291">
        <v>0</v>
      </c>
      <c r="AD291">
        <v>0</v>
      </c>
      <c r="AE291">
        <v>701.31</v>
      </c>
      <c r="AF291">
        <v>0</v>
      </c>
      <c r="AG291">
        <v>0</v>
      </c>
      <c r="AH291">
        <v>0</v>
      </c>
      <c r="AI291">
        <v>6.11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100</v>
      </c>
      <c r="AU291" t="s">
        <v>6</v>
      </c>
      <c r="AV291">
        <v>0</v>
      </c>
      <c r="AW291">
        <v>2</v>
      </c>
      <c r="AX291">
        <v>16784594</v>
      </c>
      <c r="AY291">
        <v>1</v>
      </c>
      <c r="AZ291">
        <v>0</v>
      </c>
      <c r="BA291">
        <v>296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Y291*Source!I105</f>
        <v>21</v>
      </c>
      <c r="CY291">
        <f>AA291</f>
        <v>4285</v>
      </c>
      <c r="CZ291">
        <f>AE291</f>
        <v>701.31</v>
      </c>
      <c r="DA291">
        <f>AI291</f>
        <v>6.11</v>
      </c>
      <c r="DB291">
        <f t="shared" si="48"/>
        <v>70131</v>
      </c>
      <c r="DC291">
        <f t="shared" si="49"/>
        <v>0</v>
      </c>
    </row>
    <row r="292" spans="1:107" x14ac:dyDescent="0.2">
      <c r="A292">
        <f>ROW(Source!A105)</f>
        <v>105</v>
      </c>
      <c r="B292">
        <v>16784196</v>
      </c>
      <c r="C292">
        <v>16784588</v>
      </c>
      <c r="D292">
        <v>15196242</v>
      </c>
      <c r="E292">
        <v>1</v>
      </c>
      <c r="F292">
        <v>1</v>
      </c>
      <c r="G292">
        <v>1</v>
      </c>
      <c r="H292">
        <v>3</v>
      </c>
      <c r="I292" t="s">
        <v>216</v>
      </c>
      <c r="J292" t="s">
        <v>218</v>
      </c>
      <c r="K292" t="s">
        <v>217</v>
      </c>
      <c r="L292">
        <v>1327</v>
      </c>
      <c r="N292">
        <v>1005</v>
      </c>
      <c r="O292" t="s">
        <v>35</v>
      </c>
      <c r="P292" t="s">
        <v>35</v>
      </c>
      <c r="Q292">
        <v>1</v>
      </c>
      <c r="W292">
        <v>0</v>
      </c>
      <c r="X292">
        <v>893131269</v>
      </c>
      <c r="Y292">
        <v>34.951456</v>
      </c>
      <c r="AA292">
        <v>1642.86</v>
      </c>
      <c r="AB292">
        <v>0</v>
      </c>
      <c r="AC292">
        <v>0</v>
      </c>
      <c r="AD292">
        <v>0</v>
      </c>
      <c r="AE292">
        <v>268.88</v>
      </c>
      <c r="AF292">
        <v>0</v>
      </c>
      <c r="AG292">
        <v>0</v>
      </c>
      <c r="AH292">
        <v>0</v>
      </c>
      <c r="AI292">
        <v>6.11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6</v>
      </c>
      <c r="AT292">
        <v>34.951456</v>
      </c>
      <c r="AU292" t="s">
        <v>6</v>
      </c>
      <c r="AV292">
        <v>0</v>
      </c>
      <c r="AW292">
        <v>1</v>
      </c>
      <c r="AX292">
        <v>-1</v>
      </c>
      <c r="AY292">
        <v>0</v>
      </c>
      <c r="AZ292">
        <v>0</v>
      </c>
      <c r="BA292" t="s">
        <v>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Y292*Source!I105</f>
        <v>7.33980576</v>
      </c>
      <c r="CY292">
        <f>AA292</f>
        <v>1642.86</v>
      </c>
      <c r="CZ292">
        <f>AE292</f>
        <v>268.88</v>
      </c>
      <c r="DA292">
        <f>AI292</f>
        <v>6.11</v>
      </c>
      <c r="DB292">
        <f t="shared" si="48"/>
        <v>9397.75</v>
      </c>
      <c r="DC292">
        <f t="shared" si="49"/>
        <v>0</v>
      </c>
    </row>
    <row r="293" spans="1:107" x14ac:dyDescent="0.2">
      <c r="A293">
        <f>ROW(Source!A110)</f>
        <v>110</v>
      </c>
      <c r="B293">
        <v>16784195</v>
      </c>
      <c r="C293">
        <v>16784597</v>
      </c>
      <c r="D293">
        <v>15436556</v>
      </c>
      <c r="E293">
        <v>1</v>
      </c>
      <c r="F293">
        <v>1</v>
      </c>
      <c r="G293">
        <v>1</v>
      </c>
      <c r="H293">
        <v>1</v>
      </c>
      <c r="I293" t="s">
        <v>621</v>
      </c>
      <c r="J293" t="s">
        <v>6</v>
      </c>
      <c r="K293" t="s">
        <v>622</v>
      </c>
      <c r="L293">
        <v>1191</v>
      </c>
      <c r="N293">
        <v>1013</v>
      </c>
      <c r="O293" t="s">
        <v>495</v>
      </c>
      <c r="P293" t="s">
        <v>495</v>
      </c>
      <c r="Q293">
        <v>1</v>
      </c>
      <c r="W293">
        <v>0</v>
      </c>
      <c r="X293">
        <v>1069510174</v>
      </c>
      <c r="Y293">
        <v>26.4</v>
      </c>
      <c r="AA293">
        <v>0</v>
      </c>
      <c r="AB293">
        <v>0</v>
      </c>
      <c r="AC293">
        <v>0</v>
      </c>
      <c r="AD293">
        <v>9.6199999999999992</v>
      </c>
      <c r="AE293">
        <v>0</v>
      </c>
      <c r="AF293">
        <v>0</v>
      </c>
      <c r="AG293">
        <v>0</v>
      </c>
      <c r="AH293">
        <v>9.6199999999999992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6</v>
      </c>
      <c r="AT293">
        <v>26.4</v>
      </c>
      <c r="AU293" t="s">
        <v>6</v>
      </c>
      <c r="AV293">
        <v>1</v>
      </c>
      <c r="AW293">
        <v>2</v>
      </c>
      <c r="AX293">
        <v>16784604</v>
      </c>
      <c r="AY293">
        <v>1</v>
      </c>
      <c r="AZ293">
        <v>0</v>
      </c>
      <c r="BA293">
        <v>297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Y293*Source!I110</f>
        <v>0.26400000000000001</v>
      </c>
      <c r="CY293">
        <f>AD293</f>
        <v>9.6199999999999992</v>
      </c>
      <c r="CZ293">
        <f>AH293</f>
        <v>9.6199999999999992</v>
      </c>
      <c r="DA293">
        <f>AL293</f>
        <v>1</v>
      </c>
      <c r="DB293">
        <f t="shared" si="48"/>
        <v>253.97</v>
      </c>
      <c r="DC293">
        <f t="shared" si="49"/>
        <v>0</v>
      </c>
    </row>
    <row r="294" spans="1:107" x14ac:dyDescent="0.2">
      <c r="A294">
        <f>ROW(Source!A110)</f>
        <v>110</v>
      </c>
      <c r="B294">
        <v>16784195</v>
      </c>
      <c r="C294">
        <v>16784597</v>
      </c>
      <c r="D294">
        <v>15430395</v>
      </c>
      <c r="E294">
        <v>1</v>
      </c>
      <c r="F294">
        <v>1</v>
      </c>
      <c r="G294">
        <v>1</v>
      </c>
      <c r="H294">
        <v>1</v>
      </c>
      <c r="I294" t="s">
        <v>496</v>
      </c>
      <c r="J294" t="s">
        <v>6</v>
      </c>
      <c r="K294" t="s">
        <v>497</v>
      </c>
      <c r="L294">
        <v>1191</v>
      </c>
      <c r="N294">
        <v>1013</v>
      </c>
      <c r="O294" t="s">
        <v>495</v>
      </c>
      <c r="P294" t="s">
        <v>495</v>
      </c>
      <c r="Q294">
        <v>1</v>
      </c>
      <c r="W294">
        <v>0</v>
      </c>
      <c r="X294">
        <v>-1417349443</v>
      </c>
      <c r="Y294">
        <v>26.5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26.5</v>
      </c>
      <c r="AU294" t="s">
        <v>6</v>
      </c>
      <c r="AV294">
        <v>2</v>
      </c>
      <c r="AW294">
        <v>2</v>
      </c>
      <c r="AX294">
        <v>16784605</v>
      </c>
      <c r="AY294">
        <v>1</v>
      </c>
      <c r="AZ294">
        <v>0</v>
      </c>
      <c r="BA294">
        <v>298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Y294*Source!I110</f>
        <v>0.26500000000000001</v>
      </c>
      <c r="CY294">
        <f>AD294</f>
        <v>0</v>
      </c>
      <c r="CZ294">
        <f>AH294</f>
        <v>0</v>
      </c>
      <c r="DA294">
        <f>AL294</f>
        <v>1</v>
      </c>
      <c r="DB294">
        <f t="shared" si="48"/>
        <v>0</v>
      </c>
      <c r="DC294">
        <f t="shared" si="49"/>
        <v>0</v>
      </c>
    </row>
    <row r="295" spans="1:107" x14ac:dyDescent="0.2">
      <c r="A295">
        <f>ROW(Source!A110)</f>
        <v>110</v>
      </c>
      <c r="B295">
        <v>16784195</v>
      </c>
      <c r="C295">
        <v>16784597</v>
      </c>
      <c r="D295">
        <v>15249073</v>
      </c>
      <c r="E295">
        <v>1</v>
      </c>
      <c r="F295">
        <v>1</v>
      </c>
      <c r="G295">
        <v>1</v>
      </c>
      <c r="H295">
        <v>2</v>
      </c>
      <c r="I295" t="s">
        <v>504</v>
      </c>
      <c r="J295" t="s">
        <v>505</v>
      </c>
      <c r="K295" t="s">
        <v>506</v>
      </c>
      <c r="L295">
        <v>1368</v>
      </c>
      <c r="N295">
        <v>1011</v>
      </c>
      <c r="O295" t="s">
        <v>501</v>
      </c>
      <c r="P295" t="s">
        <v>501</v>
      </c>
      <c r="Q295">
        <v>1</v>
      </c>
      <c r="W295">
        <v>0</v>
      </c>
      <c r="X295">
        <v>1372534845</v>
      </c>
      <c r="Y295">
        <v>1.8</v>
      </c>
      <c r="AA295">
        <v>0</v>
      </c>
      <c r="AB295">
        <v>65.709999999999994</v>
      </c>
      <c r="AC295">
        <v>11.6</v>
      </c>
      <c r="AD295">
        <v>0</v>
      </c>
      <c r="AE295">
        <v>0</v>
      </c>
      <c r="AF295">
        <v>65.709999999999994</v>
      </c>
      <c r="AG295">
        <v>11.6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1.8</v>
      </c>
      <c r="AU295" t="s">
        <v>6</v>
      </c>
      <c r="AV295">
        <v>0</v>
      </c>
      <c r="AW295">
        <v>2</v>
      </c>
      <c r="AX295">
        <v>16784606</v>
      </c>
      <c r="AY295">
        <v>1</v>
      </c>
      <c r="AZ295">
        <v>0</v>
      </c>
      <c r="BA295">
        <v>299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Y295*Source!I110</f>
        <v>1.8000000000000002E-2</v>
      </c>
      <c r="CY295">
        <f>AB295</f>
        <v>65.709999999999994</v>
      </c>
      <c r="CZ295">
        <f>AF295</f>
        <v>65.709999999999994</v>
      </c>
      <c r="DA295">
        <f>AJ295</f>
        <v>1</v>
      </c>
      <c r="DB295">
        <f t="shared" si="48"/>
        <v>118.28</v>
      </c>
      <c r="DC295">
        <f t="shared" si="49"/>
        <v>20.88</v>
      </c>
    </row>
    <row r="296" spans="1:107" x14ac:dyDescent="0.2">
      <c r="A296">
        <f>ROW(Source!A110)</f>
        <v>110</v>
      </c>
      <c r="B296">
        <v>16784195</v>
      </c>
      <c r="C296">
        <v>16784597</v>
      </c>
      <c r="D296">
        <v>15250124</v>
      </c>
      <c r="E296">
        <v>1</v>
      </c>
      <c r="F296">
        <v>1</v>
      </c>
      <c r="G296">
        <v>1</v>
      </c>
      <c r="H296">
        <v>2</v>
      </c>
      <c r="I296" t="s">
        <v>665</v>
      </c>
      <c r="J296" t="s">
        <v>666</v>
      </c>
      <c r="K296" t="s">
        <v>667</v>
      </c>
      <c r="L296">
        <v>1368</v>
      </c>
      <c r="N296">
        <v>1011</v>
      </c>
      <c r="O296" t="s">
        <v>501</v>
      </c>
      <c r="P296" t="s">
        <v>501</v>
      </c>
      <c r="Q296">
        <v>1</v>
      </c>
      <c r="W296">
        <v>0</v>
      </c>
      <c r="X296">
        <v>-631888851</v>
      </c>
      <c r="Y296">
        <v>24.7</v>
      </c>
      <c r="AA296">
        <v>0</v>
      </c>
      <c r="AB296">
        <v>34.549999999999997</v>
      </c>
      <c r="AC296">
        <v>11.6</v>
      </c>
      <c r="AD296">
        <v>0</v>
      </c>
      <c r="AE296">
        <v>0</v>
      </c>
      <c r="AF296">
        <v>34.549999999999997</v>
      </c>
      <c r="AG296">
        <v>11.6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24.7</v>
      </c>
      <c r="AU296" t="s">
        <v>6</v>
      </c>
      <c r="AV296">
        <v>0</v>
      </c>
      <c r="AW296">
        <v>2</v>
      </c>
      <c r="AX296">
        <v>16784607</v>
      </c>
      <c r="AY296">
        <v>1</v>
      </c>
      <c r="AZ296">
        <v>0</v>
      </c>
      <c r="BA296">
        <v>300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Y296*Source!I110</f>
        <v>0.247</v>
      </c>
      <c r="CY296">
        <f>AB296</f>
        <v>34.549999999999997</v>
      </c>
      <c r="CZ296">
        <f>AF296</f>
        <v>34.549999999999997</v>
      </c>
      <c r="DA296">
        <f>AJ296</f>
        <v>1</v>
      </c>
      <c r="DB296">
        <f t="shared" si="48"/>
        <v>853.39</v>
      </c>
      <c r="DC296">
        <f t="shared" si="49"/>
        <v>286.52</v>
      </c>
    </row>
    <row r="297" spans="1:107" x14ac:dyDescent="0.2">
      <c r="A297">
        <f>ROW(Source!A110)</f>
        <v>110</v>
      </c>
      <c r="B297">
        <v>16784195</v>
      </c>
      <c r="C297">
        <v>16784597</v>
      </c>
      <c r="D297">
        <v>15167286</v>
      </c>
      <c r="E297">
        <v>1</v>
      </c>
      <c r="F297">
        <v>1</v>
      </c>
      <c r="G297">
        <v>1</v>
      </c>
      <c r="H297">
        <v>3</v>
      </c>
      <c r="I297" t="s">
        <v>597</v>
      </c>
      <c r="J297" t="s">
        <v>598</v>
      </c>
      <c r="K297" t="s">
        <v>599</v>
      </c>
      <c r="L297">
        <v>1339</v>
      </c>
      <c r="N297">
        <v>1007</v>
      </c>
      <c r="O297" t="s">
        <v>128</v>
      </c>
      <c r="P297" t="s">
        <v>128</v>
      </c>
      <c r="Q297">
        <v>1</v>
      </c>
      <c r="W297">
        <v>0</v>
      </c>
      <c r="X297">
        <v>-1660354250</v>
      </c>
      <c r="Y297">
        <v>4.6900000000000004</v>
      </c>
      <c r="AA297">
        <v>2.44</v>
      </c>
      <c r="AB297">
        <v>0</v>
      </c>
      <c r="AC297">
        <v>0</v>
      </c>
      <c r="AD297">
        <v>0</v>
      </c>
      <c r="AE297">
        <v>2.44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4.6900000000000004</v>
      </c>
      <c r="AU297" t="s">
        <v>6</v>
      </c>
      <c r="AV297">
        <v>0</v>
      </c>
      <c r="AW297">
        <v>2</v>
      </c>
      <c r="AX297">
        <v>16784608</v>
      </c>
      <c r="AY297">
        <v>1</v>
      </c>
      <c r="AZ297">
        <v>0</v>
      </c>
      <c r="BA297">
        <v>301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Y297*Source!I110</f>
        <v>4.6900000000000004E-2</v>
      </c>
      <c r="CY297">
        <f>AA297</f>
        <v>2.44</v>
      </c>
      <c r="CZ297">
        <f>AE297</f>
        <v>2.44</v>
      </c>
      <c r="DA297">
        <f>AI297</f>
        <v>1</v>
      </c>
      <c r="DB297">
        <f t="shared" si="48"/>
        <v>11.44</v>
      </c>
      <c r="DC297">
        <f t="shared" si="49"/>
        <v>0</v>
      </c>
    </row>
    <row r="298" spans="1:107" x14ac:dyDescent="0.2">
      <c r="A298">
        <f>ROW(Source!A110)</f>
        <v>110</v>
      </c>
      <c r="B298">
        <v>16784195</v>
      </c>
      <c r="C298">
        <v>16784597</v>
      </c>
      <c r="D298">
        <v>15170666</v>
      </c>
      <c r="E298">
        <v>1</v>
      </c>
      <c r="F298">
        <v>1</v>
      </c>
      <c r="G298">
        <v>1</v>
      </c>
      <c r="H298">
        <v>3</v>
      </c>
      <c r="I298" t="s">
        <v>668</v>
      </c>
      <c r="J298" t="s">
        <v>669</v>
      </c>
      <c r="K298" t="s">
        <v>670</v>
      </c>
      <c r="L298">
        <v>1354</v>
      </c>
      <c r="N298">
        <v>1010</v>
      </c>
      <c r="O298" t="s">
        <v>277</v>
      </c>
      <c r="P298" t="s">
        <v>277</v>
      </c>
      <c r="Q298">
        <v>1</v>
      </c>
      <c r="W298">
        <v>0</v>
      </c>
      <c r="X298">
        <v>1593985666</v>
      </c>
      <c r="Y298">
        <v>2.02</v>
      </c>
      <c r="AA298">
        <v>3046.2</v>
      </c>
      <c r="AB298">
        <v>0</v>
      </c>
      <c r="AC298">
        <v>0</v>
      </c>
      <c r="AD298">
        <v>0</v>
      </c>
      <c r="AE298">
        <v>3046.2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2.02</v>
      </c>
      <c r="AU298" t="s">
        <v>6</v>
      </c>
      <c r="AV298">
        <v>0</v>
      </c>
      <c r="AW298">
        <v>2</v>
      </c>
      <c r="AX298">
        <v>16784609</v>
      </c>
      <c r="AY298">
        <v>1</v>
      </c>
      <c r="AZ298">
        <v>0</v>
      </c>
      <c r="BA298">
        <v>302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Y298*Source!I110</f>
        <v>2.0199999999999999E-2</v>
      </c>
      <c r="CY298">
        <f>AA298</f>
        <v>3046.2</v>
      </c>
      <c r="CZ298">
        <f>AE298</f>
        <v>3046.2</v>
      </c>
      <c r="DA298">
        <f>AI298</f>
        <v>1</v>
      </c>
      <c r="DB298">
        <f t="shared" si="48"/>
        <v>6153.32</v>
      </c>
      <c r="DC298">
        <f t="shared" si="49"/>
        <v>0</v>
      </c>
    </row>
    <row r="299" spans="1:107" x14ac:dyDescent="0.2">
      <c r="A299">
        <f>ROW(Source!A111)</f>
        <v>111</v>
      </c>
      <c r="B299">
        <v>16784196</v>
      </c>
      <c r="C299">
        <v>16784597</v>
      </c>
      <c r="D299">
        <v>15436556</v>
      </c>
      <c r="E299">
        <v>1</v>
      </c>
      <c r="F299">
        <v>1</v>
      </c>
      <c r="G299">
        <v>1</v>
      </c>
      <c r="H299">
        <v>1</v>
      </c>
      <c r="I299" t="s">
        <v>621</v>
      </c>
      <c r="J299" t="s">
        <v>6</v>
      </c>
      <c r="K299" t="s">
        <v>622</v>
      </c>
      <c r="L299">
        <v>1191</v>
      </c>
      <c r="N299">
        <v>1013</v>
      </c>
      <c r="O299" t="s">
        <v>495</v>
      </c>
      <c r="P299" t="s">
        <v>495</v>
      </c>
      <c r="Q299">
        <v>1</v>
      </c>
      <c r="W299">
        <v>0</v>
      </c>
      <c r="X299">
        <v>1069510174</v>
      </c>
      <c r="Y299">
        <v>26.4</v>
      </c>
      <c r="AA299">
        <v>0</v>
      </c>
      <c r="AB299">
        <v>0</v>
      </c>
      <c r="AC299">
        <v>0</v>
      </c>
      <c r="AD299">
        <v>58.78</v>
      </c>
      <c r="AE299">
        <v>0</v>
      </c>
      <c r="AF299">
        <v>0</v>
      </c>
      <c r="AG299">
        <v>0</v>
      </c>
      <c r="AH299">
        <v>9.6199999999999992</v>
      </c>
      <c r="AI299">
        <v>1</v>
      </c>
      <c r="AJ299">
        <v>1</v>
      </c>
      <c r="AK299">
        <v>1</v>
      </c>
      <c r="AL299">
        <v>6.11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6</v>
      </c>
      <c r="AT299">
        <v>26.4</v>
      </c>
      <c r="AU299" t="s">
        <v>6</v>
      </c>
      <c r="AV299">
        <v>1</v>
      </c>
      <c r="AW299">
        <v>2</v>
      </c>
      <c r="AX299">
        <v>16784604</v>
      </c>
      <c r="AY299">
        <v>1</v>
      </c>
      <c r="AZ299">
        <v>0</v>
      </c>
      <c r="BA299">
        <v>303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Y299*Source!I111</f>
        <v>0.26400000000000001</v>
      </c>
      <c r="CY299">
        <f>AD299</f>
        <v>58.78</v>
      </c>
      <c r="CZ299">
        <f>AH299</f>
        <v>9.6199999999999992</v>
      </c>
      <c r="DA299">
        <f>AL299</f>
        <v>6.11</v>
      </c>
      <c r="DB299">
        <f t="shared" si="48"/>
        <v>253.97</v>
      </c>
      <c r="DC299">
        <f t="shared" si="49"/>
        <v>0</v>
      </c>
    </row>
    <row r="300" spans="1:107" x14ac:dyDescent="0.2">
      <c r="A300">
        <f>ROW(Source!A111)</f>
        <v>111</v>
      </c>
      <c r="B300">
        <v>16784196</v>
      </c>
      <c r="C300">
        <v>16784597</v>
      </c>
      <c r="D300">
        <v>15430395</v>
      </c>
      <c r="E300">
        <v>1</v>
      </c>
      <c r="F300">
        <v>1</v>
      </c>
      <c r="G300">
        <v>1</v>
      </c>
      <c r="H300">
        <v>1</v>
      </c>
      <c r="I300" t="s">
        <v>496</v>
      </c>
      <c r="J300" t="s">
        <v>6</v>
      </c>
      <c r="K300" t="s">
        <v>497</v>
      </c>
      <c r="L300">
        <v>1191</v>
      </c>
      <c r="N300">
        <v>1013</v>
      </c>
      <c r="O300" t="s">
        <v>495</v>
      </c>
      <c r="P300" t="s">
        <v>495</v>
      </c>
      <c r="Q300">
        <v>1</v>
      </c>
      <c r="W300">
        <v>0</v>
      </c>
      <c r="X300">
        <v>-1417349443</v>
      </c>
      <c r="Y300">
        <v>26.5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6.11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26.5</v>
      </c>
      <c r="AU300" t="s">
        <v>6</v>
      </c>
      <c r="AV300">
        <v>2</v>
      </c>
      <c r="AW300">
        <v>2</v>
      </c>
      <c r="AX300">
        <v>16784605</v>
      </c>
      <c r="AY300">
        <v>1</v>
      </c>
      <c r="AZ300">
        <v>0</v>
      </c>
      <c r="BA300">
        <v>304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Y300*Source!I111</f>
        <v>0.26500000000000001</v>
      </c>
      <c r="CY300">
        <f>AD300</f>
        <v>0</v>
      </c>
      <c r="CZ300">
        <f>AH300</f>
        <v>0</v>
      </c>
      <c r="DA300">
        <f>AL300</f>
        <v>1</v>
      </c>
      <c r="DB300">
        <f t="shared" si="48"/>
        <v>0</v>
      </c>
      <c r="DC300">
        <f t="shared" si="49"/>
        <v>0</v>
      </c>
    </row>
    <row r="301" spans="1:107" x14ac:dyDescent="0.2">
      <c r="A301">
        <f>ROW(Source!A111)</f>
        <v>111</v>
      </c>
      <c r="B301">
        <v>16784196</v>
      </c>
      <c r="C301">
        <v>16784597</v>
      </c>
      <c r="D301">
        <v>15249073</v>
      </c>
      <c r="E301">
        <v>1</v>
      </c>
      <c r="F301">
        <v>1</v>
      </c>
      <c r="G301">
        <v>1</v>
      </c>
      <c r="H301">
        <v>2</v>
      </c>
      <c r="I301" t="s">
        <v>504</v>
      </c>
      <c r="J301" t="s">
        <v>505</v>
      </c>
      <c r="K301" t="s">
        <v>506</v>
      </c>
      <c r="L301">
        <v>1368</v>
      </c>
      <c r="N301">
        <v>1011</v>
      </c>
      <c r="O301" t="s">
        <v>501</v>
      </c>
      <c r="P301" t="s">
        <v>501</v>
      </c>
      <c r="Q301">
        <v>1</v>
      </c>
      <c r="W301">
        <v>0</v>
      </c>
      <c r="X301">
        <v>1372534845</v>
      </c>
      <c r="Y301">
        <v>1.8</v>
      </c>
      <c r="AA301">
        <v>0</v>
      </c>
      <c r="AB301">
        <v>401.49</v>
      </c>
      <c r="AC301">
        <v>11.6</v>
      </c>
      <c r="AD301">
        <v>0</v>
      </c>
      <c r="AE301">
        <v>0</v>
      </c>
      <c r="AF301">
        <v>65.709999999999994</v>
      </c>
      <c r="AG301">
        <v>11.6</v>
      </c>
      <c r="AH301">
        <v>0</v>
      </c>
      <c r="AI301">
        <v>1</v>
      </c>
      <c r="AJ301">
        <v>6.11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6</v>
      </c>
      <c r="AT301">
        <v>1.8</v>
      </c>
      <c r="AU301" t="s">
        <v>6</v>
      </c>
      <c r="AV301">
        <v>0</v>
      </c>
      <c r="AW301">
        <v>2</v>
      </c>
      <c r="AX301">
        <v>16784606</v>
      </c>
      <c r="AY301">
        <v>1</v>
      </c>
      <c r="AZ301">
        <v>0</v>
      </c>
      <c r="BA301">
        <v>305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Y301*Source!I111</f>
        <v>1.8000000000000002E-2</v>
      </c>
      <c r="CY301">
        <f>AB301</f>
        <v>401.49</v>
      </c>
      <c r="CZ301">
        <f>AF301</f>
        <v>65.709999999999994</v>
      </c>
      <c r="DA301">
        <f>AJ301</f>
        <v>6.11</v>
      </c>
      <c r="DB301">
        <f t="shared" si="48"/>
        <v>118.28</v>
      </c>
      <c r="DC301">
        <f t="shared" si="49"/>
        <v>20.88</v>
      </c>
    </row>
    <row r="302" spans="1:107" x14ac:dyDescent="0.2">
      <c r="A302">
        <f>ROW(Source!A111)</f>
        <v>111</v>
      </c>
      <c r="B302">
        <v>16784196</v>
      </c>
      <c r="C302">
        <v>16784597</v>
      </c>
      <c r="D302">
        <v>15250124</v>
      </c>
      <c r="E302">
        <v>1</v>
      </c>
      <c r="F302">
        <v>1</v>
      </c>
      <c r="G302">
        <v>1</v>
      </c>
      <c r="H302">
        <v>2</v>
      </c>
      <c r="I302" t="s">
        <v>665</v>
      </c>
      <c r="J302" t="s">
        <v>666</v>
      </c>
      <c r="K302" t="s">
        <v>667</v>
      </c>
      <c r="L302">
        <v>1368</v>
      </c>
      <c r="N302">
        <v>1011</v>
      </c>
      <c r="O302" t="s">
        <v>501</v>
      </c>
      <c r="P302" t="s">
        <v>501</v>
      </c>
      <c r="Q302">
        <v>1</v>
      </c>
      <c r="W302">
        <v>0</v>
      </c>
      <c r="X302">
        <v>-631888851</v>
      </c>
      <c r="Y302">
        <v>24.7</v>
      </c>
      <c r="AA302">
        <v>0</v>
      </c>
      <c r="AB302">
        <v>211.1</v>
      </c>
      <c r="AC302">
        <v>11.6</v>
      </c>
      <c r="AD302">
        <v>0</v>
      </c>
      <c r="AE302">
        <v>0</v>
      </c>
      <c r="AF302">
        <v>34.549999999999997</v>
      </c>
      <c r="AG302">
        <v>11.6</v>
      </c>
      <c r="AH302">
        <v>0</v>
      </c>
      <c r="AI302">
        <v>1</v>
      </c>
      <c r="AJ302">
        <v>6.11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6</v>
      </c>
      <c r="AT302">
        <v>24.7</v>
      </c>
      <c r="AU302" t="s">
        <v>6</v>
      </c>
      <c r="AV302">
        <v>0</v>
      </c>
      <c r="AW302">
        <v>2</v>
      </c>
      <c r="AX302">
        <v>16784607</v>
      </c>
      <c r="AY302">
        <v>1</v>
      </c>
      <c r="AZ302">
        <v>0</v>
      </c>
      <c r="BA302">
        <v>306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Y302*Source!I111</f>
        <v>0.247</v>
      </c>
      <c r="CY302">
        <f>AB302</f>
        <v>211.1</v>
      </c>
      <c r="CZ302">
        <f>AF302</f>
        <v>34.549999999999997</v>
      </c>
      <c r="DA302">
        <f>AJ302</f>
        <v>6.11</v>
      </c>
      <c r="DB302">
        <f t="shared" si="48"/>
        <v>853.39</v>
      </c>
      <c r="DC302">
        <f t="shared" si="49"/>
        <v>286.52</v>
      </c>
    </row>
    <row r="303" spans="1:107" x14ac:dyDescent="0.2">
      <c r="A303">
        <f>ROW(Source!A111)</f>
        <v>111</v>
      </c>
      <c r="B303">
        <v>16784196</v>
      </c>
      <c r="C303">
        <v>16784597</v>
      </c>
      <c r="D303">
        <v>15167286</v>
      </c>
      <c r="E303">
        <v>1</v>
      </c>
      <c r="F303">
        <v>1</v>
      </c>
      <c r="G303">
        <v>1</v>
      </c>
      <c r="H303">
        <v>3</v>
      </c>
      <c r="I303" t="s">
        <v>597</v>
      </c>
      <c r="J303" t="s">
        <v>598</v>
      </c>
      <c r="K303" t="s">
        <v>599</v>
      </c>
      <c r="L303">
        <v>1339</v>
      </c>
      <c r="N303">
        <v>1007</v>
      </c>
      <c r="O303" t="s">
        <v>128</v>
      </c>
      <c r="P303" t="s">
        <v>128</v>
      </c>
      <c r="Q303">
        <v>1</v>
      </c>
      <c r="W303">
        <v>0</v>
      </c>
      <c r="X303">
        <v>-1660354250</v>
      </c>
      <c r="Y303">
        <v>4.6900000000000004</v>
      </c>
      <c r="AA303">
        <v>14.91</v>
      </c>
      <c r="AB303">
        <v>0</v>
      </c>
      <c r="AC303">
        <v>0</v>
      </c>
      <c r="AD303">
        <v>0</v>
      </c>
      <c r="AE303">
        <v>2.44</v>
      </c>
      <c r="AF303">
        <v>0</v>
      </c>
      <c r="AG303">
        <v>0</v>
      </c>
      <c r="AH303">
        <v>0</v>
      </c>
      <c r="AI303">
        <v>6.11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4.6900000000000004</v>
      </c>
      <c r="AU303" t="s">
        <v>6</v>
      </c>
      <c r="AV303">
        <v>0</v>
      </c>
      <c r="AW303">
        <v>2</v>
      </c>
      <c r="AX303">
        <v>16784608</v>
      </c>
      <c r="AY303">
        <v>1</v>
      </c>
      <c r="AZ303">
        <v>0</v>
      </c>
      <c r="BA303">
        <v>307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Y303*Source!I111</f>
        <v>4.6900000000000004E-2</v>
      </c>
      <c r="CY303">
        <f>AA303</f>
        <v>14.91</v>
      </c>
      <c r="CZ303">
        <f>AE303</f>
        <v>2.44</v>
      </c>
      <c r="DA303">
        <f>AI303</f>
        <v>6.11</v>
      </c>
      <c r="DB303">
        <f t="shared" si="48"/>
        <v>11.44</v>
      </c>
      <c r="DC303">
        <f t="shared" si="49"/>
        <v>0</v>
      </c>
    </row>
    <row r="304" spans="1:107" x14ac:dyDescent="0.2">
      <c r="A304">
        <f>ROW(Source!A111)</f>
        <v>111</v>
      </c>
      <c r="B304">
        <v>16784196</v>
      </c>
      <c r="C304">
        <v>16784597</v>
      </c>
      <c r="D304">
        <v>15170666</v>
      </c>
      <c r="E304">
        <v>1</v>
      </c>
      <c r="F304">
        <v>1</v>
      </c>
      <c r="G304">
        <v>1</v>
      </c>
      <c r="H304">
        <v>3</v>
      </c>
      <c r="I304" t="s">
        <v>668</v>
      </c>
      <c r="J304" t="s">
        <v>669</v>
      </c>
      <c r="K304" t="s">
        <v>670</v>
      </c>
      <c r="L304">
        <v>1354</v>
      </c>
      <c r="N304">
        <v>1010</v>
      </c>
      <c r="O304" t="s">
        <v>277</v>
      </c>
      <c r="P304" t="s">
        <v>277</v>
      </c>
      <c r="Q304">
        <v>1</v>
      </c>
      <c r="W304">
        <v>0</v>
      </c>
      <c r="X304">
        <v>1593985666</v>
      </c>
      <c r="Y304">
        <v>2.02</v>
      </c>
      <c r="AA304">
        <v>18612.28</v>
      </c>
      <c r="AB304">
        <v>0</v>
      </c>
      <c r="AC304">
        <v>0</v>
      </c>
      <c r="AD304">
        <v>0</v>
      </c>
      <c r="AE304">
        <v>3046.2</v>
      </c>
      <c r="AF304">
        <v>0</v>
      </c>
      <c r="AG304">
        <v>0</v>
      </c>
      <c r="AH304">
        <v>0</v>
      </c>
      <c r="AI304">
        <v>6.11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2.02</v>
      </c>
      <c r="AU304" t="s">
        <v>6</v>
      </c>
      <c r="AV304">
        <v>0</v>
      </c>
      <c r="AW304">
        <v>2</v>
      </c>
      <c r="AX304">
        <v>16784609</v>
      </c>
      <c r="AY304">
        <v>1</v>
      </c>
      <c r="AZ304">
        <v>0</v>
      </c>
      <c r="BA304">
        <v>308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Y304*Source!I111</f>
        <v>2.0199999999999999E-2</v>
      </c>
      <c r="CY304">
        <f>AA304</f>
        <v>18612.28</v>
      </c>
      <c r="CZ304">
        <f>AE304</f>
        <v>3046.2</v>
      </c>
      <c r="DA304">
        <f>AI304</f>
        <v>6.11</v>
      </c>
      <c r="DB304">
        <f t="shared" si="48"/>
        <v>6153.32</v>
      </c>
      <c r="DC304">
        <f t="shared" si="49"/>
        <v>0</v>
      </c>
    </row>
    <row r="305" spans="1:107" x14ac:dyDescent="0.2">
      <c r="A305">
        <f>ROW(Source!A112)</f>
        <v>112</v>
      </c>
      <c r="B305">
        <v>16784195</v>
      </c>
      <c r="C305">
        <v>16784610</v>
      </c>
      <c r="D305">
        <v>15436556</v>
      </c>
      <c r="E305">
        <v>1</v>
      </c>
      <c r="F305">
        <v>1</v>
      </c>
      <c r="G305">
        <v>1</v>
      </c>
      <c r="H305">
        <v>1</v>
      </c>
      <c r="I305" t="s">
        <v>621</v>
      </c>
      <c r="J305" t="s">
        <v>6</v>
      </c>
      <c r="K305" t="s">
        <v>622</v>
      </c>
      <c r="L305">
        <v>1191</v>
      </c>
      <c r="N305">
        <v>1013</v>
      </c>
      <c r="O305" t="s">
        <v>495</v>
      </c>
      <c r="P305" t="s">
        <v>495</v>
      </c>
      <c r="Q305">
        <v>1</v>
      </c>
      <c r="W305">
        <v>0</v>
      </c>
      <c r="X305">
        <v>1069510174</v>
      </c>
      <c r="Y305">
        <v>31.5</v>
      </c>
      <c r="AA305">
        <v>0</v>
      </c>
      <c r="AB305">
        <v>0</v>
      </c>
      <c r="AC305">
        <v>0</v>
      </c>
      <c r="AD305">
        <v>9.6199999999999992</v>
      </c>
      <c r="AE305">
        <v>0</v>
      </c>
      <c r="AF305">
        <v>0</v>
      </c>
      <c r="AG305">
        <v>0</v>
      </c>
      <c r="AH305">
        <v>9.6199999999999992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6</v>
      </c>
      <c r="AT305">
        <v>2.1</v>
      </c>
      <c r="AU305" t="s">
        <v>233</v>
      </c>
      <c r="AV305">
        <v>1</v>
      </c>
      <c r="AW305">
        <v>2</v>
      </c>
      <c r="AX305">
        <v>16784616</v>
      </c>
      <c r="AY305">
        <v>1</v>
      </c>
      <c r="AZ305">
        <v>0</v>
      </c>
      <c r="BA305">
        <v>309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Y305*Source!I112</f>
        <v>0.315</v>
      </c>
      <c r="CY305">
        <f>AD305</f>
        <v>9.6199999999999992</v>
      </c>
      <c r="CZ305">
        <f>AH305</f>
        <v>9.6199999999999992</v>
      </c>
      <c r="DA305">
        <f>AL305</f>
        <v>1</v>
      </c>
      <c r="DB305">
        <f>ROUND((ROUND(AT305*CZ305,2)*15),2)</f>
        <v>303</v>
      </c>
      <c r="DC305">
        <f>ROUND((ROUND(AT305*AG305,2)*15),2)</f>
        <v>0</v>
      </c>
    </row>
    <row r="306" spans="1:107" x14ac:dyDescent="0.2">
      <c r="A306">
        <f>ROW(Source!A112)</f>
        <v>112</v>
      </c>
      <c r="B306">
        <v>16784195</v>
      </c>
      <c r="C306">
        <v>16784610</v>
      </c>
      <c r="D306">
        <v>15430395</v>
      </c>
      <c r="E306">
        <v>1</v>
      </c>
      <c r="F306">
        <v>1</v>
      </c>
      <c r="G306">
        <v>1</v>
      </c>
      <c r="H306">
        <v>1</v>
      </c>
      <c r="I306" t="s">
        <v>496</v>
      </c>
      <c r="J306" t="s">
        <v>6</v>
      </c>
      <c r="K306" t="s">
        <v>497</v>
      </c>
      <c r="L306">
        <v>1191</v>
      </c>
      <c r="N306">
        <v>1013</v>
      </c>
      <c r="O306" t="s">
        <v>495</v>
      </c>
      <c r="P306" t="s">
        <v>495</v>
      </c>
      <c r="Q306">
        <v>1</v>
      </c>
      <c r="W306">
        <v>0</v>
      </c>
      <c r="X306">
        <v>-1417349443</v>
      </c>
      <c r="Y306">
        <v>1.24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1.24</v>
      </c>
      <c r="AU306" t="s">
        <v>6</v>
      </c>
      <c r="AV306">
        <v>2</v>
      </c>
      <c r="AW306">
        <v>2</v>
      </c>
      <c r="AX306">
        <v>16784617</v>
      </c>
      <c r="AY306">
        <v>1</v>
      </c>
      <c r="AZ306">
        <v>2048</v>
      </c>
      <c r="BA306">
        <v>310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Y306*Source!I112</f>
        <v>1.24E-2</v>
      </c>
      <c r="CY306">
        <f>AD306</f>
        <v>0</v>
      </c>
      <c r="CZ306">
        <f>AH306</f>
        <v>0</v>
      </c>
      <c r="DA306">
        <f>AL306</f>
        <v>1</v>
      </c>
      <c r="DB306">
        <f>ROUND(ROUND(AT306*CZ306,2),2)</f>
        <v>0</v>
      </c>
      <c r="DC306">
        <f>ROUND(ROUND(AT306*AG306,2),2)</f>
        <v>0</v>
      </c>
    </row>
    <row r="307" spans="1:107" x14ac:dyDescent="0.2">
      <c r="A307">
        <f>ROW(Source!A112)</f>
        <v>112</v>
      </c>
      <c r="B307">
        <v>16784195</v>
      </c>
      <c r="C307">
        <v>16784610</v>
      </c>
      <c r="D307">
        <v>15250124</v>
      </c>
      <c r="E307">
        <v>1</v>
      </c>
      <c r="F307">
        <v>1</v>
      </c>
      <c r="G307">
        <v>1</v>
      </c>
      <c r="H307">
        <v>2</v>
      </c>
      <c r="I307" t="s">
        <v>665</v>
      </c>
      <c r="J307" t="s">
        <v>666</v>
      </c>
      <c r="K307" t="s">
        <v>667</v>
      </c>
      <c r="L307">
        <v>1368</v>
      </c>
      <c r="N307">
        <v>1011</v>
      </c>
      <c r="O307" t="s">
        <v>501</v>
      </c>
      <c r="P307" t="s">
        <v>501</v>
      </c>
      <c r="Q307">
        <v>1</v>
      </c>
      <c r="W307">
        <v>0</v>
      </c>
      <c r="X307">
        <v>-631888851</v>
      </c>
      <c r="Y307">
        <v>18.600000000000001</v>
      </c>
      <c r="AA307">
        <v>0</v>
      </c>
      <c r="AB307">
        <v>34.549999999999997</v>
      </c>
      <c r="AC307">
        <v>11.6</v>
      </c>
      <c r="AD307">
        <v>0</v>
      </c>
      <c r="AE307">
        <v>0</v>
      </c>
      <c r="AF307">
        <v>34.549999999999997</v>
      </c>
      <c r="AG307">
        <v>11.6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6</v>
      </c>
      <c r="AT307">
        <v>1.24</v>
      </c>
      <c r="AU307" t="s">
        <v>233</v>
      </c>
      <c r="AV307">
        <v>0</v>
      </c>
      <c r="AW307">
        <v>2</v>
      </c>
      <c r="AX307">
        <v>16784618</v>
      </c>
      <c r="AY307">
        <v>1</v>
      </c>
      <c r="AZ307">
        <v>0</v>
      </c>
      <c r="BA307">
        <v>311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Y307*Source!I112</f>
        <v>0.18600000000000003</v>
      </c>
      <c r="CY307">
        <f>AB307</f>
        <v>34.549999999999997</v>
      </c>
      <c r="CZ307">
        <f>AF307</f>
        <v>34.549999999999997</v>
      </c>
      <c r="DA307">
        <f>AJ307</f>
        <v>1</v>
      </c>
      <c r="DB307">
        <f>ROUND((ROUND(AT307*CZ307,2)*15),2)</f>
        <v>642.6</v>
      </c>
      <c r="DC307">
        <f>ROUND((ROUND(AT307*AG307,2)*15),2)</f>
        <v>215.7</v>
      </c>
    </row>
    <row r="308" spans="1:107" x14ac:dyDescent="0.2">
      <c r="A308">
        <f>ROW(Source!A112)</f>
        <v>112</v>
      </c>
      <c r="B308">
        <v>16784195</v>
      </c>
      <c r="C308">
        <v>16784610</v>
      </c>
      <c r="D308">
        <v>15167286</v>
      </c>
      <c r="E308">
        <v>1</v>
      </c>
      <c r="F308">
        <v>1</v>
      </c>
      <c r="G308">
        <v>1</v>
      </c>
      <c r="H308">
        <v>3</v>
      </c>
      <c r="I308" t="s">
        <v>597</v>
      </c>
      <c r="J308" t="s">
        <v>598</v>
      </c>
      <c r="K308" t="s">
        <v>599</v>
      </c>
      <c r="L308">
        <v>1339</v>
      </c>
      <c r="N308">
        <v>1007</v>
      </c>
      <c r="O308" t="s">
        <v>128</v>
      </c>
      <c r="P308" t="s">
        <v>128</v>
      </c>
      <c r="Q308">
        <v>1</v>
      </c>
      <c r="W308">
        <v>0</v>
      </c>
      <c r="X308">
        <v>-1660354250</v>
      </c>
      <c r="Y308">
        <v>3.5249999999999999</v>
      </c>
      <c r="AA308">
        <v>2.44</v>
      </c>
      <c r="AB308">
        <v>0</v>
      </c>
      <c r="AC308">
        <v>0</v>
      </c>
      <c r="AD308">
        <v>0</v>
      </c>
      <c r="AE308">
        <v>2.44</v>
      </c>
      <c r="AF308">
        <v>0</v>
      </c>
      <c r="AG308">
        <v>0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6</v>
      </c>
      <c r="AT308">
        <v>0.23499999999999999</v>
      </c>
      <c r="AU308" t="s">
        <v>233</v>
      </c>
      <c r="AV308">
        <v>0</v>
      </c>
      <c r="AW308">
        <v>2</v>
      </c>
      <c r="AX308">
        <v>16784619</v>
      </c>
      <c r="AY308">
        <v>1</v>
      </c>
      <c r="AZ308">
        <v>0</v>
      </c>
      <c r="BA308">
        <v>312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Y308*Source!I112</f>
        <v>3.5249999999999997E-2</v>
      </c>
      <c r="CY308">
        <f>AA308</f>
        <v>2.44</v>
      </c>
      <c r="CZ308">
        <f>AE308</f>
        <v>2.44</v>
      </c>
      <c r="DA308">
        <f>AI308</f>
        <v>1</v>
      </c>
      <c r="DB308">
        <f>ROUND((ROUND(AT308*CZ308,2)*15),2)</f>
        <v>8.5500000000000007</v>
      </c>
      <c r="DC308">
        <f>ROUND((ROUND(AT308*AG308,2)*15),2)</f>
        <v>0</v>
      </c>
    </row>
    <row r="309" spans="1:107" x14ac:dyDescent="0.2">
      <c r="A309">
        <f>ROW(Source!A112)</f>
        <v>112</v>
      </c>
      <c r="B309">
        <v>16784195</v>
      </c>
      <c r="C309">
        <v>16784610</v>
      </c>
      <c r="D309">
        <v>15170666</v>
      </c>
      <c r="E309">
        <v>1</v>
      </c>
      <c r="F309">
        <v>1</v>
      </c>
      <c r="G309">
        <v>1</v>
      </c>
      <c r="H309">
        <v>3</v>
      </c>
      <c r="I309" t="s">
        <v>668</v>
      </c>
      <c r="J309" t="s">
        <v>669</v>
      </c>
      <c r="K309" t="s">
        <v>670</v>
      </c>
      <c r="L309">
        <v>1354</v>
      </c>
      <c r="N309">
        <v>1010</v>
      </c>
      <c r="O309" t="s">
        <v>277</v>
      </c>
      <c r="P309" t="s">
        <v>277</v>
      </c>
      <c r="Q309">
        <v>1</v>
      </c>
      <c r="W309">
        <v>0</v>
      </c>
      <c r="X309">
        <v>1593985666</v>
      </c>
      <c r="Y309">
        <v>1.5150000000000001</v>
      </c>
      <c r="AA309">
        <v>3046.2</v>
      </c>
      <c r="AB309">
        <v>0</v>
      </c>
      <c r="AC309">
        <v>0</v>
      </c>
      <c r="AD309">
        <v>0</v>
      </c>
      <c r="AE309">
        <v>3046.2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6</v>
      </c>
      <c r="AT309">
        <v>0.10100000000000001</v>
      </c>
      <c r="AU309" t="s">
        <v>233</v>
      </c>
      <c r="AV309">
        <v>0</v>
      </c>
      <c r="AW309">
        <v>2</v>
      </c>
      <c r="AX309">
        <v>16784620</v>
      </c>
      <c r="AY309">
        <v>1</v>
      </c>
      <c r="AZ309">
        <v>0</v>
      </c>
      <c r="BA309">
        <v>313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Y309*Source!I112</f>
        <v>1.5150000000000002E-2</v>
      </c>
      <c r="CY309">
        <f>AA309</f>
        <v>3046.2</v>
      </c>
      <c r="CZ309">
        <f>AE309</f>
        <v>3046.2</v>
      </c>
      <c r="DA309">
        <f>AI309</f>
        <v>1</v>
      </c>
      <c r="DB309">
        <f>ROUND((ROUND(AT309*CZ309,2)*15),2)</f>
        <v>4615.05</v>
      </c>
      <c r="DC309">
        <f>ROUND((ROUND(AT309*AG309,2)*15),2)</f>
        <v>0</v>
      </c>
    </row>
    <row r="310" spans="1:107" x14ac:dyDescent="0.2">
      <c r="A310">
        <f>ROW(Source!A113)</f>
        <v>113</v>
      </c>
      <c r="B310">
        <v>16784196</v>
      </c>
      <c r="C310">
        <v>16784610</v>
      </c>
      <c r="D310">
        <v>15436556</v>
      </c>
      <c r="E310">
        <v>1</v>
      </c>
      <c r="F310">
        <v>1</v>
      </c>
      <c r="G310">
        <v>1</v>
      </c>
      <c r="H310">
        <v>1</v>
      </c>
      <c r="I310" t="s">
        <v>621</v>
      </c>
      <c r="J310" t="s">
        <v>6</v>
      </c>
      <c r="K310" t="s">
        <v>622</v>
      </c>
      <c r="L310">
        <v>1191</v>
      </c>
      <c r="N310">
        <v>1013</v>
      </c>
      <c r="O310" t="s">
        <v>495</v>
      </c>
      <c r="P310" t="s">
        <v>495</v>
      </c>
      <c r="Q310">
        <v>1</v>
      </c>
      <c r="W310">
        <v>0</v>
      </c>
      <c r="X310">
        <v>1069510174</v>
      </c>
      <c r="Y310">
        <v>31.5</v>
      </c>
      <c r="AA310">
        <v>0</v>
      </c>
      <c r="AB310">
        <v>0</v>
      </c>
      <c r="AC310">
        <v>0</v>
      </c>
      <c r="AD310">
        <v>58.78</v>
      </c>
      <c r="AE310">
        <v>0</v>
      </c>
      <c r="AF310">
        <v>0</v>
      </c>
      <c r="AG310">
        <v>0</v>
      </c>
      <c r="AH310">
        <v>9.6199999999999992</v>
      </c>
      <c r="AI310">
        <v>1</v>
      </c>
      <c r="AJ310">
        <v>1</v>
      </c>
      <c r="AK310">
        <v>1</v>
      </c>
      <c r="AL310">
        <v>6.11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2.1</v>
      </c>
      <c r="AU310" t="s">
        <v>233</v>
      </c>
      <c r="AV310">
        <v>1</v>
      </c>
      <c r="AW310">
        <v>2</v>
      </c>
      <c r="AX310">
        <v>16784616</v>
      </c>
      <c r="AY310">
        <v>1</v>
      </c>
      <c r="AZ310">
        <v>0</v>
      </c>
      <c r="BA310">
        <v>314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Y310*Source!I113</f>
        <v>0.315</v>
      </c>
      <c r="CY310">
        <f>AD310</f>
        <v>58.78</v>
      </c>
      <c r="CZ310">
        <f>AH310</f>
        <v>9.6199999999999992</v>
      </c>
      <c r="DA310">
        <f>AL310</f>
        <v>6.11</v>
      </c>
      <c r="DB310">
        <f>ROUND((ROUND(AT310*CZ310,2)*15),2)</f>
        <v>303</v>
      </c>
      <c r="DC310">
        <f>ROUND((ROUND(AT310*AG310,2)*15),2)</f>
        <v>0</v>
      </c>
    </row>
    <row r="311" spans="1:107" x14ac:dyDescent="0.2">
      <c r="A311">
        <f>ROW(Source!A113)</f>
        <v>113</v>
      </c>
      <c r="B311">
        <v>16784196</v>
      </c>
      <c r="C311">
        <v>16784610</v>
      </c>
      <c r="D311">
        <v>15430395</v>
      </c>
      <c r="E311">
        <v>1</v>
      </c>
      <c r="F311">
        <v>1</v>
      </c>
      <c r="G311">
        <v>1</v>
      </c>
      <c r="H311">
        <v>1</v>
      </c>
      <c r="I311" t="s">
        <v>496</v>
      </c>
      <c r="J311" t="s">
        <v>6</v>
      </c>
      <c r="K311" t="s">
        <v>497</v>
      </c>
      <c r="L311">
        <v>1191</v>
      </c>
      <c r="N311">
        <v>1013</v>
      </c>
      <c r="O311" t="s">
        <v>495</v>
      </c>
      <c r="P311" t="s">
        <v>495</v>
      </c>
      <c r="Q311">
        <v>1</v>
      </c>
      <c r="W311">
        <v>0</v>
      </c>
      <c r="X311">
        <v>-1417349443</v>
      </c>
      <c r="Y311">
        <v>1.24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6.11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1.24</v>
      </c>
      <c r="AU311" t="s">
        <v>6</v>
      </c>
      <c r="AV311">
        <v>2</v>
      </c>
      <c r="AW311">
        <v>2</v>
      </c>
      <c r="AX311">
        <v>16784617</v>
      </c>
      <c r="AY311">
        <v>1</v>
      </c>
      <c r="AZ311">
        <v>2048</v>
      </c>
      <c r="BA311">
        <v>315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Y311*Source!I113</f>
        <v>1.24E-2</v>
      </c>
      <c r="CY311">
        <f>AD311</f>
        <v>0</v>
      </c>
      <c r="CZ311">
        <f>AH311</f>
        <v>0</v>
      </c>
      <c r="DA311">
        <f>AL311</f>
        <v>1</v>
      </c>
      <c r="DB311">
        <f>ROUND(ROUND(AT311*CZ311,2),2)</f>
        <v>0</v>
      </c>
      <c r="DC311">
        <f>ROUND(ROUND(AT311*AG311,2),2)</f>
        <v>0</v>
      </c>
    </row>
    <row r="312" spans="1:107" x14ac:dyDescent="0.2">
      <c r="A312">
        <f>ROW(Source!A113)</f>
        <v>113</v>
      </c>
      <c r="B312">
        <v>16784196</v>
      </c>
      <c r="C312">
        <v>16784610</v>
      </c>
      <c r="D312">
        <v>15250124</v>
      </c>
      <c r="E312">
        <v>1</v>
      </c>
      <c r="F312">
        <v>1</v>
      </c>
      <c r="G312">
        <v>1</v>
      </c>
      <c r="H312">
        <v>2</v>
      </c>
      <c r="I312" t="s">
        <v>665</v>
      </c>
      <c r="J312" t="s">
        <v>666</v>
      </c>
      <c r="K312" t="s">
        <v>667</v>
      </c>
      <c r="L312">
        <v>1368</v>
      </c>
      <c r="N312">
        <v>1011</v>
      </c>
      <c r="O312" t="s">
        <v>501</v>
      </c>
      <c r="P312" t="s">
        <v>501</v>
      </c>
      <c r="Q312">
        <v>1</v>
      </c>
      <c r="W312">
        <v>0</v>
      </c>
      <c r="X312">
        <v>-631888851</v>
      </c>
      <c r="Y312">
        <v>18.600000000000001</v>
      </c>
      <c r="AA312">
        <v>0</v>
      </c>
      <c r="AB312">
        <v>211.1</v>
      </c>
      <c r="AC312">
        <v>11.6</v>
      </c>
      <c r="AD312">
        <v>0</v>
      </c>
      <c r="AE312">
        <v>0</v>
      </c>
      <c r="AF312">
        <v>34.549999999999997</v>
      </c>
      <c r="AG312">
        <v>11.6</v>
      </c>
      <c r="AH312">
        <v>0</v>
      </c>
      <c r="AI312">
        <v>1</v>
      </c>
      <c r="AJ312">
        <v>6.11</v>
      </c>
      <c r="AK312">
        <v>1</v>
      </c>
      <c r="AL312">
        <v>1</v>
      </c>
      <c r="AN312">
        <v>0</v>
      </c>
      <c r="AO312">
        <v>1</v>
      </c>
      <c r="AP312">
        <v>1</v>
      </c>
      <c r="AQ312">
        <v>0</v>
      </c>
      <c r="AR312">
        <v>0</v>
      </c>
      <c r="AS312" t="s">
        <v>6</v>
      </c>
      <c r="AT312">
        <v>1.24</v>
      </c>
      <c r="AU312" t="s">
        <v>233</v>
      </c>
      <c r="AV312">
        <v>0</v>
      </c>
      <c r="AW312">
        <v>2</v>
      </c>
      <c r="AX312">
        <v>16784618</v>
      </c>
      <c r="AY312">
        <v>1</v>
      </c>
      <c r="AZ312">
        <v>0</v>
      </c>
      <c r="BA312">
        <v>316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Y312*Source!I113</f>
        <v>0.18600000000000003</v>
      </c>
      <c r="CY312">
        <f>AB312</f>
        <v>211.1</v>
      </c>
      <c r="CZ312">
        <f>AF312</f>
        <v>34.549999999999997</v>
      </c>
      <c r="DA312">
        <f>AJ312</f>
        <v>6.11</v>
      </c>
      <c r="DB312">
        <f>ROUND((ROUND(AT312*CZ312,2)*15),2)</f>
        <v>642.6</v>
      </c>
      <c r="DC312">
        <f>ROUND((ROUND(AT312*AG312,2)*15),2)</f>
        <v>215.7</v>
      </c>
    </row>
    <row r="313" spans="1:107" x14ac:dyDescent="0.2">
      <c r="A313">
        <f>ROW(Source!A113)</f>
        <v>113</v>
      </c>
      <c r="B313">
        <v>16784196</v>
      </c>
      <c r="C313">
        <v>16784610</v>
      </c>
      <c r="D313">
        <v>15167286</v>
      </c>
      <c r="E313">
        <v>1</v>
      </c>
      <c r="F313">
        <v>1</v>
      </c>
      <c r="G313">
        <v>1</v>
      </c>
      <c r="H313">
        <v>3</v>
      </c>
      <c r="I313" t="s">
        <v>597</v>
      </c>
      <c r="J313" t="s">
        <v>598</v>
      </c>
      <c r="K313" t="s">
        <v>599</v>
      </c>
      <c r="L313">
        <v>1339</v>
      </c>
      <c r="N313">
        <v>1007</v>
      </c>
      <c r="O313" t="s">
        <v>128</v>
      </c>
      <c r="P313" t="s">
        <v>128</v>
      </c>
      <c r="Q313">
        <v>1</v>
      </c>
      <c r="W313">
        <v>0</v>
      </c>
      <c r="X313">
        <v>-1660354250</v>
      </c>
      <c r="Y313">
        <v>3.5249999999999999</v>
      </c>
      <c r="AA313">
        <v>14.91</v>
      </c>
      <c r="AB313">
        <v>0</v>
      </c>
      <c r="AC313">
        <v>0</v>
      </c>
      <c r="AD313">
        <v>0</v>
      </c>
      <c r="AE313">
        <v>2.44</v>
      </c>
      <c r="AF313">
        <v>0</v>
      </c>
      <c r="AG313">
        <v>0</v>
      </c>
      <c r="AH313">
        <v>0</v>
      </c>
      <c r="AI313">
        <v>6.11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1</v>
      </c>
      <c r="AQ313">
        <v>0</v>
      </c>
      <c r="AR313">
        <v>0</v>
      </c>
      <c r="AS313" t="s">
        <v>6</v>
      </c>
      <c r="AT313">
        <v>0.23499999999999999</v>
      </c>
      <c r="AU313" t="s">
        <v>233</v>
      </c>
      <c r="AV313">
        <v>0</v>
      </c>
      <c r="AW313">
        <v>2</v>
      </c>
      <c r="AX313">
        <v>16784619</v>
      </c>
      <c r="AY313">
        <v>1</v>
      </c>
      <c r="AZ313">
        <v>0</v>
      </c>
      <c r="BA313">
        <v>317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Y313*Source!I113</f>
        <v>3.5249999999999997E-2</v>
      </c>
      <c r="CY313">
        <f>AA313</f>
        <v>14.91</v>
      </c>
      <c r="CZ313">
        <f>AE313</f>
        <v>2.44</v>
      </c>
      <c r="DA313">
        <f>AI313</f>
        <v>6.11</v>
      </c>
      <c r="DB313">
        <f>ROUND((ROUND(AT313*CZ313,2)*15),2)</f>
        <v>8.5500000000000007</v>
      </c>
      <c r="DC313">
        <f>ROUND((ROUND(AT313*AG313,2)*15),2)</f>
        <v>0</v>
      </c>
    </row>
    <row r="314" spans="1:107" x14ac:dyDescent="0.2">
      <c r="A314">
        <f>ROW(Source!A113)</f>
        <v>113</v>
      </c>
      <c r="B314">
        <v>16784196</v>
      </c>
      <c r="C314">
        <v>16784610</v>
      </c>
      <c r="D314">
        <v>15170666</v>
      </c>
      <c r="E314">
        <v>1</v>
      </c>
      <c r="F314">
        <v>1</v>
      </c>
      <c r="G314">
        <v>1</v>
      </c>
      <c r="H314">
        <v>3</v>
      </c>
      <c r="I314" t="s">
        <v>668</v>
      </c>
      <c r="J314" t="s">
        <v>669</v>
      </c>
      <c r="K314" t="s">
        <v>670</v>
      </c>
      <c r="L314">
        <v>1354</v>
      </c>
      <c r="N314">
        <v>1010</v>
      </c>
      <c r="O314" t="s">
        <v>277</v>
      </c>
      <c r="P314" t="s">
        <v>277</v>
      </c>
      <c r="Q314">
        <v>1</v>
      </c>
      <c r="W314">
        <v>0</v>
      </c>
      <c r="X314">
        <v>1593985666</v>
      </c>
      <c r="Y314">
        <v>1.5150000000000001</v>
      </c>
      <c r="AA314">
        <v>18612.28</v>
      </c>
      <c r="AB314">
        <v>0</v>
      </c>
      <c r="AC314">
        <v>0</v>
      </c>
      <c r="AD314">
        <v>0</v>
      </c>
      <c r="AE314">
        <v>3046.2</v>
      </c>
      <c r="AF314">
        <v>0</v>
      </c>
      <c r="AG314">
        <v>0</v>
      </c>
      <c r="AH314">
        <v>0</v>
      </c>
      <c r="AI314">
        <v>6.11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1</v>
      </c>
      <c r="AQ314">
        <v>0</v>
      </c>
      <c r="AR314">
        <v>0</v>
      </c>
      <c r="AS314" t="s">
        <v>6</v>
      </c>
      <c r="AT314">
        <v>0.10100000000000001</v>
      </c>
      <c r="AU314" t="s">
        <v>233</v>
      </c>
      <c r="AV314">
        <v>0</v>
      </c>
      <c r="AW314">
        <v>2</v>
      </c>
      <c r="AX314">
        <v>16784620</v>
      </c>
      <c r="AY314">
        <v>1</v>
      </c>
      <c r="AZ314">
        <v>0</v>
      </c>
      <c r="BA314">
        <v>318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Y314*Source!I113</f>
        <v>1.5150000000000002E-2</v>
      </c>
      <c r="CY314">
        <f>AA314</f>
        <v>18612.28</v>
      </c>
      <c r="CZ314">
        <f>AE314</f>
        <v>3046.2</v>
      </c>
      <c r="DA314">
        <f>AI314</f>
        <v>6.11</v>
      </c>
      <c r="DB314">
        <f>ROUND((ROUND(AT314*CZ314,2)*15),2)</f>
        <v>4615.05</v>
      </c>
      <c r="DC314">
        <f>ROUND((ROUND(AT314*AG314,2)*15),2)</f>
        <v>0</v>
      </c>
    </row>
    <row r="315" spans="1:107" x14ac:dyDescent="0.2">
      <c r="A315">
        <f>ROW(Source!A114)</f>
        <v>114</v>
      </c>
      <c r="B315">
        <v>16784195</v>
      </c>
      <c r="C315">
        <v>16784621</v>
      </c>
      <c r="D315">
        <v>15433667</v>
      </c>
      <c r="E315">
        <v>1</v>
      </c>
      <c r="F315">
        <v>1</v>
      </c>
      <c r="G315">
        <v>1</v>
      </c>
      <c r="H315">
        <v>1</v>
      </c>
      <c r="I315" t="s">
        <v>493</v>
      </c>
      <c r="J315" t="s">
        <v>6</v>
      </c>
      <c r="K315" t="s">
        <v>494</v>
      </c>
      <c r="L315">
        <v>1191</v>
      </c>
      <c r="N315">
        <v>1013</v>
      </c>
      <c r="O315" t="s">
        <v>495</v>
      </c>
      <c r="P315" t="s">
        <v>495</v>
      </c>
      <c r="Q315">
        <v>1</v>
      </c>
      <c r="W315">
        <v>0</v>
      </c>
      <c r="X315">
        <v>371339561</v>
      </c>
      <c r="Y315">
        <v>75.22</v>
      </c>
      <c r="AA315">
        <v>0</v>
      </c>
      <c r="AB315">
        <v>0</v>
      </c>
      <c r="AC315">
        <v>0</v>
      </c>
      <c r="AD315">
        <v>8.09</v>
      </c>
      <c r="AE315">
        <v>0</v>
      </c>
      <c r="AF315">
        <v>0</v>
      </c>
      <c r="AG315">
        <v>0</v>
      </c>
      <c r="AH315">
        <v>8.09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75.22</v>
      </c>
      <c r="AU315" t="s">
        <v>6</v>
      </c>
      <c r="AV315">
        <v>1</v>
      </c>
      <c r="AW315">
        <v>2</v>
      </c>
      <c r="AX315">
        <v>16784633</v>
      </c>
      <c r="AY315">
        <v>1</v>
      </c>
      <c r="AZ315">
        <v>0</v>
      </c>
      <c r="BA315">
        <v>319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Y315*Source!I114</f>
        <v>0.22566</v>
      </c>
      <c r="CY315">
        <f>AD315</f>
        <v>8.09</v>
      </c>
      <c r="CZ315">
        <f>AH315</f>
        <v>8.09</v>
      </c>
      <c r="DA315">
        <f>AL315</f>
        <v>1</v>
      </c>
      <c r="DB315">
        <f t="shared" ref="DB315:DB338" si="50">ROUND(ROUND(AT315*CZ315,2),2)</f>
        <v>608.53</v>
      </c>
      <c r="DC315">
        <f t="shared" ref="DC315:DC338" si="51">ROUND(ROUND(AT315*AG315,2),2)</f>
        <v>0</v>
      </c>
    </row>
    <row r="316" spans="1:107" x14ac:dyDescent="0.2">
      <c r="A316">
        <f>ROW(Source!A114)</f>
        <v>114</v>
      </c>
      <c r="B316">
        <v>16784195</v>
      </c>
      <c r="C316">
        <v>16784621</v>
      </c>
      <c r="D316">
        <v>15430395</v>
      </c>
      <c r="E316">
        <v>1</v>
      </c>
      <c r="F316">
        <v>1</v>
      </c>
      <c r="G316">
        <v>1</v>
      </c>
      <c r="H316">
        <v>1</v>
      </c>
      <c r="I316" t="s">
        <v>496</v>
      </c>
      <c r="J316" t="s">
        <v>6</v>
      </c>
      <c r="K316" t="s">
        <v>497</v>
      </c>
      <c r="L316">
        <v>1191</v>
      </c>
      <c r="N316">
        <v>1013</v>
      </c>
      <c r="O316" t="s">
        <v>495</v>
      </c>
      <c r="P316" t="s">
        <v>495</v>
      </c>
      <c r="Q316">
        <v>1</v>
      </c>
      <c r="W316">
        <v>0</v>
      </c>
      <c r="X316">
        <v>-1417349443</v>
      </c>
      <c r="Y316">
        <v>0.4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0.4</v>
      </c>
      <c r="AU316" t="s">
        <v>6</v>
      </c>
      <c r="AV316">
        <v>2</v>
      </c>
      <c r="AW316">
        <v>2</v>
      </c>
      <c r="AX316">
        <v>16784634</v>
      </c>
      <c r="AY316">
        <v>1</v>
      </c>
      <c r="AZ316">
        <v>0</v>
      </c>
      <c r="BA316">
        <v>320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Y316*Source!I114</f>
        <v>1.2000000000000001E-3</v>
      </c>
      <c r="CY316">
        <f>AD316</f>
        <v>0</v>
      </c>
      <c r="CZ316">
        <f>AH316</f>
        <v>0</v>
      </c>
      <c r="DA316">
        <f>AL316</f>
        <v>1</v>
      </c>
      <c r="DB316">
        <f t="shared" si="50"/>
        <v>0</v>
      </c>
      <c r="DC316">
        <f t="shared" si="51"/>
        <v>0</v>
      </c>
    </row>
    <row r="317" spans="1:107" x14ac:dyDescent="0.2">
      <c r="A317">
        <f>ROW(Source!A114)</f>
        <v>114</v>
      </c>
      <c r="B317">
        <v>16784195</v>
      </c>
      <c r="C317">
        <v>16784621</v>
      </c>
      <c r="D317">
        <v>15247878</v>
      </c>
      <c r="E317">
        <v>1</v>
      </c>
      <c r="F317">
        <v>1</v>
      </c>
      <c r="G317">
        <v>1</v>
      </c>
      <c r="H317">
        <v>2</v>
      </c>
      <c r="I317" t="s">
        <v>671</v>
      </c>
      <c r="J317" t="s">
        <v>672</v>
      </c>
      <c r="K317" t="s">
        <v>673</v>
      </c>
      <c r="L317">
        <v>1368</v>
      </c>
      <c r="N317">
        <v>1011</v>
      </c>
      <c r="O317" t="s">
        <v>501</v>
      </c>
      <c r="P317" t="s">
        <v>501</v>
      </c>
      <c r="Q317">
        <v>1</v>
      </c>
      <c r="W317">
        <v>0</v>
      </c>
      <c r="X317">
        <v>1047452784</v>
      </c>
      <c r="Y317">
        <v>0.21</v>
      </c>
      <c r="AA317">
        <v>0</v>
      </c>
      <c r="AB317">
        <v>1.7</v>
      </c>
      <c r="AC317">
        <v>0</v>
      </c>
      <c r="AD317">
        <v>0</v>
      </c>
      <c r="AE317">
        <v>0</v>
      </c>
      <c r="AF317">
        <v>1.7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0.21</v>
      </c>
      <c r="AU317" t="s">
        <v>6</v>
      </c>
      <c r="AV317">
        <v>0</v>
      </c>
      <c r="AW317">
        <v>2</v>
      </c>
      <c r="AX317">
        <v>16784635</v>
      </c>
      <c r="AY317">
        <v>1</v>
      </c>
      <c r="AZ317">
        <v>0</v>
      </c>
      <c r="BA317">
        <v>321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Y317*Source!I114</f>
        <v>6.3000000000000003E-4</v>
      </c>
      <c r="CY317">
        <f>AB317</f>
        <v>1.7</v>
      </c>
      <c r="CZ317">
        <f>AF317</f>
        <v>1.7</v>
      </c>
      <c r="DA317">
        <f>AJ317</f>
        <v>1</v>
      </c>
      <c r="DB317">
        <f t="shared" si="50"/>
        <v>0.36</v>
      </c>
      <c r="DC317">
        <f t="shared" si="51"/>
        <v>0</v>
      </c>
    </row>
    <row r="318" spans="1:107" x14ac:dyDescent="0.2">
      <c r="A318">
        <f>ROW(Source!A114)</f>
        <v>114</v>
      </c>
      <c r="B318">
        <v>16784195</v>
      </c>
      <c r="C318">
        <v>16784621</v>
      </c>
      <c r="D318">
        <v>15249073</v>
      </c>
      <c r="E318">
        <v>1</v>
      </c>
      <c r="F318">
        <v>1</v>
      </c>
      <c r="G318">
        <v>1</v>
      </c>
      <c r="H318">
        <v>2</v>
      </c>
      <c r="I318" t="s">
        <v>504</v>
      </c>
      <c r="J318" t="s">
        <v>505</v>
      </c>
      <c r="K318" t="s">
        <v>506</v>
      </c>
      <c r="L318">
        <v>1368</v>
      </c>
      <c r="N318">
        <v>1011</v>
      </c>
      <c r="O318" t="s">
        <v>501</v>
      </c>
      <c r="P318" t="s">
        <v>501</v>
      </c>
      <c r="Q318">
        <v>1</v>
      </c>
      <c r="W318">
        <v>0</v>
      </c>
      <c r="X318">
        <v>1372534845</v>
      </c>
      <c r="Y318">
        <v>0.4</v>
      </c>
      <c r="AA318">
        <v>0</v>
      </c>
      <c r="AB318">
        <v>65.709999999999994</v>
      </c>
      <c r="AC318">
        <v>11.6</v>
      </c>
      <c r="AD318">
        <v>0</v>
      </c>
      <c r="AE318">
        <v>0</v>
      </c>
      <c r="AF318">
        <v>65.709999999999994</v>
      </c>
      <c r="AG318">
        <v>11.6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0.4</v>
      </c>
      <c r="AU318" t="s">
        <v>6</v>
      </c>
      <c r="AV318">
        <v>0</v>
      </c>
      <c r="AW318">
        <v>2</v>
      </c>
      <c r="AX318">
        <v>16784636</v>
      </c>
      <c r="AY318">
        <v>1</v>
      </c>
      <c r="AZ318">
        <v>0</v>
      </c>
      <c r="BA318">
        <v>322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Y318*Source!I114</f>
        <v>1.2000000000000001E-3</v>
      </c>
      <c r="CY318">
        <f>AB318</f>
        <v>65.709999999999994</v>
      </c>
      <c r="CZ318">
        <f>AF318</f>
        <v>65.709999999999994</v>
      </c>
      <c r="DA318">
        <f>AJ318</f>
        <v>1</v>
      </c>
      <c r="DB318">
        <f t="shared" si="50"/>
        <v>26.28</v>
      </c>
      <c r="DC318">
        <f t="shared" si="51"/>
        <v>4.6399999999999997</v>
      </c>
    </row>
    <row r="319" spans="1:107" x14ac:dyDescent="0.2">
      <c r="A319">
        <f>ROW(Source!A114)</f>
        <v>114</v>
      </c>
      <c r="B319">
        <v>16784195</v>
      </c>
      <c r="C319">
        <v>16784621</v>
      </c>
      <c r="D319">
        <v>15167286</v>
      </c>
      <c r="E319">
        <v>1</v>
      </c>
      <c r="F319">
        <v>1</v>
      </c>
      <c r="G319">
        <v>1</v>
      </c>
      <c r="H319">
        <v>3</v>
      </c>
      <c r="I319" t="s">
        <v>597</v>
      </c>
      <c r="J319" t="s">
        <v>598</v>
      </c>
      <c r="K319" t="s">
        <v>599</v>
      </c>
      <c r="L319">
        <v>1339</v>
      </c>
      <c r="N319">
        <v>1007</v>
      </c>
      <c r="O319" t="s">
        <v>128</v>
      </c>
      <c r="P319" t="s">
        <v>128</v>
      </c>
      <c r="Q319">
        <v>1</v>
      </c>
      <c r="W319">
        <v>0</v>
      </c>
      <c r="X319">
        <v>-1660354250</v>
      </c>
      <c r="Y319">
        <v>1.37E-2</v>
      </c>
      <c r="AA319">
        <v>2.44</v>
      </c>
      <c r="AB319">
        <v>0</v>
      </c>
      <c r="AC319">
        <v>0</v>
      </c>
      <c r="AD319">
        <v>0</v>
      </c>
      <c r="AE319">
        <v>2.44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1.37E-2</v>
      </c>
      <c r="AU319" t="s">
        <v>6</v>
      </c>
      <c r="AV319">
        <v>0</v>
      </c>
      <c r="AW319">
        <v>2</v>
      </c>
      <c r="AX319">
        <v>16784637</v>
      </c>
      <c r="AY319">
        <v>1</v>
      </c>
      <c r="AZ319">
        <v>0</v>
      </c>
      <c r="BA319">
        <v>323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Y319*Source!I114</f>
        <v>4.1100000000000003E-5</v>
      </c>
      <c r="CY319">
        <f t="shared" ref="CY319:CY325" si="52">AA319</f>
        <v>2.44</v>
      </c>
      <c r="CZ319">
        <f t="shared" ref="CZ319:CZ325" si="53">AE319</f>
        <v>2.44</v>
      </c>
      <c r="DA319">
        <f t="shared" ref="DA319:DA325" si="54">AI319</f>
        <v>1</v>
      </c>
      <c r="DB319">
        <f t="shared" si="50"/>
        <v>0.03</v>
      </c>
      <c r="DC319">
        <f t="shared" si="51"/>
        <v>0</v>
      </c>
    </row>
    <row r="320" spans="1:107" x14ac:dyDescent="0.2">
      <c r="A320">
        <f>ROW(Source!A114)</f>
        <v>114</v>
      </c>
      <c r="B320">
        <v>16784195</v>
      </c>
      <c r="C320">
        <v>16784621</v>
      </c>
      <c r="D320">
        <v>15170039</v>
      </c>
      <c r="E320">
        <v>1</v>
      </c>
      <c r="F320">
        <v>1</v>
      </c>
      <c r="G320">
        <v>1</v>
      </c>
      <c r="H320">
        <v>3</v>
      </c>
      <c r="I320" t="s">
        <v>561</v>
      </c>
      <c r="J320" t="s">
        <v>562</v>
      </c>
      <c r="K320" t="s">
        <v>563</v>
      </c>
      <c r="L320">
        <v>1348</v>
      </c>
      <c r="N320">
        <v>1009</v>
      </c>
      <c r="O320" t="s">
        <v>65</v>
      </c>
      <c r="P320" t="s">
        <v>65</v>
      </c>
      <c r="Q320">
        <v>1000</v>
      </c>
      <c r="W320">
        <v>0</v>
      </c>
      <c r="X320">
        <v>1174701286</v>
      </c>
      <c r="Y320">
        <v>5.8999999999999999E-3</v>
      </c>
      <c r="AA320">
        <v>11978</v>
      </c>
      <c r="AB320">
        <v>0</v>
      </c>
      <c r="AC320">
        <v>0</v>
      </c>
      <c r="AD320">
        <v>0</v>
      </c>
      <c r="AE320">
        <v>11978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5.8999999999999999E-3</v>
      </c>
      <c r="AU320" t="s">
        <v>6</v>
      </c>
      <c r="AV320">
        <v>0</v>
      </c>
      <c r="AW320">
        <v>2</v>
      </c>
      <c r="AX320">
        <v>16784638</v>
      </c>
      <c r="AY320">
        <v>1</v>
      </c>
      <c r="AZ320">
        <v>0</v>
      </c>
      <c r="BA320">
        <v>324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Y320*Source!I114</f>
        <v>1.77E-5</v>
      </c>
      <c r="CY320">
        <f t="shared" si="52"/>
        <v>11978</v>
      </c>
      <c r="CZ320">
        <f t="shared" si="53"/>
        <v>11978</v>
      </c>
      <c r="DA320">
        <f t="shared" si="54"/>
        <v>1</v>
      </c>
      <c r="DB320">
        <f t="shared" si="50"/>
        <v>70.67</v>
      </c>
      <c r="DC320">
        <f t="shared" si="51"/>
        <v>0</v>
      </c>
    </row>
    <row r="321" spans="1:107" x14ac:dyDescent="0.2">
      <c r="A321">
        <f>ROW(Source!A114)</f>
        <v>114</v>
      </c>
      <c r="B321">
        <v>16784195</v>
      </c>
      <c r="C321">
        <v>16784621</v>
      </c>
      <c r="D321">
        <v>15172014</v>
      </c>
      <c r="E321">
        <v>1</v>
      </c>
      <c r="F321">
        <v>1</v>
      </c>
      <c r="G321">
        <v>1</v>
      </c>
      <c r="H321">
        <v>3</v>
      </c>
      <c r="I321" t="s">
        <v>674</v>
      </c>
      <c r="J321" t="s">
        <v>675</v>
      </c>
      <c r="K321" t="s">
        <v>676</v>
      </c>
      <c r="L321">
        <v>1348</v>
      </c>
      <c r="N321">
        <v>1009</v>
      </c>
      <c r="O321" t="s">
        <v>65</v>
      </c>
      <c r="P321" t="s">
        <v>65</v>
      </c>
      <c r="Q321">
        <v>1000</v>
      </c>
      <c r="W321">
        <v>0</v>
      </c>
      <c r="X321">
        <v>36820162</v>
      </c>
      <c r="Y321">
        <v>4.8999999999999998E-3</v>
      </c>
      <c r="AA321">
        <v>734.5</v>
      </c>
      <c r="AB321">
        <v>0</v>
      </c>
      <c r="AC321">
        <v>0</v>
      </c>
      <c r="AD321">
        <v>0</v>
      </c>
      <c r="AE321">
        <v>734.5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6</v>
      </c>
      <c r="AT321">
        <v>4.8999999999999998E-3</v>
      </c>
      <c r="AU321" t="s">
        <v>6</v>
      </c>
      <c r="AV321">
        <v>0</v>
      </c>
      <c r="AW321">
        <v>2</v>
      </c>
      <c r="AX321">
        <v>16784639</v>
      </c>
      <c r="AY321">
        <v>1</v>
      </c>
      <c r="AZ321">
        <v>0</v>
      </c>
      <c r="BA321">
        <v>325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Y321*Source!I114</f>
        <v>1.47E-5</v>
      </c>
      <c r="CY321">
        <f t="shared" si="52"/>
        <v>734.5</v>
      </c>
      <c r="CZ321">
        <f t="shared" si="53"/>
        <v>734.5</v>
      </c>
      <c r="DA321">
        <f t="shared" si="54"/>
        <v>1</v>
      </c>
      <c r="DB321">
        <f t="shared" si="50"/>
        <v>3.6</v>
      </c>
      <c r="DC321">
        <f t="shared" si="51"/>
        <v>0</v>
      </c>
    </row>
    <row r="322" spans="1:107" x14ac:dyDescent="0.2">
      <c r="A322">
        <f>ROW(Source!A114)</f>
        <v>114</v>
      </c>
      <c r="B322">
        <v>16784195</v>
      </c>
      <c r="C322">
        <v>16784621</v>
      </c>
      <c r="D322">
        <v>15172843</v>
      </c>
      <c r="E322">
        <v>1</v>
      </c>
      <c r="F322">
        <v>1</v>
      </c>
      <c r="G322">
        <v>1</v>
      </c>
      <c r="H322">
        <v>3</v>
      </c>
      <c r="I322" t="s">
        <v>239</v>
      </c>
      <c r="J322" t="s">
        <v>241</v>
      </c>
      <c r="K322" t="s">
        <v>240</v>
      </c>
      <c r="L322">
        <v>1339</v>
      </c>
      <c r="N322">
        <v>1007</v>
      </c>
      <c r="O322" t="s">
        <v>128</v>
      </c>
      <c r="P322" t="s">
        <v>128</v>
      </c>
      <c r="Q322">
        <v>1</v>
      </c>
      <c r="W322">
        <v>0</v>
      </c>
      <c r="X322">
        <v>1059503882</v>
      </c>
      <c r="Y322">
        <v>1.04</v>
      </c>
      <c r="AA322">
        <v>519.79999999999995</v>
      </c>
      <c r="AB322">
        <v>0</v>
      </c>
      <c r="AC322">
        <v>0</v>
      </c>
      <c r="AD322">
        <v>0</v>
      </c>
      <c r="AE322">
        <v>519.79999999999995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0</v>
      </c>
      <c r="AP322">
        <v>0</v>
      </c>
      <c r="AQ322">
        <v>0</v>
      </c>
      <c r="AR322">
        <v>0</v>
      </c>
      <c r="AS322" t="s">
        <v>6</v>
      </c>
      <c r="AT322">
        <v>1.04</v>
      </c>
      <c r="AU322" t="s">
        <v>6</v>
      </c>
      <c r="AV322">
        <v>0</v>
      </c>
      <c r="AW322">
        <v>1</v>
      </c>
      <c r="AX322">
        <v>-1</v>
      </c>
      <c r="AY322">
        <v>0</v>
      </c>
      <c r="AZ322">
        <v>0</v>
      </c>
      <c r="BA322" t="s">
        <v>6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Y322*Source!I114</f>
        <v>3.1200000000000004E-3</v>
      </c>
      <c r="CY322">
        <f t="shared" si="52"/>
        <v>519.79999999999995</v>
      </c>
      <c r="CZ322">
        <f t="shared" si="53"/>
        <v>519.79999999999995</v>
      </c>
      <c r="DA322">
        <f t="shared" si="54"/>
        <v>1</v>
      </c>
      <c r="DB322">
        <f t="shared" si="50"/>
        <v>540.59</v>
      </c>
      <c r="DC322">
        <f t="shared" si="51"/>
        <v>0</v>
      </c>
    </row>
    <row r="323" spans="1:107" x14ac:dyDescent="0.2">
      <c r="A323">
        <f>ROW(Source!A114)</f>
        <v>114</v>
      </c>
      <c r="B323">
        <v>16784195</v>
      </c>
      <c r="C323">
        <v>16784621</v>
      </c>
      <c r="D323">
        <v>15191153</v>
      </c>
      <c r="E323">
        <v>1</v>
      </c>
      <c r="F323">
        <v>1</v>
      </c>
      <c r="G323">
        <v>1</v>
      </c>
      <c r="H323">
        <v>3</v>
      </c>
      <c r="I323" t="s">
        <v>570</v>
      </c>
      <c r="J323" t="s">
        <v>571</v>
      </c>
      <c r="K323" t="s">
        <v>572</v>
      </c>
      <c r="L323">
        <v>1348</v>
      </c>
      <c r="N323">
        <v>1009</v>
      </c>
      <c r="O323" t="s">
        <v>65</v>
      </c>
      <c r="P323" t="s">
        <v>65</v>
      </c>
      <c r="Q323">
        <v>1000</v>
      </c>
      <c r="W323">
        <v>0</v>
      </c>
      <c r="X323">
        <v>-1396314973</v>
      </c>
      <c r="Y323">
        <v>9.4999999999999998E-3</v>
      </c>
      <c r="AA323">
        <v>4455.2</v>
      </c>
      <c r="AB323">
        <v>0</v>
      </c>
      <c r="AC323">
        <v>0</v>
      </c>
      <c r="AD323">
        <v>0</v>
      </c>
      <c r="AE323">
        <v>4455.2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9.4999999999999998E-3</v>
      </c>
      <c r="AU323" t="s">
        <v>6</v>
      </c>
      <c r="AV323">
        <v>0</v>
      </c>
      <c r="AW323">
        <v>2</v>
      </c>
      <c r="AX323">
        <v>16784641</v>
      </c>
      <c r="AY323">
        <v>1</v>
      </c>
      <c r="AZ323">
        <v>0</v>
      </c>
      <c r="BA323">
        <v>327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Y323*Source!I114</f>
        <v>2.8500000000000002E-5</v>
      </c>
      <c r="CY323">
        <f t="shared" si="52"/>
        <v>4455.2</v>
      </c>
      <c r="CZ323">
        <f t="shared" si="53"/>
        <v>4455.2</v>
      </c>
      <c r="DA323">
        <f t="shared" si="54"/>
        <v>1</v>
      </c>
      <c r="DB323">
        <f t="shared" si="50"/>
        <v>42.32</v>
      </c>
      <c r="DC323">
        <f t="shared" si="51"/>
        <v>0</v>
      </c>
    </row>
    <row r="324" spans="1:107" x14ac:dyDescent="0.2">
      <c r="A324">
        <f>ROW(Source!A114)</f>
        <v>114</v>
      </c>
      <c r="B324">
        <v>16784195</v>
      </c>
      <c r="C324">
        <v>16784621</v>
      </c>
      <c r="D324">
        <v>15195822</v>
      </c>
      <c r="E324">
        <v>1</v>
      </c>
      <c r="F324">
        <v>1</v>
      </c>
      <c r="G324">
        <v>1</v>
      </c>
      <c r="H324">
        <v>3</v>
      </c>
      <c r="I324" t="s">
        <v>677</v>
      </c>
      <c r="J324" t="s">
        <v>678</v>
      </c>
      <c r="K324" t="s">
        <v>679</v>
      </c>
      <c r="L324">
        <v>1339</v>
      </c>
      <c r="N324">
        <v>1007</v>
      </c>
      <c r="O324" t="s">
        <v>128</v>
      </c>
      <c r="P324" t="s">
        <v>128</v>
      </c>
      <c r="Q324">
        <v>1</v>
      </c>
      <c r="W324">
        <v>0</v>
      </c>
      <c r="X324">
        <v>-395792271</v>
      </c>
      <c r="Y324">
        <v>0.21</v>
      </c>
      <c r="AA324">
        <v>1287</v>
      </c>
      <c r="AB324">
        <v>0</v>
      </c>
      <c r="AC324">
        <v>0</v>
      </c>
      <c r="AD324">
        <v>0</v>
      </c>
      <c r="AE324">
        <v>1287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0.21</v>
      </c>
      <c r="AU324" t="s">
        <v>6</v>
      </c>
      <c r="AV324">
        <v>0</v>
      </c>
      <c r="AW324">
        <v>2</v>
      </c>
      <c r="AX324">
        <v>16784642</v>
      </c>
      <c r="AY324">
        <v>1</v>
      </c>
      <c r="AZ324">
        <v>0</v>
      </c>
      <c r="BA324">
        <v>328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Y324*Source!I114</f>
        <v>6.3000000000000003E-4</v>
      </c>
      <c r="CY324">
        <f t="shared" si="52"/>
        <v>1287</v>
      </c>
      <c r="CZ324">
        <f t="shared" si="53"/>
        <v>1287</v>
      </c>
      <c r="DA324">
        <f t="shared" si="54"/>
        <v>1</v>
      </c>
      <c r="DB324">
        <f t="shared" si="50"/>
        <v>270.27</v>
      </c>
      <c r="DC324">
        <f t="shared" si="51"/>
        <v>0</v>
      </c>
    </row>
    <row r="325" spans="1:107" x14ac:dyDescent="0.2">
      <c r="A325">
        <f>ROW(Source!A114)</f>
        <v>114</v>
      </c>
      <c r="B325">
        <v>16784195</v>
      </c>
      <c r="C325">
        <v>16784621</v>
      </c>
      <c r="D325">
        <v>15196012</v>
      </c>
      <c r="E325">
        <v>1</v>
      </c>
      <c r="F325">
        <v>1</v>
      </c>
      <c r="G325">
        <v>1</v>
      </c>
      <c r="H325">
        <v>3</v>
      </c>
      <c r="I325" t="s">
        <v>680</v>
      </c>
      <c r="J325" t="s">
        <v>681</v>
      </c>
      <c r="K325" t="s">
        <v>682</v>
      </c>
      <c r="L325">
        <v>1339</v>
      </c>
      <c r="N325">
        <v>1007</v>
      </c>
      <c r="O325" t="s">
        <v>128</v>
      </c>
      <c r="P325" t="s">
        <v>128</v>
      </c>
      <c r="Q325">
        <v>1</v>
      </c>
      <c r="W325">
        <v>0</v>
      </c>
      <c r="X325">
        <v>-828683394</v>
      </c>
      <c r="Y325">
        <v>0.18</v>
      </c>
      <c r="AA325">
        <v>1155</v>
      </c>
      <c r="AB325">
        <v>0</v>
      </c>
      <c r="AC325">
        <v>0</v>
      </c>
      <c r="AD325">
        <v>0</v>
      </c>
      <c r="AE325">
        <v>1155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0.18</v>
      </c>
      <c r="AU325" t="s">
        <v>6</v>
      </c>
      <c r="AV325">
        <v>0</v>
      </c>
      <c r="AW325">
        <v>2</v>
      </c>
      <c r="AX325">
        <v>16784643</v>
      </c>
      <c r="AY325">
        <v>1</v>
      </c>
      <c r="AZ325">
        <v>0</v>
      </c>
      <c r="BA325">
        <v>329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Y325*Source!I114</f>
        <v>5.4000000000000001E-4</v>
      </c>
      <c r="CY325">
        <f t="shared" si="52"/>
        <v>1155</v>
      </c>
      <c r="CZ325">
        <f t="shared" si="53"/>
        <v>1155</v>
      </c>
      <c r="DA325">
        <f t="shared" si="54"/>
        <v>1</v>
      </c>
      <c r="DB325">
        <f t="shared" si="50"/>
        <v>207.9</v>
      </c>
      <c r="DC325">
        <f t="shared" si="51"/>
        <v>0</v>
      </c>
    </row>
    <row r="326" spans="1:107" x14ac:dyDescent="0.2">
      <c r="A326">
        <f>ROW(Source!A115)</f>
        <v>115</v>
      </c>
      <c r="B326">
        <v>16784196</v>
      </c>
      <c r="C326">
        <v>16784621</v>
      </c>
      <c r="D326">
        <v>15433667</v>
      </c>
      <c r="E326">
        <v>1</v>
      </c>
      <c r="F326">
        <v>1</v>
      </c>
      <c r="G326">
        <v>1</v>
      </c>
      <c r="H326">
        <v>1</v>
      </c>
      <c r="I326" t="s">
        <v>493</v>
      </c>
      <c r="J326" t="s">
        <v>6</v>
      </c>
      <c r="K326" t="s">
        <v>494</v>
      </c>
      <c r="L326">
        <v>1191</v>
      </c>
      <c r="N326">
        <v>1013</v>
      </c>
      <c r="O326" t="s">
        <v>495</v>
      </c>
      <c r="P326" t="s">
        <v>495</v>
      </c>
      <c r="Q326">
        <v>1</v>
      </c>
      <c r="W326">
        <v>0</v>
      </c>
      <c r="X326">
        <v>371339561</v>
      </c>
      <c r="Y326">
        <v>75.22</v>
      </c>
      <c r="AA326">
        <v>0</v>
      </c>
      <c r="AB326">
        <v>0</v>
      </c>
      <c r="AC326">
        <v>0</v>
      </c>
      <c r="AD326">
        <v>49.43</v>
      </c>
      <c r="AE326">
        <v>0</v>
      </c>
      <c r="AF326">
        <v>0</v>
      </c>
      <c r="AG326">
        <v>0</v>
      </c>
      <c r="AH326">
        <v>8.09</v>
      </c>
      <c r="AI326">
        <v>1</v>
      </c>
      <c r="AJ326">
        <v>1</v>
      </c>
      <c r="AK326">
        <v>1</v>
      </c>
      <c r="AL326">
        <v>6.11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75.22</v>
      </c>
      <c r="AU326" t="s">
        <v>6</v>
      </c>
      <c r="AV326">
        <v>1</v>
      </c>
      <c r="AW326">
        <v>2</v>
      </c>
      <c r="AX326">
        <v>16784633</v>
      </c>
      <c r="AY326">
        <v>1</v>
      </c>
      <c r="AZ326">
        <v>0</v>
      </c>
      <c r="BA326">
        <v>330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Y326*Source!I115</f>
        <v>0.22566</v>
      </c>
      <c r="CY326">
        <f>AD326</f>
        <v>49.43</v>
      </c>
      <c r="CZ326">
        <f>AH326</f>
        <v>8.09</v>
      </c>
      <c r="DA326">
        <f>AL326</f>
        <v>6.11</v>
      </c>
      <c r="DB326">
        <f t="shared" si="50"/>
        <v>608.53</v>
      </c>
      <c r="DC326">
        <f t="shared" si="51"/>
        <v>0</v>
      </c>
    </row>
    <row r="327" spans="1:107" x14ac:dyDescent="0.2">
      <c r="A327">
        <f>ROW(Source!A115)</f>
        <v>115</v>
      </c>
      <c r="B327">
        <v>16784196</v>
      </c>
      <c r="C327">
        <v>16784621</v>
      </c>
      <c r="D327">
        <v>15430395</v>
      </c>
      <c r="E327">
        <v>1</v>
      </c>
      <c r="F327">
        <v>1</v>
      </c>
      <c r="G327">
        <v>1</v>
      </c>
      <c r="H327">
        <v>1</v>
      </c>
      <c r="I327" t="s">
        <v>496</v>
      </c>
      <c r="J327" t="s">
        <v>6</v>
      </c>
      <c r="K327" t="s">
        <v>497</v>
      </c>
      <c r="L327">
        <v>1191</v>
      </c>
      <c r="N327">
        <v>1013</v>
      </c>
      <c r="O327" t="s">
        <v>495</v>
      </c>
      <c r="P327" t="s">
        <v>495</v>
      </c>
      <c r="Q327">
        <v>1</v>
      </c>
      <c r="W327">
        <v>0</v>
      </c>
      <c r="X327">
        <v>-1417349443</v>
      </c>
      <c r="Y327">
        <v>0.4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6.11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0.4</v>
      </c>
      <c r="AU327" t="s">
        <v>6</v>
      </c>
      <c r="AV327">
        <v>2</v>
      </c>
      <c r="AW327">
        <v>2</v>
      </c>
      <c r="AX327">
        <v>16784634</v>
      </c>
      <c r="AY327">
        <v>1</v>
      </c>
      <c r="AZ327">
        <v>0</v>
      </c>
      <c r="BA327">
        <v>331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Y327*Source!I115</f>
        <v>1.2000000000000001E-3</v>
      </c>
      <c r="CY327">
        <f>AD327</f>
        <v>0</v>
      </c>
      <c r="CZ327">
        <f>AH327</f>
        <v>0</v>
      </c>
      <c r="DA327">
        <f>AL327</f>
        <v>1</v>
      </c>
      <c r="DB327">
        <f t="shared" si="50"/>
        <v>0</v>
      </c>
      <c r="DC327">
        <f t="shared" si="51"/>
        <v>0</v>
      </c>
    </row>
    <row r="328" spans="1:107" x14ac:dyDescent="0.2">
      <c r="A328">
        <f>ROW(Source!A115)</f>
        <v>115</v>
      </c>
      <c r="B328">
        <v>16784196</v>
      </c>
      <c r="C328">
        <v>16784621</v>
      </c>
      <c r="D328">
        <v>15247878</v>
      </c>
      <c r="E328">
        <v>1</v>
      </c>
      <c r="F328">
        <v>1</v>
      </c>
      <c r="G328">
        <v>1</v>
      </c>
      <c r="H328">
        <v>2</v>
      </c>
      <c r="I328" t="s">
        <v>671</v>
      </c>
      <c r="J328" t="s">
        <v>672</v>
      </c>
      <c r="K328" t="s">
        <v>673</v>
      </c>
      <c r="L328">
        <v>1368</v>
      </c>
      <c r="N328">
        <v>1011</v>
      </c>
      <c r="O328" t="s">
        <v>501</v>
      </c>
      <c r="P328" t="s">
        <v>501</v>
      </c>
      <c r="Q328">
        <v>1</v>
      </c>
      <c r="W328">
        <v>0</v>
      </c>
      <c r="X328">
        <v>1047452784</v>
      </c>
      <c r="Y328">
        <v>0.21</v>
      </c>
      <c r="AA328">
        <v>0</v>
      </c>
      <c r="AB328">
        <v>10.39</v>
      </c>
      <c r="AC328">
        <v>0</v>
      </c>
      <c r="AD328">
        <v>0</v>
      </c>
      <c r="AE328">
        <v>0</v>
      </c>
      <c r="AF328">
        <v>1.7</v>
      </c>
      <c r="AG328">
        <v>0</v>
      </c>
      <c r="AH328">
        <v>0</v>
      </c>
      <c r="AI328">
        <v>1</v>
      </c>
      <c r="AJ328">
        <v>6.11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6</v>
      </c>
      <c r="AT328">
        <v>0.21</v>
      </c>
      <c r="AU328" t="s">
        <v>6</v>
      </c>
      <c r="AV328">
        <v>0</v>
      </c>
      <c r="AW328">
        <v>2</v>
      </c>
      <c r="AX328">
        <v>16784635</v>
      </c>
      <c r="AY328">
        <v>1</v>
      </c>
      <c r="AZ328">
        <v>0</v>
      </c>
      <c r="BA328">
        <v>332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Y328*Source!I115</f>
        <v>6.3000000000000003E-4</v>
      </c>
      <c r="CY328">
        <f>AB328</f>
        <v>10.39</v>
      </c>
      <c r="CZ328">
        <f>AF328</f>
        <v>1.7</v>
      </c>
      <c r="DA328">
        <f>AJ328</f>
        <v>6.11</v>
      </c>
      <c r="DB328">
        <f t="shared" si="50"/>
        <v>0.36</v>
      </c>
      <c r="DC328">
        <f t="shared" si="51"/>
        <v>0</v>
      </c>
    </row>
    <row r="329" spans="1:107" x14ac:dyDescent="0.2">
      <c r="A329">
        <f>ROW(Source!A115)</f>
        <v>115</v>
      </c>
      <c r="B329">
        <v>16784196</v>
      </c>
      <c r="C329">
        <v>16784621</v>
      </c>
      <c r="D329">
        <v>15249073</v>
      </c>
      <c r="E329">
        <v>1</v>
      </c>
      <c r="F329">
        <v>1</v>
      </c>
      <c r="G329">
        <v>1</v>
      </c>
      <c r="H329">
        <v>2</v>
      </c>
      <c r="I329" t="s">
        <v>504</v>
      </c>
      <c r="J329" t="s">
        <v>505</v>
      </c>
      <c r="K329" t="s">
        <v>506</v>
      </c>
      <c r="L329">
        <v>1368</v>
      </c>
      <c r="N329">
        <v>1011</v>
      </c>
      <c r="O329" t="s">
        <v>501</v>
      </c>
      <c r="P329" t="s">
        <v>501</v>
      </c>
      <c r="Q329">
        <v>1</v>
      </c>
      <c r="W329">
        <v>0</v>
      </c>
      <c r="X329">
        <v>1372534845</v>
      </c>
      <c r="Y329">
        <v>0.4</v>
      </c>
      <c r="AA329">
        <v>0</v>
      </c>
      <c r="AB329">
        <v>401.49</v>
      </c>
      <c r="AC329">
        <v>11.6</v>
      </c>
      <c r="AD329">
        <v>0</v>
      </c>
      <c r="AE329">
        <v>0</v>
      </c>
      <c r="AF329">
        <v>65.709999999999994</v>
      </c>
      <c r="AG329">
        <v>11.6</v>
      </c>
      <c r="AH329">
        <v>0</v>
      </c>
      <c r="AI329">
        <v>1</v>
      </c>
      <c r="AJ329">
        <v>6.11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0.4</v>
      </c>
      <c r="AU329" t="s">
        <v>6</v>
      </c>
      <c r="AV329">
        <v>0</v>
      </c>
      <c r="AW329">
        <v>2</v>
      </c>
      <c r="AX329">
        <v>16784636</v>
      </c>
      <c r="AY329">
        <v>1</v>
      </c>
      <c r="AZ329">
        <v>0</v>
      </c>
      <c r="BA329">
        <v>333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Y329*Source!I115</f>
        <v>1.2000000000000001E-3</v>
      </c>
      <c r="CY329">
        <f>AB329</f>
        <v>401.49</v>
      </c>
      <c r="CZ329">
        <f>AF329</f>
        <v>65.709999999999994</v>
      </c>
      <c r="DA329">
        <f>AJ329</f>
        <v>6.11</v>
      </c>
      <c r="DB329">
        <f t="shared" si="50"/>
        <v>26.28</v>
      </c>
      <c r="DC329">
        <f t="shared" si="51"/>
        <v>4.6399999999999997</v>
      </c>
    </row>
    <row r="330" spans="1:107" x14ac:dyDescent="0.2">
      <c r="A330">
        <f>ROW(Source!A115)</f>
        <v>115</v>
      </c>
      <c r="B330">
        <v>16784196</v>
      </c>
      <c r="C330">
        <v>16784621</v>
      </c>
      <c r="D330">
        <v>15167286</v>
      </c>
      <c r="E330">
        <v>1</v>
      </c>
      <c r="F330">
        <v>1</v>
      </c>
      <c r="G330">
        <v>1</v>
      </c>
      <c r="H330">
        <v>3</v>
      </c>
      <c r="I330" t="s">
        <v>597</v>
      </c>
      <c r="J330" t="s">
        <v>598</v>
      </c>
      <c r="K330" t="s">
        <v>599</v>
      </c>
      <c r="L330">
        <v>1339</v>
      </c>
      <c r="N330">
        <v>1007</v>
      </c>
      <c r="O330" t="s">
        <v>128</v>
      </c>
      <c r="P330" t="s">
        <v>128</v>
      </c>
      <c r="Q330">
        <v>1</v>
      </c>
      <c r="W330">
        <v>0</v>
      </c>
      <c r="X330">
        <v>-1660354250</v>
      </c>
      <c r="Y330">
        <v>1.37E-2</v>
      </c>
      <c r="AA330">
        <v>14.91</v>
      </c>
      <c r="AB330">
        <v>0</v>
      </c>
      <c r="AC330">
        <v>0</v>
      </c>
      <c r="AD330">
        <v>0</v>
      </c>
      <c r="AE330">
        <v>2.44</v>
      </c>
      <c r="AF330">
        <v>0</v>
      </c>
      <c r="AG330">
        <v>0</v>
      </c>
      <c r="AH330">
        <v>0</v>
      </c>
      <c r="AI330">
        <v>6.11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1.37E-2</v>
      </c>
      <c r="AU330" t="s">
        <v>6</v>
      </c>
      <c r="AV330">
        <v>0</v>
      </c>
      <c r="AW330">
        <v>2</v>
      </c>
      <c r="AX330">
        <v>16784637</v>
      </c>
      <c r="AY330">
        <v>1</v>
      </c>
      <c r="AZ330">
        <v>0</v>
      </c>
      <c r="BA330">
        <v>334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Y330*Source!I115</f>
        <v>4.1100000000000003E-5</v>
      </c>
      <c r="CY330">
        <f t="shared" ref="CY330:CY336" si="55">AA330</f>
        <v>14.91</v>
      </c>
      <c r="CZ330">
        <f t="shared" ref="CZ330:CZ336" si="56">AE330</f>
        <v>2.44</v>
      </c>
      <c r="DA330">
        <f t="shared" ref="DA330:DA336" si="57">AI330</f>
        <v>6.11</v>
      </c>
      <c r="DB330">
        <f t="shared" si="50"/>
        <v>0.03</v>
      </c>
      <c r="DC330">
        <f t="shared" si="51"/>
        <v>0</v>
      </c>
    </row>
    <row r="331" spans="1:107" x14ac:dyDescent="0.2">
      <c r="A331">
        <f>ROW(Source!A115)</f>
        <v>115</v>
      </c>
      <c r="B331">
        <v>16784196</v>
      </c>
      <c r="C331">
        <v>16784621</v>
      </c>
      <c r="D331">
        <v>15170039</v>
      </c>
      <c r="E331">
        <v>1</v>
      </c>
      <c r="F331">
        <v>1</v>
      </c>
      <c r="G331">
        <v>1</v>
      </c>
      <c r="H331">
        <v>3</v>
      </c>
      <c r="I331" t="s">
        <v>561</v>
      </c>
      <c r="J331" t="s">
        <v>562</v>
      </c>
      <c r="K331" t="s">
        <v>563</v>
      </c>
      <c r="L331">
        <v>1348</v>
      </c>
      <c r="N331">
        <v>1009</v>
      </c>
      <c r="O331" t="s">
        <v>65</v>
      </c>
      <c r="P331" t="s">
        <v>65</v>
      </c>
      <c r="Q331">
        <v>1000</v>
      </c>
      <c r="W331">
        <v>0</v>
      </c>
      <c r="X331">
        <v>1174701286</v>
      </c>
      <c r="Y331">
        <v>5.8999999999999999E-3</v>
      </c>
      <c r="AA331">
        <v>73185.58</v>
      </c>
      <c r="AB331">
        <v>0</v>
      </c>
      <c r="AC331">
        <v>0</v>
      </c>
      <c r="AD331">
        <v>0</v>
      </c>
      <c r="AE331">
        <v>11978</v>
      </c>
      <c r="AF331">
        <v>0</v>
      </c>
      <c r="AG331">
        <v>0</v>
      </c>
      <c r="AH331">
        <v>0</v>
      </c>
      <c r="AI331">
        <v>6.11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5.8999999999999999E-3</v>
      </c>
      <c r="AU331" t="s">
        <v>6</v>
      </c>
      <c r="AV331">
        <v>0</v>
      </c>
      <c r="AW331">
        <v>2</v>
      </c>
      <c r="AX331">
        <v>16784638</v>
      </c>
      <c r="AY331">
        <v>1</v>
      </c>
      <c r="AZ331">
        <v>0</v>
      </c>
      <c r="BA331">
        <v>335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Y331*Source!I115</f>
        <v>1.77E-5</v>
      </c>
      <c r="CY331">
        <f t="shared" si="55"/>
        <v>73185.58</v>
      </c>
      <c r="CZ331">
        <f t="shared" si="56"/>
        <v>11978</v>
      </c>
      <c r="DA331">
        <f t="shared" si="57"/>
        <v>6.11</v>
      </c>
      <c r="DB331">
        <f t="shared" si="50"/>
        <v>70.67</v>
      </c>
      <c r="DC331">
        <f t="shared" si="51"/>
        <v>0</v>
      </c>
    </row>
    <row r="332" spans="1:107" x14ac:dyDescent="0.2">
      <c r="A332">
        <f>ROW(Source!A115)</f>
        <v>115</v>
      </c>
      <c r="B332">
        <v>16784196</v>
      </c>
      <c r="C332">
        <v>16784621</v>
      </c>
      <c r="D332">
        <v>15172014</v>
      </c>
      <c r="E332">
        <v>1</v>
      </c>
      <c r="F332">
        <v>1</v>
      </c>
      <c r="G332">
        <v>1</v>
      </c>
      <c r="H332">
        <v>3</v>
      </c>
      <c r="I332" t="s">
        <v>674</v>
      </c>
      <c r="J332" t="s">
        <v>675</v>
      </c>
      <c r="K332" t="s">
        <v>676</v>
      </c>
      <c r="L332">
        <v>1348</v>
      </c>
      <c r="N332">
        <v>1009</v>
      </c>
      <c r="O332" t="s">
        <v>65</v>
      </c>
      <c r="P332" t="s">
        <v>65</v>
      </c>
      <c r="Q332">
        <v>1000</v>
      </c>
      <c r="W332">
        <v>0</v>
      </c>
      <c r="X332">
        <v>36820162</v>
      </c>
      <c r="Y332">
        <v>4.8999999999999998E-3</v>
      </c>
      <c r="AA332">
        <v>4487.8</v>
      </c>
      <c r="AB332">
        <v>0</v>
      </c>
      <c r="AC332">
        <v>0</v>
      </c>
      <c r="AD332">
        <v>0</v>
      </c>
      <c r="AE332">
        <v>734.5</v>
      </c>
      <c r="AF332">
        <v>0</v>
      </c>
      <c r="AG332">
        <v>0</v>
      </c>
      <c r="AH332">
        <v>0</v>
      </c>
      <c r="AI332">
        <v>6.11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4.8999999999999998E-3</v>
      </c>
      <c r="AU332" t="s">
        <v>6</v>
      </c>
      <c r="AV332">
        <v>0</v>
      </c>
      <c r="AW332">
        <v>2</v>
      </c>
      <c r="AX332">
        <v>16784639</v>
      </c>
      <c r="AY332">
        <v>1</v>
      </c>
      <c r="AZ332">
        <v>0</v>
      </c>
      <c r="BA332">
        <v>336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Y332*Source!I115</f>
        <v>1.47E-5</v>
      </c>
      <c r="CY332">
        <f t="shared" si="55"/>
        <v>4487.8</v>
      </c>
      <c r="CZ332">
        <f t="shared" si="56"/>
        <v>734.5</v>
      </c>
      <c r="DA332">
        <f t="shared" si="57"/>
        <v>6.11</v>
      </c>
      <c r="DB332">
        <f t="shared" si="50"/>
        <v>3.6</v>
      </c>
      <c r="DC332">
        <f t="shared" si="51"/>
        <v>0</v>
      </c>
    </row>
    <row r="333" spans="1:107" x14ac:dyDescent="0.2">
      <c r="A333">
        <f>ROW(Source!A115)</f>
        <v>115</v>
      </c>
      <c r="B333">
        <v>16784196</v>
      </c>
      <c r="C333">
        <v>16784621</v>
      </c>
      <c r="D333">
        <v>15172843</v>
      </c>
      <c r="E333">
        <v>1</v>
      </c>
      <c r="F333">
        <v>1</v>
      </c>
      <c r="G333">
        <v>1</v>
      </c>
      <c r="H333">
        <v>3</v>
      </c>
      <c r="I333" t="s">
        <v>239</v>
      </c>
      <c r="J333" t="s">
        <v>241</v>
      </c>
      <c r="K333" t="s">
        <v>240</v>
      </c>
      <c r="L333">
        <v>1339</v>
      </c>
      <c r="N333">
        <v>1007</v>
      </c>
      <c r="O333" t="s">
        <v>128</v>
      </c>
      <c r="P333" t="s">
        <v>128</v>
      </c>
      <c r="Q333">
        <v>1</v>
      </c>
      <c r="W333">
        <v>0</v>
      </c>
      <c r="X333">
        <v>1059503882</v>
      </c>
      <c r="Y333">
        <v>1.04</v>
      </c>
      <c r="AA333">
        <v>3175.98</v>
      </c>
      <c r="AB333">
        <v>0</v>
      </c>
      <c r="AC333">
        <v>0</v>
      </c>
      <c r="AD333">
        <v>0</v>
      </c>
      <c r="AE333">
        <v>519.79999999999995</v>
      </c>
      <c r="AF333">
        <v>0</v>
      </c>
      <c r="AG333">
        <v>0</v>
      </c>
      <c r="AH333">
        <v>0</v>
      </c>
      <c r="AI333">
        <v>6.11</v>
      </c>
      <c r="AJ333">
        <v>1</v>
      </c>
      <c r="AK333">
        <v>1</v>
      </c>
      <c r="AL333">
        <v>1</v>
      </c>
      <c r="AN333">
        <v>0</v>
      </c>
      <c r="AO333">
        <v>0</v>
      </c>
      <c r="AP333">
        <v>0</v>
      </c>
      <c r="AQ333">
        <v>0</v>
      </c>
      <c r="AR333">
        <v>0</v>
      </c>
      <c r="AS333" t="s">
        <v>6</v>
      </c>
      <c r="AT333">
        <v>1.04</v>
      </c>
      <c r="AU333" t="s">
        <v>6</v>
      </c>
      <c r="AV333">
        <v>0</v>
      </c>
      <c r="AW333">
        <v>1</v>
      </c>
      <c r="AX333">
        <v>-1</v>
      </c>
      <c r="AY333">
        <v>0</v>
      </c>
      <c r="AZ333">
        <v>0</v>
      </c>
      <c r="BA333" t="s">
        <v>6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Y333*Source!I115</f>
        <v>3.1200000000000004E-3</v>
      </c>
      <c r="CY333">
        <f t="shared" si="55"/>
        <v>3175.98</v>
      </c>
      <c r="CZ333">
        <f t="shared" si="56"/>
        <v>519.79999999999995</v>
      </c>
      <c r="DA333">
        <f t="shared" si="57"/>
        <v>6.11</v>
      </c>
      <c r="DB333">
        <f t="shared" si="50"/>
        <v>540.59</v>
      </c>
      <c r="DC333">
        <f t="shared" si="51"/>
        <v>0</v>
      </c>
    </row>
    <row r="334" spans="1:107" x14ac:dyDescent="0.2">
      <c r="A334">
        <f>ROW(Source!A115)</f>
        <v>115</v>
      </c>
      <c r="B334">
        <v>16784196</v>
      </c>
      <c r="C334">
        <v>16784621</v>
      </c>
      <c r="D334">
        <v>15191153</v>
      </c>
      <c r="E334">
        <v>1</v>
      </c>
      <c r="F334">
        <v>1</v>
      </c>
      <c r="G334">
        <v>1</v>
      </c>
      <c r="H334">
        <v>3</v>
      </c>
      <c r="I334" t="s">
        <v>570</v>
      </c>
      <c r="J334" t="s">
        <v>571</v>
      </c>
      <c r="K334" t="s">
        <v>572</v>
      </c>
      <c r="L334">
        <v>1348</v>
      </c>
      <c r="N334">
        <v>1009</v>
      </c>
      <c r="O334" t="s">
        <v>65</v>
      </c>
      <c r="P334" t="s">
        <v>65</v>
      </c>
      <c r="Q334">
        <v>1000</v>
      </c>
      <c r="W334">
        <v>0</v>
      </c>
      <c r="X334">
        <v>-1396314973</v>
      </c>
      <c r="Y334">
        <v>9.4999999999999998E-3</v>
      </c>
      <c r="AA334">
        <v>27221.27</v>
      </c>
      <c r="AB334">
        <v>0</v>
      </c>
      <c r="AC334">
        <v>0</v>
      </c>
      <c r="AD334">
        <v>0</v>
      </c>
      <c r="AE334">
        <v>4455.2</v>
      </c>
      <c r="AF334">
        <v>0</v>
      </c>
      <c r="AG334">
        <v>0</v>
      </c>
      <c r="AH334">
        <v>0</v>
      </c>
      <c r="AI334">
        <v>6.11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9.4999999999999998E-3</v>
      </c>
      <c r="AU334" t="s">
        <v>6</v>
      </c>
      <c r="AV334">
        <v>0</v>
      </c>
      <c r="AW334">
        <v>2</v>
      </c>
      <c r="AX334">
        <v>16784641</v>
      </c>
      <c r="AY334">
        <v>1</v>
      </c>
      <c r="AZ334">
        <v>0</v>
      </c>
      <c r="BA334">
        <v>338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Y334*Source!I115</f>
        <v>2.8500000000000002E-5</v>
      </c>
      <c r="CY334">
        <f t="shared" si="55"/>
        <v>27221.27</v>
      </c>
      <c r="CZ334">
        <f t="shared" si="56"/>
        <v>4455.2</v>
      </c>
      <c r="DA334">
        <f t="shared" si="57"/>
        <v>6.11</v>
      </c>
      <c r="DB334">
        <f t="shared" si="50"/>
        <v>42.32</v>
      </c>
      <c r="DC334">
        <f t="shared" si="51"/>
        <v>0</v>
      </c>
    </row>
    <row r="335" spans="1:107" x14ac:dyDescent="0.2">
      <c r="A335">
        <f>ROW(Source!A115)</f>
        <v>115</v>
      </c>
      <c r="B335">
        <v>16784196</v>
      </c>
      <c r="C335">
        <v>16784621</v>
      </c>
      <c r="D335">
        <v>15195822</v>
      </c>
      <c r="E335">
        <v>1</v>
      </c>
      <c r="F335">
        <v>1</v>
      </c>
      <c r="G335">
        <v>1</v>
      </c>
      <c r="H335">
        <v>3</v>
      </c>
      <c r="I335" t="s">
        <v>677</v>
      </c>
      <c r="J335" t="s">
        <v>678</v>
      </c>
      <c r="K335" t="s">
        <v>679</v>
      </c>
      <c r="L335">
        <v>1339</v>
      </c>
      <c r="N335">
        <v>1007</v>
      </c>
      <c r="O335" t="s">
        <v>128</v>
      </c>
      <c r="P335" t="s">
        <v>128</v>
      </c>
      <c r="Q335">
        <v>1</v>
      </c>
      <c r="W335">
        <v>0</v>
      </c>
      <c r="X335">
        <v>-395792271</v>
      </c>
      <c r="Y335">
        <v>0.21</v>
      </c>
      <c r="AA335">
        <v>7863.57</v>
      </c>
      <c r="AB335">
        <v>0</v>
      </c>
      <c r="AC335">
        <v>0</v>
      </c>
      <c r="AD335">
        <v>0</v>
      </c>
      <c r="AE335">
        <v>1287</v>
      </c>
      <c r="AF335">
        <v>0</v>
      </c>
      <c r="AG335">
        <v>0</v>
      </c>
      <c r="AH335">
        <v>0</v>
      </c>
      <c r="AI335">
        <v>6.11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0.21</v>
      </c>
      <c r="AU335" t="s">
        <v>6</v>
      </c>
      <c r="AV335">
        <v>0</v>
      </c>
      <c r="AW335">
        <v>2</v>
      </c>
      <c r="AX335">
        <v>16784642</v>
      </c>
      <c r="AY335">
        <v>1</v>
      </c>
      <c r="AZ335">
        <v>0</v>
      </c>
      <c r="BA335">
        <v>339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Y335*Source!I115</f>
        <v>6.3000000000000003E-4</v>
      </c>
      <c r="CY335">
        <f t="shared" si="55"/>
        <v>7863.57</v>
      </c>
      <c r="CZ335">
        <f t="shared" si="56"/>
        <v>1287</v>
      </c>
      <c r="DA335">
        <f t="shared" si="57"/>
        <v>6.11</v>
      </c>
      <c r="DB335">
        <f t="shared" si="50"/>
        <v>270.27</v>
      </c>
      <c r="DC335">
        <f t="shared" si="51"/>
        <v>0</v>
      </c>
    </row>
    <row r="336" spans="1:107" x14ac:dyDescent="0.2">
      <c r="A336">
        <f>ROW(Source!A115)</f>
        <v>115</v>
      </c>
      <c r="B336">
        <v>16784196</v>
      </c>
      <c r="C336">
        <v>16784621</v>
      </c>
      <c r="D336">
        <v>15196012</v>
      </c>
      <c r="E336">
        <v>1</v>
      </c>
      <c r="F336">
        <v>1</v>
      </c>
      <c r="G336">
        <v>1</v>
      </c>
      <c r="H336">
        <v>3</v>
      </c>
      <c r="I336" t="s">
        <v>680</v>
      </c>
      <c r="J336" t="s">
        <v>681</v>
      </c>
      <c r="K336" t="s">
        <v>682</v>
      </c>
      <c r="L336">
        <v>1339</v>
      </c>
      <c r="N336">
        <v>1007</v>
      </c>
      <c r="O336" t="s">
        <v>128</v>
      </c>
      <c r="P336" t="s">
        <v>128</v>
      </c>
      <c r="Q336">
        <v>1</v>
      </c>
      <c r="W336">
        <v>0</v>
      </c>
      <c r="X336">
        <v>-828683394</v>
      </c>
      <c r="Y336">
        <v>0.18</v>
      </c>
      <c r="AA336">
        <v>7057.05</v>
      </c>
      <c r="AB336">
        <v>0</v>
      </c>
      <c r="AC336">
        <v>0</v>
      </c>
      <c r="AD336">
        <v>0</v>
      </c>
      <c r="AE336">
        <v>1155</v>
      </c>
      <c r="AF336">
        <v>0</v>
      </c>
      <c r="AG336">
        <v>0</v>
      </c>
      <c r="AH336">
        <v>0</v>
      </c>
      <c r="AI336">
        <v>6.11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0.18</v>
      </c>
      <c r="AU336" t="s">
        <v>6</v>
      </c>
      <c r="AV336">
        <v>0</v>
      </c>
      <c r="AW336">
        <v>2</v>
      </c>
      <c r="AX336">
        <v>16784643</v>
      </c>
      <c r="AY336">
        <v>1</v>
      </c>
      <c r="AZ336">
        <v>0</v>
      </c>
      <c r="BA336">
        <v>340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Y336*Source!I115</f>
        <v>5.4000000000000001E-4</v>
      </c>
      <c r="CY336">
        <f t="shared" si="55"/>
        <v>7057.05</v>
      </c>
      <c r="CZ336">
        <f t="shared" si="56"/>
        <v>1155</v>
      </c>
      <c r="DA336">
        <f t="shared" si="57"/>
        <v>6.11</v>
      </c>
      <c r="DB336">
        <f t="shared" si="50"/>
        <v>207.9</v>
      </c>
      <c r="DC336">
        <f t="shared" si="51"/>
        <v>0</v>
      </c>
    </row>
    <row r="337" spans="1:107" x14ac:dyDescent="0.2">
      <c r="A337">
        <f>ROW(Source!A118)</f>
        <v>118</v>
      </c>
      <c r="B337">
        <v>16784195</v>
      </c>
      <c r="C337">
        <v>16784645</v>
      </c>
      <c r="D337">
        <v>15430767</v>
      </c>
      <c r="E337">
        <v>1</v>
      </c>
      <c r="F337">
        <v>1</v>
      </c>
      <c r="G337">
        <v>1</v>
      </c>
      <c r="H337">
        <v>1</v>
      </c>
      <c r="I337" t="s">
        <v>527</v>
      </c>
      <c r="J337" t="s">
        <v>6</v>
      </c>
      <c r="K337" t="s">
        <v>528</v>
      </c>
      <c r="L337">
        <v>1191</v>
      </c>
      <c r="N337">
        <v>1013</v>
      </c>
      <c r="O337" t="s">
        <v>495</v>
      </c>
      <c r="P337" t="s">
        <v>495</v>
      </c>
      <c r="Q337">
        <v>1</v>
      </c>
      <c r="W337">
        <v>0</v>
      </c>
      <c r="X337">
        <v>-400197608</v>
      </c>
      <c r="Y337">
        <v>6.84</v>
      </c>
      <c r="AA337">
        <v>0</v>
      </c>
      <c r="AB337">
        <v>0</v>
      </c>
      <c r="AC337">
        <v>0</v>
      </c>
      <c r="AD337">
        <v>8.5299999999999994</v>
      </c>
      <c r="AE337">
        <v>0</v>
      </c>
      <c r="AF337">
        <v>0</v>
      </c>
      <c r="AG337">
        <v>0</v>
      </c>
      <c r="AH337">
        <v>8.5299999999999994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6.84</v>
      </c>
      <c r="AU337" t="s">
        <v>6</v>
      </c>
      <c r="AV337">
        <v>1</v>
      </c>
      <c r="AW337">
        <v>2</v>
      </c>
      <c r="AX337">
        <v>16784647</v>
      </c>
      <c r="AY337">
        <v>1</v>
      </c>
      <c r="AZ337">
        <v>0</v>
      </c>
      <c r="BA337">
        <v>341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Y337*Source!I118</f>
        <v>4.5144000000000002</v>
      </c>
      <c r="CY337">
        <f>AD337</f>
        <v>8.5299999999999994</v>
      </c>
      <c r="CZ337">
        <f>AH337</f>
        <v>8.5299999999999994</v>
      </c>
      <c r="DA337">
        <f>AL337</f>
        <v>1</v>
      </c>
      <c r="DB337">
        <f t="shared" si="50"/>
        <v>58.35</v>
      </c>
      <c r="DC337">
        <f t="shared" si="51"/>
        <v>0</v>
      </c>
    </row>
    <row r="338" spans="1:107" x14ac:dyDescent="0.2">
      <c r="A338">
        <f>ROW(Source!A119)</f>
        <v>119</v>
      </c>
      <c r="B338">
        <v>16784196</v>
      </c>
      <c r="C338">
        <v>16784645</v>
      </c>
      <c r="D338">
        <v>15430767</v>
      </c>
      <c r="E338">
        <v>1</v>
      </c>
      <c r="F338">
        <v>1</v>
      </c>
      <c r="G338">
        <v>1</v>
      </c>
      <c r="H338">
        <v>1</v>
      </c>
      <c r="I338" t="s">
        <v>527</v>
      </c>
      <c r="J338" t="s">
        <v>6</v>
      </c>
      <c r="K338" t="s">
        <v>528</v>
      </c>
      <c r="L338">
        <v>1191</v>
      </c>
      <c r="N338">
        <v>1013</v>
      </c>
      <c r="O338" t="s">
        <v>495</v>
      </c>
      <c r="P338" t="s">
        <v>495</v>
      </c>
      <c r="Q338">
        <v>1</v>
      </c>
      <c r="W338">
        <v>0</v>
      </c>
      <c r="X338">
        <v>-400197608</v>
      </c>
      <c r="Y338">
        <v>6.84</v>
      </c>
      <c r="AA338">
        <v>0</v>
      </c>
      <c r="AB338">
        <v>0</v>
      </c>
      <c r="AC338">
        <v>0</v>
      </c>
      <c r="AD338">
        <v>52.12</v>
      </c>
      <c r="AE338">
        <v>0</v>
      </c>
      <c r="AF338">
        <v>0</v>
      </c>
      <c r="AG338">
        <v>0</v>
      </c>
      <c r="AH338">
        <v>8.5299999999999994</v>
      </c>
      <c r="AI338">
        <v>1</v>
      </c>
      <c r="AJ338">
        <v>1</v>
      </c>
      <c r="AK338">
        <v>1</v>
      </c>
      <c r="AL338">
        <v>6.11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6.84</v>
      </c>
      <c r="AU338" t="s">
        <v>6</v>
      </c>
      <c r="AV338">
        <v>1</v>
      </c>
      <c r="AW338">
        <v>2</v>
      </c>
      <c r="AX338">
        <v>16784647</v>
      </c>
      <c r="AY338">
        <v>1</v>
      </c>
      <c r="AZ338">
        <v>0</v>
      </c>
      <c r="BA338">
        <v>342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Y338*Source!I119</f>
        <v>4.5144000000000002</v>
      </c>
      <c r="CY338">
        <f>AD338</f>
        <v>52.12</v>
      </c>
      <c r="CZ338">
        <f>AH338</f>
        <v>8.5299999999999994</v>
      </c>
      <c r="DA338">
        <f>AL338</f>
        <v>6.11</v>
      </c>
      <c r="DB338">
        <f t="shared" si="50"/>
        <v>58.35</v>
      </c>
      <c r="DC338">
        <f t="shared" si="51"/>
        <v>0</v>
      </c>
    </row>
    <row r="339" spans="1:107" x14ac:dyDescent="0.2">
      <c r="A339">
        <f>ROW(Source!A120)</f>
        <v>120</v>
      </c>
      <c r="B339">
        <v>16784195</v>
      </c>
      <c r="C339">
        <v>16784648</v>
      </c>
      <c r="D339">
        <v>15430497</v>
      </c>
      <c r="E339">
        <v>1</v>
      </c>
      <c r="F339">
        <v>1</v>
      </c>
      <c r="G339">
        <v>1</v>
      </c>
      <c r="H339">
        <v>1</v>
      </c>
      <c r="I339" t="s">
        <v>634</v>
      </c>
      <c r="J339" t="s">
        <v>6</v>
      </c>
      <c r="K339" t="s">
        <v>635</v>
      </c>
      <c r="L339">
        <v>1191</v>
      </c>
      <c r="N339">
        <v>1013</v>
      </c>
      <c r="O339" t="s">
        <v>495</v>
      </c>
      <c r="P339" t="s">
        <v>495</v>
      </c>
      <c r="Q339">
        <v>1</v>
      </c>
      <c r="W339">
        <v>0</v>
      </c>
      <c r="X339">
        <v>-719309759</v>
      </c>
      <c r="Y339">
        <v>362.26149999999996</v>
      </c>
      <c r="AA339">
        <v>0</v>
      </c>
      <c r="AB339">
        <v>0</v>
      </c>
      <c r="AC339">
        <v>0</v>
      </c>
      <c r="AD339">
        <v>8.86</v>
      </c>
      <c r="AE339">
        <v>0</v>
      </c>
      <c r="AF339">
        <v>0</v>
      </c>
      <c r="AG339">
        <v>0</v>
      </c>
      <c r="AH339">
        <v>8.86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315.01</v>
      </c>
      <c r="AU339" t="s">
        <v>28</v>
      </c>
      <c r="AV339">
        <v>1</v>
      </c>
      <c r="AW339">
        <v>2</v>
      </c>
      <c r="AX339">
        <v>16784654</v>
      </c>
      <c r="AY339">
        <v>1</v>
      </c>
      <c r="AZ339">
        <v>0</v>
      </c>
      <c r="BA339">
        <v>343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Y339*Source!I120</f>
        <v>4.3471379999999993</v>
      </c>
      <c r="CY339">
        <f>AD339</f>
        <v>8.86</v>
      </c>
      <c r="CZ339">
        <f>AH339</f>
        <v>8.86</v>
      </c>
      <c r="DA339">
        <f>AL339</f>
        <v>1</v>
      </c>
      <c r="DB339">
        <f>ROUND((ROUND(AT339*CZ339,2)*1.15),2)</f>
        <v>3209.64</v>
      </c>
      <c r="DC339">
        <f>ROUND((ROUND(AT339*AG339,2)*1.15),2)</f>
        <v>0</v>
      </c>
    </row>
    <row r="340" spans="1:107" x14ac:dyDescent="0.2">
      <c r="A340">
        <f>ROW(Source!A120)</f>
        <v>120</v>
      </c>
      <c r="B340">
        <v>16784195</v>
      </c>
      <c r="C340">
        <v>16784648</v>
      </c>
      <c r="D340">
        <v>15430395</v>
      </c>
      <c r="E340">
        <v>1</v>
      </c>
      <c r="F340">
        <v>1</v>
      </c>
      <c r="G340">
        <v>1</v>
      </c>
      <c r="H340">
        <v>1</v>
      </c>
      <c r="I340" t="s">
        <v>496</v>
      </c>
      <c r="J340" t="s">
        <v>6</v>
      </c>
      <c r="K340" t="s">
        <v>497</v>
      </c>
      <c r="L340">
        <v>1191</v>
      </c>
      <c r="N340">
        <v>1013</v>
      </c>
      <c r="O340" t="s">
        <v>495</v>
      </c>
      <c r="P340" t="s">
        <v>495</v>
      </c>
      <c r="Q340">
        <v>1</v>
      </c>
      <c r="W340">
        <v>0</v>
      </c>
      <c r="X340">
        <v>-1417349443</v>
      </c>
      <c r="Y340">
        <v>0.62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0.62</v>
      </c>
      <c r="AU340" t="s">
        <v>6</v>
      </c>
      <c r="AV340">
        <v>2</v>
      </c>
      <c r="AW340">
        <v>2</v>
      </c>
      <c r="AX340">
        <v>16784655</v>
      </c>
      <c r="AY340">
        <v>1</v>
      </c>
      <c r="AZ340">
        <v>2048</v>
      </c>
      <c r="BA340">
        <v>344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Y340*Source!I120</f>
        <v>7.4400000000000004E-3</v>
      </c>
      <c r="CY340">
        <f>AD340</f>
        <v>0</v>
      </c>
      <c r="CZ340">
        <f>AH340</f>
        <v>0</v>
      </c>
      <c r="DA340">
        <f>AL340</f>
        <v>1</v>
      </c>
      <c r="DB340">
        <f>ROUND(ROUND(AT340*CZ340,2),2)</f>
        <v>0</v>
      </c>
      <c r="DC340">
        <f>ROUND(ROUND(AT340*AG340,2),2)</f>
        <v>0</v>
      </c>
    </row>
    <row r="341" spans="1:107" x14ac:dyDescent="0.2">
      <c r="A341">
        <f>ROW(Source!A120)</f>
        <v>120</v>
      </c>
      <c r="B341">
        <v>16784195</v>
      </c>
      <c r="C341">
        <v>16784648</v>
      </c>
      <c r="D341">
        <v>15247680</v>
      </c>
      <c r="E341">
        <v>1</v>
      </c>
      <c r="F341">
        <v>1</v>
      </c>
      <c r="G341">
        <v>1</v>
      </c>
      <c r="H341">
        <v>2</v>
      </c>
      <c r="I341" t="s">
        <v>537</v>
      </c>
      <c r="J341" t="s">
        <v>538</v>
      </c>
      <c r="K341" t="s">
        <v>539</v>
      </c>
      <c r="L341">
        <v>1368</v>
      </c>
      <c r="N341">
        <v>1011</v>
      </c>
      <c r="O341" t="s">
        <v>501</v>
      </c>
      <c r="P341" t="s">
        <v>501</v>
      </c>
      <c r="Q341">
        <v>1</v>
      </c>
      <c r="W341">
        <v>0</v>
      </c>
      <c r="X341">
        <v>-1718674368</v>
      </c>
      <c r="Y341">
        <v>0.3125</v>
      </c>
      <c r="AA341">
        <v>0</v>
      </c>
      <c r="AB341">
        <v>111.99</v>
      </c>
      <c r="AC341">
        <v>13.5</v>
      </c>
      <c r="AD341">
        <v>0</v>
      </c>
      <c r="AE341">
        <v>0</v>
      </c>
      <c r="AF341">
        <v>111.99</v>
      </c>
      <c r="AG341">
        <v>13.5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0.25</v>
      </c>
      <c r="AU341" t="s">
        <v>27</v>
      </c>
      <c r="AV341">
        <v>0</v>
      </c>
      <c r="AW341">
        <v>2</v>
      </c>
      <c r="AX341">
        <v>16784656</v>
      </c>
      <c r="AY341">
        <v>1</v>
      </c>
      <c r="AZ341">
        <v>0</v>
      </c>
      <c r="BA341">
        <v>345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Y341*Source!I120</f>
        <v>3.7499999999999999E-3</v>
      </c>
      <c r="CY341">
        <f>AB341</f>
        <v>111.99</v>
      </c>
      <c r="CZ341">
        <f>AF341</f>
        <v>111.99</v>
      </c>
      <c r="DA341">
        <f>AJ341</f>
        <v>1</v>
      </c>
      <c r="DB341">
        <f>ROUND((ROUND(AT341*CZ341,2)*1.25),2)</f>
        <v>35</v>
      </c>
      <c r="DC341">
        <f>ROUND((ROUND(AT341*AG341,2)*1.25),2)</f>
        <v>4.2300000000000004</v>
      </c>
    </row>
    <row r="342" spans="1:107" x14ac:dyDescent="0.2">
      <c r="A342">
        <f>ROW(Source!A120)</f>
        <v>120</v>
      </c>
      <c r="B342">
        <v>16784195</v>
      </c>
      <c r="C342">
        <v>16784648</v>
      </c>
      <c r="D342">
        <v>15249073</v>
      </c>
      <c r="E342">
        <v>1</v>
      </c>
      <c r="F342">
        <v>1</v>
      </c>
      <c r="G342">
        <v>1</v>
      </c>
      <c r="H342">
        <v>2</v>
      </c>
      <c r="I342" t="s">
        <v>504</v>
      </c>
      <c r="J342" t="s">
        <v>505</v>
      </c>
      <c r="K342" t="s">
        <v>506</v>
      </c>
      <c r="L342">
        <v>1368</v>
      </c>
      <c r="N342">
        <v>1011</v>
      </c>
      <c r="O342" t="s">
        <v>501</v>
      </c>
      <c r="P342" t="s">
        <v>501</v>
      </c>
      <c r="Q342">
        <v>1</v>
      </c>
      <c r="W342">
        <v>0</v>
      </c>
      <c r="X342">
        <v>1372534845</v>
      </c>
      <c r="Y342">
        <v>0.46250000000000002</v>
      </c>
      <c r="AA342">
        <v>0</v>
      </c>
      <c r="AB342">
        <v>65.709999999999994</v>
      </c>
      <c r="AC342">
        <v>11.6</v>
      </c>
      <c r="AD342">
        <v>0</v>
      </c>
      <c r="AE342">
        <v>0</v>
      </c>
      <c r="AF342">
        <v>65.709999999999994</v>
      </c>
      <c r="AG342">
        <v>11.6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6</v>
      </c>
      <c r="AT342">
        <v>0.37</v>
      </c>
      <c r="AU342" t="s">
        <v>27</v>
      </c>
      <c r="AV342">
        <v>0</v>
      </c>
      <c r="AW342">
        <v>2</v>
      </c>
      <c r="AX342">
        <v>16784657</v>
      </c>
      <c r="AY342">
        <v>1</v>
      </c>
      <c r="AZ342">
        <v>0</v>
      </c>
      <c r="BA342">
        <v>346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Y342*Source!I120</f>
        <v>5.5500000000000002E-3</v>
      </c>
      <c r="CY342">
        <f>AB342</f>
        <v>65.709999999999994</v>
      </c>
      <c r="CZ342">
        <f>AF342</f>
        <v>65.709999999999994</v>
      </c>
      <c r="DA342">
        <f>AJ342</f>
        <v>1</v>
      </c>
      <c r="DB342">
        <f>ROUND((ROUND(AT342*CZ342,2)*1.25),2)</f>
        <v>30.39</v>
      </c>
      <c r="DC342">
        <f>ROUND((ROUND(AT342*AG342,2)*1.25),2)</f>
        <v>5.36</v>
      </c>
    </row>
    <row r="343" spans="1:107" x14ac:dyDescent="0.2">
      <c r="A343">
        <f>ROW(Source!A120)</f>
        <v>120</v>
      </c>
      <c r="B343">
        <v>16784195</v>
      </c>
      <c r="C343">
        <v>16784648</v>
      </c>
      <c r="D343">
        <v>15192016</v>
      </c>
      <c r="E343">
        <v>1</v>
      </c>
      <c r="F343">
        <v>1</v>
      </c>
      <c r="G343">
        <v>1</v>
      </c>
      <c r="H343">
        <v>3</v>
      </c>
      <c r="I343" t="s">
        <v>683</v>
      </c>
      <c r="J343" t="s">
        <v>684</v>
      </c>
      <c r="K343" t="s">
        <v>685</v>
      </c>
      <c r="L343">
        <v>1348</v>
      </c>
      <c r="N343">
        <v>1009</v>
      </c>
      <c r="O343" t="s">
        <v>65</v>
      </c>
      <c r="P343" t="s">
        <v>65</v>
      </c>
      <c r="Q343">
        <v>1000</v>
      </c>
      <c r="W343">
        <v>0</v>
      </c>
      <c r="X343">
        <v>1921210966</v>
      </c>
      <c r="Y343">
        <v>1</v>
      </c>
      <c r="AA343">
        <v>10100</v>
      </c>
      <c r="AB343">
        <v>0</v>
      </c>
      <c r="AC343">
        <v>0</v>
      </c>
      <c r="AD343">
        <v>0</v>
      </c>
      <c r="AE343">
        <v>10100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1</v>
      </c>
      <c r="AU343" t="s">
        <v>6</v>
      </c>
      <c r="AV343">
        <v>0</v>
      </c>
      <c r="AW343">
        <v>2</v>
      </c>
      <c r="AX343">
        <v>16784659</v>
      </c>
      <c r="AY343">
        <v>1</v>
      </c>
      <c r="AZ343">
        <v>0</v>
      </c>
      <c r="BA343">
        <v>348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Y343*Source!I120</f>
        <v>1.2E-2</v>
      </c>
      <c r="CY343">
        <f>AA343</f>
        <v>10100</v>
      </c>
      <c r="CZ343">
        <f>AE343</f>
        <v>10100</v>
      </c>
      <c r="DA343">
        <f>AI343</f>
        <v>1</v>
      </c>
      <c r="DB343">
        <f>ROUND(ROUND(AT343*CZ343,2),2)</f>
        <v>10100</v>
      </c>
      <c r="DC343">
        <f>ROUND(ROUND(AT343*AG343,2),2)</f>
        <v>0</v>
      </c>
    </row>
    <row r="344" spans="1:107" x14ac:dyDescent="0.2">
      <c r="A344">
        <f>ROW(Source!A121)</f>
        <v>121</v>
      </c>
      <c r="B344">
        <v>16784196</v>
      </c>
      <c r="C344">
        <v>16784648</v>
      </c>
      <c r="D344">
        <v>15430497</v>
      </c>
      <c r="E344">
        <v>1</v>
      </c>
      <c r="F344">
        <v>1</v>
      </c>
      <c r="G344">
        <v>1</v>
      </c>
      <c r="H344">
        <v>1</v>
      </c>
      <c r="I344" t="s">
        <v>634</v>
      </c>
      <c r="J344" t="s">
        <v>6</v>
      </c>
      <c r="K344" t="s">
        <v>635</v>
      </c>
      <c r="L344">
        <v>1191</v>
      </c>
      <c r="N344">
        <v>1013</v>
      </c>
      <c r="O344" t="s">
        <v>495</v>
      </c>
      <c r="P344" t="s">
        <v>495</v>
      </c>
      <c r="Q344">
        <v>1</v>
      </c>
      <c r="W344">
        <v>0</v>
      </c>
      <c r="X344">
        <v>-719309759</v>
      </c>
      <c r="Y344">
        <v>362.26149999999996</v>
      </c>
      <c r="AA344">
        <v>0</v>
      </c>
      <c r="AB344">
        <v>0</v>
      </c>
      <c r="AC344">
        <v>0</v>
      </c>
      <c r="AD344">
        <v>54.13</v>
      </c>
      <c r="AE344">
        <v>0</v>
      </c>
      <c r="AF344">
        <v>0</v>
      </c>
      <c r="AG344">
        <v>0</v>
      </c>
      <c r="AH344">
        <v>8.86</v>
      </c>
      <c r="AI344">
        <v>1</v>
      </c>
      <c r="AJ344">
        <v>1</v>
      </c>
      <c r="AK344">
        <v>1</v>
      </c>
      <c r="AL344">
        <v>6.11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6</v>
      </c>
      <c r="AT344">
        <v>315.01</v>
      </c>
      <c r="AU344" t="s">
        <v>28</v>
      </c>
      <c r="AV344">
        <v>1</v>
      </c>
      <c r="AW344">
        <v>2</v>
      </c>
      <c r="AX344">
        <v>16784654</v>
      </c>
      <c r="AY344">
        <v>1</v>
      </c>
      <c r="AZ344">
        <v>0</v>
      </c>
      <c r="BA344">
        <v>349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Y344*Source!I121</f>
        <v>4.3471379999999993</v>
      </c>
      <c r="CY344">
        <f>AD344</f>
        <v>54.13</v>
      </c>
      <c r="CZ344">
        <f>AH344</f>
        <v>8.86</v>
      </c>
      <c r="DA344">
        <f>AL344</f>
        <v>6.11</v>
      </c>
      <c r="DB344">
        <f>ROUND((ROUND(AT344*CZ344,2)*1.15),2)</f>
        <v>3209.64</v>
      </c>
      <c r="DC344">
        <f>ROUND((ROUND(AT344*AG344,2)*1.15),2)</f>
        <v>0</v>
      </c>
    </row>
    <row r="345" spans="1:107" x14ac:dyDescent="0.2">
      <c r="A345">
        <f>ROW(Source!A121)</f>
        <v>121</v>
      </c>
      <c r="B345">
        <v>16784196</v>
      </c>
      <c r="C345">
        <v>16784648</v>
      </c>
      <c r="D345">
        <v>15430395</v>
      </c>
      <c r="E345">
        <v>1</v>
      </c>
      <c r="F345">
        <v>1</v>
      </c>
      <c r="G345">
        <v>1</v>
      </c>
      <c r="H345">
        <v>1</v>
      </c>
      <c r="I345" t="s">
        <v>496</v>
      </c>
      <c r="J345" t="s">
        <v>6</v>
      </c>
      <c r="K345" t="s">
        <v>497</v>
      </c>
      <c r="L345">
        <v>1191</v>
      </c>
      <c r="N345">
        <v>1013</v>
      </c>
      <c r="O345" t="s">
        <v>495</v>
      </c>
      <c r="P345" t="s">
        <v>495</v>
      </c>
      <c r="Q345">
        <v>1</v>
      </c>
      <c r="W345">
        <v>0</v>
      </c>
      <c r="X345">
        <v>-1417349443</v>
      </c>
      <c r="Y345">
        <v>0.62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6.11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0.62</v>
      </c>
      <c r="AU345" t="s">
        <v>6</v>
      </c>
      <c r="AV345">
        <v>2</v>
      </c>
      <c r="AW345">
        <v>2</v>
      </c>
      <c r="AX345">
        <v>16784655</v>
      </c>
      <c r="AY345">
        <v>1</v>
      </c>
      <c r="AZ345">
        <v>2048</v>
      </c>
      <c r="BA345">
        <v>350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Y345*Source!I121</f>
        <v>7.4400000000000004E-3</v>
      </c>
      <c r="CY345">
        <f>AD345</f>
        <v>0</v>
      </c>
      <c r="CZ345">
        <f>AH345</f>
        <v>0</v>
      </c>
      <c r="DA345">
        <f>AL345</f>
        <v>1</v>
      </c>
      <c r="DB345">
        <f>ROUND(ROUND(AT345*CZ345,2),2)</f>
        <v>0</v>
      </c>
      <c r="DC345">
        <f>ROUND(ROUND(AT345*AG345,2),2)</f>
        <v>0</v>
      </c>
    </row>
    <row r="346" spans="1:107" x14ac:dyDescent="0.2">
      <c r="A346">
        <f>ROW(Source!A121)</f>
        <v>121</v>
      </c>
      <c r="B346">
        <v>16784196</v>
      </c>
      <c r="C346">
        <v>16784648</v>
      </c>
      <c r="D346">
        <v>15247680</v>
      </c>
      <c r="E346">
        <v>1</v>
      </c>
      <c r="F346">
        <v>1</v>
      </c>
      <c r="G346">
        <v>1</v>
      </c>
      <c r="H346">
        <v>2</v>
      </c>
      <c r="I346" t="s">
        <v>537</v>
      </c>
      <c r="J346" t="s">
        <v>538</v>
      </c>
      <c r="K346" t="s">
        <v>539</v>
      </c>
      <c r="L346">
        <v>1368</v>
      </c>
      <c r="N346">
        <v>1011</v>
      </c>
      <c r="O346" t="s">
        <v>501</v>
      </c>
      <c r="P346" t="s">
        <v>501</v>
      </c>
      <c r="Q346">
        <v>1</v>
      </c>
      <c r="W346">
        <v>0</v>
      </c>
      <c r="X346">
        <v>-1718674368</v>
      </c>
      <c r="Y346">
        <v>0.3125</v>
      </c>
      <c r="AA346">
        <v>0</v>
      </c>
      <c r="AB346">
        <v>684.26</v>
      </c>
      <c r="AC346">
        <v>13.5</v>
      </c>
      <c r="AD346">
        <v>0</v>
      </c>
      <c r="AE346">
        <v>0</v>
      </c>
      <c r="AF346">
        <v>111.99</v>
      </c>
      <c r="AG346">
        <v>13.5</v>
      </c>
      <c r="AH346">
        <v>0</v>
      </c>
      <c r="AI346">
        <v>1</v>
      </c>
      <c r="AJ346">
        <v>6.11</v>
      </c>
      <c r="AK346">
        <v>1</v>
      </c>
      <c r="AL346">
        <v>1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6</v>
      </c>
      <c r="AT346">
        <v>0.25</v>
      </c>
      <c r="AU346" t="s">
        <v>27</v>
      </c>
      <c r="AV346">
        <v>0</v>
      </c>
      <c r="AW346">
        <v>2</v>
      </c>
      <c r="AX346">
        <v>16784656</v>
      </c>
      <c r="AY346">
        <v>1</v>
      </c>
      <c r="AZ346">
        <v>0</v>
      </c>
      <c r="BA346">
        <v>351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Y346*Source!I121</f>
        <v>3.7499999999999999E-3</v>
      </c>
      <c r="CY346">
        <f>AB346</f>
        <v>684.26</v>
      </c>
      <c r="CZ346">
        <f>AF346</f>
        <v>111.99</v>
      </c>
      <c r="DA346">
        <f>AJ346</f>
        <v>6.11</v>
      </c>
      <c r="DB346">
        <f>ROUND((ROUND(AT346*CZ346,2)*1.25),2)</f>
        <v>35</v>
      </c>
      <c r="DC346">
        <f>ROUND((ROUND(AT346*AG346,2)*1.25),2)</f>
        <v>4.2300000000000004</v>
      </c>
    </row>
    <row r="347" spans="1:107" x14ac:dyDescent="0.2">
      <c r="A347">
        <f>ROW(Source!A121)</f>
        <v>121</v>
      </c>
      <c r="B347">
        <v>16784196</v>
      </c>
      <c r="C347">
        <v>16784648</v>
      </c>
      <c r="D347">
        <v>15249073</v>
      </c>
      <c r="E347">
        <v>1</v>
      </c>
      <c r="F347">
        <v>1</v>
      </c>
      <c r="G347">
        <v>1</v>
      </c>
      <c r="H347">
        <v>2</v>
      </c>
      <c r="I347" t="s">
        <v>504</v>
      </c>
      <c r="J347" t="s">
        <v>505</v>
      </c>
      <c r="K347" t="s">
        <v>506</v>
      </c>
      <c r="L347">
        <v>1368</v>
      </c>
      <c r="N347">
        <v>1011</v>
      </c>
      <c r="O347" t="s">
        <v>501</v>
      </c>
      <c r="P347" t="s">
        <v>501</v>
      </c>
      <c r="Q347">
        <v>1</v>
      </c>
      <c r="W347">
        <v>0</v>
      </c>
      <c r="X347">
        <v>1372534845</v>
      </c>
      <c r="Y347">
        <v>0.46250000000000002</v>
      </c>
      <c r="AA347">
        <v>0</v>
      </c>
      <c r="AB347">
        <v>401.49</v>
      </c>
      <c r="AC347">
        <v>11.6</v>
      </c>
      <c r="AD347">
        <v>0</v>
      </c>
      <c r="AE347">
        <v>0</v>
      </c>
      <c r="AF347">
        <v>65.709999999999994</v>
      </c>
      <c r="AG347">
        <v>11.6</v>
      </c>
      <c r="AH347">
        <v>0</v>
      </c>
      <c r="AI347">
        <v>1</v>
      </c>
      <c r="AJ347">
        <v>6.11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0.37</v>
      </c>
      <c r="AU347" t="s">
        <v>27</v>
      </c>
      <c r="AV347">
        <v>0</v>
      </c>
      <c r="AW347">
        <v>2</v>
      </c>
      <c r="AX347">
        <v>16784657</v>
      </c>
      <c r="AY347">
        <v>1</v>
      </c>
      <c r="AZ347">
        <v>0</v>
      </c>
      <c r="BA347">
        <v>352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Y347*Source!I121</f>
        <v>5.5500000000000002E-3</v>
      </c>
      <c r="CY347">
        <f>AB347</f>
        <v>401.49</v>
      </c>
      <c r="CZ347">
        <f>AF347</f>
        <v>65.709999999999994</v>
      </c>
      <c r="DA347">
        <f>AJ347</f>
        <v>6.11</v>
      </c>
      <c r="DB347">
        <f>ROUND((ROUND(AT347*CZ347,2)*1.25),2)</f>
        <v>30.39</v>
      </c>
      <c r="DC347">
        <f>ROUND((ROUND(AT347*AG347,2)*1.25),2)</f>
        <v>5.36</v>
      </c>
    </row>
    <row r="348" spans="1:107" x14ac:dyDescent="0.2">
      <c r="A348">
        <f>ROW(Source!A121)</f>
        <v>121</v>
      </c>
      <c r="B348">
        <v>16784196</v>
      </c>
      <c r="C348">
        <v>16784648</v>
      </c>
      <c r="D348">
        <v>15192016</v>
      </c>
      <c r="E348">
        <v>1</v>
      </c>
      <c r="F348">
        <v>1</v>
      </c>
      <c r="G348">
        <v>1</v>
      </c>
      <c r="H348">
        <v>3</v>
      </c>
      <c r="I348" t="s">
        <v>683</v>
      </c>
      <c r="J348" t="s">
        <v>684</v>
      </c>
      <c r="K348" t="s">
        <v>685</v>
      </c>
      <c r="L348">
        <v>1348</v>
      </c>
      <c r="N348">
        <v>1009</v>
      </c>
      <c r="O348" t="s">
        <v>65</v>
      </c>
      <c r="P348" t="s">
        <v>65</v>
      </c>
      <c r="Q348">
        <v>1000</v>
      </c>
      <c r="W348">
        <v>0</v>
      </c>
      <c r="X348">
        <v>1921210966</v>
      </c>
      <c r="Y348">
        <v>1</v>
      </c>
      <c r="AA348">
        <v>61711</v>
      </c>
      <c r="AB348">
        <v>0</v>
      </c>
      <c r="AC348">
        <v>0</v>
      </c>
      <c r="AD348">
        <v>0</v>
      </c>
      <c r="AE348">
        <v>10100</v>
      </c>
      <c r="AF348">
        <v>0</v>
      </c>
      <c r="AG348">
        <v>0</v>
      </c>
      <c r="AH348">
        <v>0</v>
      </c>
      <c r="AI348">
        <v>6.11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1</v>
      </c>
      <c r="AU348" t="s">
        <v>6</v>
      </c>
      <c r="AV348">
        <v>0</v>
      </c>
      <c r="AW348">
        <v>2</v>
      </c>
      <c r="AX348">
        <v>16784659</v>
      </c>
      <c r="AY348">
        <v>1</v>
      </c>
      <c r="AZ348">
        <v>0</v>
      </c>
      <c r="BA348">
        <v>354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Y348*Source!I121</f>
        <v>1.2E-2</v>
      </c>
      <c r="CY348">
        <f>AA348</f>
        <v>61711</v>
      </c>
      <c r="CZ348">
        <f>AE348</f>
        <v>10100</v>
      </c>
      <c r="DA348">
        <f>AI348</f>
        <v>6.11</v>
      </c>
      <c r="DB348">
        <f t="shared" ref="DB348:DB380" si="58">ROUND(ROUND(AT348*CZ348,2),2)</f>
        <v>10100</v>
      </c>
      <c r="DC348">
        <f t="shared" ref="DC348:DC380" si="59">ROUND(ROUND(AT348*AG348,2),2)</f>
        <v>0</v>
      </c>
    </row>
    <row r="349" spans="1:107" x14ac:dyDescent="0.2">
      <c r="A349">
        <f>ROW(Source!A126)</f>
        <v>126</v>
      </c>
      <c r="B349">
        <v>16784195</v>
      </c>
      <c r="C349">
        <v>16784662</v>
      </c>
      <c r="D349">
        <v>15446300</v>
      </c>
      <c r="E349">
        <v>1</v>
      </c>
      <c r="F349">
        <v>1</v>
      </c>
      <c r="G349">
        <v>1</v>
      </c>
      <c r="H349">
        <v>1</v>
      </c>
      <c r="I349" t="s">
        <v>686</v>
      </c>
      <c r="J349" t="s">
        <v>6</v>
      </c>
      <c r="K349" t="s">
        <v>687</v>
      </c>
      <c r="L349">
        <v>1191</v>
      </c>
      <c r="N349">
        <v>1013</v>
      </c>
      <c r="O349" t="s">
        <v>495</v>
      </c>
      <c r="P349" t="s">
        <v>495</v>
      </c>
      <c r="Q349">
        <v>1</v>
      </c>
      <c r="W349">
        <v>0</v>
      </c>
      <c r="X349">
        <v>912892513</v>
      </c>
      <c r="Y349">
        <v>276.8</v>
      </c>
      <c r="AA349">
        <v>0</v>
      </c>
      <c r="AB349">
        <v>0</v>
      </c>
      <c r="AC349">
        <v>0</v>
      </c>
      <c r="AD349">
        <v>9.92</v>
      </c>
      <c r="AE349">
        <v>0</v>
      </c>
      <c r="AF349">
        <v>0</v>
      </c>
      <c r="AG349">
        <v>0</v>
      </c>
      <c r="AH349">
        <v>9.92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276.8</v>
      </c>
      <c r="AU349" t="s">
        <v>6</v>
      </c>
      <c r="AV349">
        <v>1</v>
      </c>
      <c r="AW349">
        <v>2</v>
      </c>
      <c r="AX349">
        <v>16784676</v>
      </c>
      <c r="AY349">
        <v>1</v>
      </c>
      <c r="AZ349">
        <v>0</v>
      </c>
      <c r="BA349">
        <v>355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Y349*Source!I126</f>
        <v>11.072000000000001</v>
      </c>
      <c r="CY349">
        <f>AD349</f>
        <v>9.92</v>
      </c>
      <c r="CZ349">
        <f>AH349</f>
        <v>9.92</v>
      </c>
      <c r="DA349">
        <f>AL349</f>
        <v>1</v>
      </c>
      <c r="DB349">
        <f t="shared" si="58"/>
        <v>2745.86</v>
      </c>
      <c r="DC349">
        <f t="shared" si="59"/>
        <v>0</v>
      </c>
    </row>
    <row r="350" spans="1:107" x14ac:dyDescent="0.2">
      <c r="A350">
        <f>ROW(Source!A126)</f>
        <v>126</v>
      </c>
      <c r="B350">
        <v>16784195</v>
      </c>
      <c r="C350">
        <v>16784662</v>
      </c>
      <c r="D350">
        <v>15430395</v>
      </c>
      <c r="E350">
        <v>1</v>
      </c>
      <c r="F350">
        <v>1</v>
      </c>
      <c r="G350">
        <v>1</v>
      </c>
      <c r="H350">
        <v>1</v>
      </c>
      <c r="I350" t="s">
        <v>496</v>
      </c>
      <c r="J350" t="s">
        <v>6</v>
      </c>
      <c r="K350" t="s">
        <v>497</v>
      </c>
      <c r="L350">
        <v>1191</v>
      </c>
      <c r="N350">
        <v>1013</v>
      </c>
      <c r="O350" t="s">
        <v>495</v>
      </c>
      <c r="P350" t="s">
        <v>495</v>
      </c>
      <c r="Q350">
        <v>1</v>
      </c>
      <c r="W350">
        <v>0</v>
      </c>
      <c r="X350">
        <v>-1417349443</v>
      </c>
      <c r="Y350">
        <v>2.4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2.4</v>
      </c>
      <c r="AU350" t="s">
        <v>6</v>
      </c>
      <c r="AV350">
        <v>2</v>
      </c>
      <c r="AW350">
        <v>2</v>
      </c>
      <c r="AX350">
        <v>16784677</v>
      </c>
      <c r="AY350">
        <v>1</v>
      </c>
      <c r="AZ350">
        <v>0</v>
      </c>
      <c r="BA350">
        <v>356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Y350*Source!I126</f>
        <v>9.6000000000000002E-2</v>
      </c>
      <c r="CY350">
        <f>AD350</f>
        <v>0</v>
      </c>
      <c r="CZ350">
        <f>AH350</f>
        <v>0</v>
      </c>
      <c r="DA350">
        <f>AL350</f>
        <v>1</v>
      </c>
      <c r="DB350">
        <f t="shared" si="58"/>
        <v>0</v>
      </c>
      <c r="DC350">
        <f t="shared" si="59"/>
        <v>0</v>
      </c>
    </row>
    <row r="351" spans="1:107" x14ac:dyDescent="0.2">
      <c r="A351">
        <f>ROW(Source!A126)</f>
        <v>126</v>
      </c>
      <c r="B351">
        <v>16784195</v>
      </c>
      <c r="C351">
        <v>16784662</v>
      </c>
      <c r="D351">
        <v>15247680</v>
      </c>
      <c r="E351">
        <v>1</v>
      </c>
      <c r="F351">
        <v>1</v>
      </c>
      <c r="G351">
        <v>1</v>
      </c>
      <c r="H351">
        <v>2</v>
      </c>
      <c r="I351" t="s">
        <v>537</v>
      </c>
      <c r="J351" t="s">
        <v>538</v>
      </c>
      <c r="K351" t="s">
        <v>539</v>
      </c>
      <c r="L351">
        <v>1368</v>
      </c>
      <c r="N351">
        <v>1011</v>
      </c>
      <c r="O351" t="s">
        <v>501</v>
      </c>
      <c r="P351" t="s">
        <v>501</v>
      </c>
      <c r="Q351">
        <v>1</v>
      </c>
      <c r="W351">
        <v>0</v>
      </c>
      <c r="X351">
        <v>-1718674368</v>
      </c>
      <c r="Y351">
        <v>1.2</v>
      </c>
      <c r="AA351">
        <v>0</v>
      </c>
      <c r="AB351">
        <v>111.99</v>
      </c>
      <c r="AC351">
        <v>13.5</v>
      </c>
      <c r="AD351">
        <v>0</v>
      </c>
      <c r="AE351">
        <v>0</v>
      </c>
      <c r="AF351">
        <v>111.99</v>
      </c>
      <c r="AG351">
        <v>13.5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1.2</v>
      </c>
      <c r="AU351" t="s">
        <v>6</v>
      </c>
      <c r="AV351">
        <v>0</v>
      </c>
      <c r="AW351">
        <v>2</v>
      </c>
      <c r="AX351">
        <v>16784678</v>
      </c>
      <c r="AY351">
        <v>1</v>
      </c>
      <c r="AZ351">
        <v>0</v>
      </c>
      <c r="BA351">
        <v>357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Y351*Source!I126</f>
        <v>4.8000000000000001E-2</v>
      </c>
      <c r="CY351">
        <f>AB351</f>
        <v>111.99</v>
      </c>
      <c r="CZ351">
        <f>AF351</f>
        <v>111.99</v>
      </c>
      <c r="DA351">
        <f>AJ351</f>
        <v>1</v>
      </c>
      <c r="DB351">
        <f t="shared" si="58"/>
        <v>134.38999999999999</v>
      </c>
      <c r="DC351">
        <f t="shared" si="59"/>
        <v>16.2</v>
      </c>
    </row>
    <row r="352" spans="1:107" x14ac:dyDescent="0.2">
      <c r="A352">
        <f>ROW(Source!A126)</f>
        <v>126</v>
      </c>
      <c r="B352">
        <v>16784195</v>
      </c>
      <c r="C352">
        <v>16784662</v>
      </c>
      <c r="D352">
        <v>15249073</v>
      </c>
      <c r="E352">
        <v>1</v>
      </c>
      <c r="F352">
        <v>1</v>
      </c>
      <c r="G352">
        <v>1</v>
      </c>
      <c r="H352">
        <v>2</v>
      </c>
      <c r="I352" t="s">
        <v>504</v>
      </c>
      <c r="J352" t="s">
        <v>505</v>
      </c>
      <c r="K352" t="s">
        <v>506</v>
      </c>
      <c r="L352">
        <v>1368</v>
      </c>
      <c r="N352">
        <v>1011</v>
      </c>
      <c r="O352" t="s">
        <v>501</v>
      </c>
      <c r="P352" t="s">
        <v>501</v>
      </c>
      <c r="Q352">
        <v>1</v>
      </c>
      <c r="W352">
        <v>0</v>
      </c>
      <c r="X352">
        <v>1372534845</v>
      </c>
      <c r="Y352">
        <v>1.2</v>
      </c>
      <c r="AA352">
        <v>0</v>
      </c>
      <c r="AB352">
        <v>65.709999999999994</v>
      </c>
      <c r="AC352">
        <v>11.6</v>
      </c>
      <c r="AD352">
        <v>0</v>
      </c>
      <c r="AE352">
        <v>0</v>
      </c>
      <c r="AF352">
        <v>65.709999999999994</v>
      </c>
      <c r="AG352">
        <v>11.6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1.2</v>
      </c>
      <c r="AU352" t="s">
        <v>6</v>
      </c>
      <c r="AV352">
        <v>0</v>
      </c>
      <c r="AW352">
        <v>2</v>
      </c>
      <c r="AX352">
        <v>16784679</v>
      </c>
      <c r="AY352">
        <v>1</v>
      </c>
      <c r="AZ352">
        <v>0</v>
      </c>
      <c r="BA352">
        <v>358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Y352*Source!I126</f>
        <v>4.8000000000000001E-2</v>
      </c>
      <c r="CY352">
        <f>AB352</f>
        <v>65.709999999999994</v>
      </c>
      <c r="CZ352">
        <f>AF352</f>
        <v>65.709999999999994</v>
      </c>
      <c r="DA352">
        <f>AJ352</f>
        <v>1</v>
      </c>
      <c r="DB352">
        <f t="shared" si="58"/>
        <v>78.849999999999994</v>
      </c>
      <c r="DC352">
        <f t="shared" si="59"/>
        <v>13.92</v>
      </c>
    </row>
    <row r="353" spans="1:107" x14ac:dyDescent="0.2">
      <c r="A353">
        <f>ROW(Source!A126)</f>
        <v>126</v>
      </c>
      <c r="B353">
        <v>16784195</v>
      </c>
      <c r="C353">
        <v>16784662</v>
      </c>
      <c r="D353">
        <v>15249377</v>
      </c>
      <c r="E353">
        <v>1</v>
      </c>
      <c r="F353">
        <v>1</v>
      </c>
      <c r="G353">
        <v>1</v>
      </c>
      <c r="H353">
        <v>2</v>
      </c>
      <c r="I353" t="s">
        <v>688</v>
      </c>
      <c r="J353" t="s">
        <v>689</v>
      </c>
      <c r="K353" t="s">
        <v>690</v>
      </c>
      <c r="L353">
        <v>1368</v>
      </c>
      <c r="N353">
        <v>1011</v>
      </c>
      <c r="O353" t="s">
        <v>501</v>
      </c>
      <c r="P353" t="s">
        <v>501</v>
      </c>
      <c r="Q353">
        <v>1</v>
      </c>
      <c r="W353">
        <v>0</v>
      </c>
      <c r="X353">
        <v>-353815937</v>
      </c>
      <c r="Y353">
        <v>1.1399999999999999</v>
      </c>
      <c r="AA353">
        <v>0</v>
      </c>
      <c r="AB353">
        <v>8.1</v>
      </c>
      <c r="AC353">
        <v>0</v>
      </c>
      <c r="AD353">
        <v>0</v>
      </c>
      <c r="AE353">
        <v>0</v>
      </c>
      <c r="AF353">
        <v>8.1</v>
      </c>
      <c r="AG353">
        <v>0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1.1399999999999999</v>
      </c>
      <c r="AU353" t="s">
        <v>6</v>
      </c>
      <c r="AV353">
        <v>0</v>
      </c>
      <c r="AW353">
        <v>2</v>
      </c>
      <c r="AX353">
        <v>16784680</v>
      </c>
      <c r="AY353">
        <v>1</v>
      </c>
      <c r="AZ353">
        <v>0</v>
      </c>
      <c r="BA353">
        <v>359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Y353*Source!I126</f>
        <v>4.5599999999999995E-2</v>
      </c>
      <c r="CY353">
        <f>AB353</f>
        <v>8.1</v>
      </c>
      <c r="CZ353">
        <f>AF353</f>
        <v>8.1</v>
      </c>
      <c r="DA353">
        <f>AJ353</f>
        <v>1</v>
      </c>
      <c r="DB353">
        <f t="shared" si="58"/>
        <v>9.23</v>
      </c>
      <c r="DC353">
        <f t="shared" si="59"/>
        <v>0</v>
      </c>
    </row>
    <row r="354" spans="1:107" x14ac:dyDescent="0.2">
      <c r="A354">
        <f>ROW(Source!A126)</f>
        <v>126</v>
      </c>
      <c r="B354">
        <v>16784195</v>
      </c>
      <c r="C354">
        <v>16784662</v>
      </c>
      <c r="D354">
        <v>15167588</v>
      </c>
      <c r="E354">
        <v>1</v>
      </c>
      <c r="F354">
        <v>1</v>
      </c>
      <c r="G354">
        <v>1</v>
      </c>
      <c r="H354">
        <v>3</v>
      </c>
      <c r="I354" t="s">
        <v>691</v>
      </c>
      <c r="J354" t="s">
        <v>692</v>
      </c>
      <c r="K354" t="s">
        <v>693</v>
      </c>
      <c r="L354">
        <v>1346</v>
      </c>
      <c r="N354">
        <v>1009</v>
      </c>
      <c r="O354" t="s">
        <v>60</v>
      </c>
      <c r="P354" t="s">
        <v>60</v>
      </c>
      <c r="Q354">
        <v>1</v>
      </c>
      <c r="W354">
        <v>0</v>
      </c>
      <c r="X354">
        <v>-1088866022</v>
      </c>
      <c r="Y354">
        <v>0.42</v>
      </c>
      <c r="AA354">
        <v>30.4</v>
      </c>
      <c r="AB354">
        <v>0</v>
      </c>
      <c r="AC354">
        <v>0</v>
      </c>
      <c r="AD354">
        <v>0</v>
      </c>
      <c r="AE354">
        <v>30.4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0.42</v>
      </c>
      <c r="AU354" t="s">
        <v>6</v>
      </c>
      <c r="AV354">
        <v>0</v>
      </c>
      <c r="AW354">
        <v>2</v>
      </c>
      <c r="AX354">
        <v>16784681</v>
      </c>
      <c r="AY354">
        <v>1</v>
      </c>
      <c r="AZ354">
        <v>0</v>
      </c>
      <c r="BA354">
        <v>360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Y354*Source!I126</f>
        <v>1.6799999999999999E-2</v>
      </c>
      <c r="CY354">
        <f t="shared" ref="CY354:CY361" si="60">AA354</f>
        <v>30.4</v>
      </c>
      <c r="CZ354">
        <f t="shared" ref="CZ354:CZ361" si="61">AE354</f>
        <v>30.4</v>
      </c>
      <c r="DA354">
        <f t="shared" ref="DA354:DA361" si="62">AI354</f>
        <v>1</v>
      </c>
      <c r="DB354">
        <f t="shared" si="58"/>
        <v>12.77</v>
      </c>
      <c r="DC354">
        <f t="shared" si="59"/>
        <v>0</v>
      </c>
    </row>
    <row r="355" spans="1:107" x14ac:dyDescent="0.2">
      <c r="A355">
        <f>ROW(Source!A126)</f>
        <v>126</v>
      </c>
      <c r="B355">
        <v>16784195</v>
      </c>
      <c r="C355">
        <v>16784662</v>
      </c>
      <c r="D355">
        <v>15167600</v>
      </c>
      <c r="E355">
        <v>1</v>
      </c>
      <c r="F355">
        <v>1</v>
      </c>
      <c r="G355">
        <v>1</v>
      </c>
      <c r="H355">
        <v>3</v>
      </c>
      <c r="I355" t="s">
        <v>694</v>
      </c>
      <c r="J355" t="s">
        <v>695</v>
      </c>
      <c r="K355" t="s">
        <v>696</v>
      </c>
      <c r="L355">
        <v>1308</v>
      </c>
      <c r="N355">
        <v>1003</v>
      </c>
      <c r="O355" t="s">
        <v>40</v>
      </c>
      <c r="P355" t="s">
        <v>40</v>
      </c>
      <c r="Q355">
        <v>100</v>
      </c>
      <c r="W355">
        <v>0</v>
      </c>
      <c r="X355">
        <v>568244124</v>
      </c>
      <c r="Y355">
        <v>0.1</v>
      </c>
      <c r="AA355">
        <v>120</v>
      </c>
      <c r="AB355">
        <v>0</v>
      </c>
      <c r="AC355">
        <v>0</v>
      </c>
      <c r="AD355">
        <v>0</v>
      </c>
      <c r="AE355">
        <v>120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6</v>
      </c>
      <c r="AT355">
        <v>0.1</v>
      </c>
      <c r="AU355" t="s">
        <v>6</v>
      </c>
      <c r="AV355">
        <v>0</v>
      </c>
      <c r="AW355">
        <v>2</v>
      </c>
      <c r="AX355">
        <v>16784682</v>
      </c>
      <c r="AY355">
        <v>1</v>
      </c>
      <c r="AZ355">
        <v>0</v>
      </c>
      <c r="BA355">
        <v>361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Y355*Source!I126</f>
        <v>4.0000000000000001E-3</v>
      </c>
      <c r="CY355">
        <f t="shared" si="60"/>
        <v>120</v>
      </c>
      <c r="CZ355">
        <f t="shared" si="61"/>
        <v>120</v>
      </c>
      <c r="DA355">
        <f t="shared" si="62"/>
        <v>1</v>
      </c>
      <c r="DB355">
        <f t="shared" si="58"/>
        <v>12</v>
      </c>
      <c r="DC355">
        <f t="shared" si="59"/>
        <v>0</v>
      </c>
    </row>
    <row r="356" spans="1:107" x14ac:dyDescent="0.2">
      <c r="A356">
        <f>ROW(Source!A126)</f>
        <v>126</v>
      </c>
      <c r="B356">
        <v>16784195</v>
      </c>
      <c r="C356">
        <v>16784662</v>
      </c>
      <c r="D356">
        <v>15168752</v>
      </c>
      <c r="E356">
        <v>1</v>
      </c>
      <c r="F356">
        <v>1</v>
      </c>
      <c r="G356">
        <v>1</v>
      </c>
      <c r="H356">
        <v>3</v>
      </c>
      <c r="I356" t="s">
        <v>697</v>
      </c>
      <c r="J356" t="s">
        <v>698</v>
      </c>
      <c r="K356" t="s">
        <v>699</v>
      </c>
      <c r="L356">
        <v>1346</v>
      </c>
      <c r="N356">
        <v>1009</v>
      </c>
      <c r="O356" t="s">
        <v>60</v>
      </c>
      <c r="P356" t="s">
        <v>60</v>
      </c>
      <c r="Q356">
        <v>1</v>
      </c>
      <c r="W356">
        <v>0</v>
      </c>
      <c r="X356">
        <v>586013393</v>
      </c>
      <c r="Y356">
        <v>2.1</v>
      </c>
      <c r="AA356">
        <v>10.57</v>
      </c>
      <c r="AB356">
        <v>0</v>
      </c>
      <c r="AC356">
        <v>0</v>
      </c>
      <c r="AD356">
        <v>0</v>
      </c>
      <c r="AE356">
        <v>10.57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2.1</v>
      </c>
      <c r="AU356" t="s">
        <v>6</v>
      </c>
      <c r="AV356">
        <v>0</v>
      </c>
      <c r="AW356">
        <v>2</v>
      </c>
      <c r="AX356">
        <v>16784683</v>
      </c>
      <c r="AY356">
        <v>1</v>
      </c>
      <c r="AZ356">
        <v>0</v>
      </c>
      <c r="BA356">
        <v>362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Y356*Source!I126</f>
        <v>8.4000000000000005E-2</v>
      </c>
      <c r="CY356">
        <f t="shared" si="60"/>
        <v>10.57</v>
      </c>
      <c r="CZ356">
        <f t="shared" si="61"/>
        <v>10.57</v>
      </c>
      <c r="DA356">
        <f t="shared" si="62"/>
        <v>1</v>
      </c>
      <c r="DB356">
        <f t="shared" si="58"/>
        <v>22.2</v>
      </c>
      <c r="DC356">
        <f t="shared" si="59"/>
        <v>0</v>
      </c>
    </row>
    <row r="357" spans="1:107" x14ac:dyDescent="0.2">
      <c r="A357">
        <f>ROW(Source!A126)</f>
        <v>126</v>
      </c>
      <c r="B357">
        <v>16784195</v>
      </c>
      <c r="C357">
        <v>16784662</v>
      </c>
      <c r="D357">
        <v>15169942</v>
      </c>
      <c r="E357">
        <v>1</v>
      </c>
      <c r="F357">
        <v>1</v>
      </c>
      <c r="G357">
        <v>1</v>
      </c>
      <c r="H357">
        <v>3</v>
      </c>
      <c r="I357" t="s">
        <v>700</v>
      </c>
      <c r="J357" t="s">
        <v>701</v>
      </c>
      <c r="K357" t="s">
        <v>560</v>
      </c>
      <c r="L357">
        <v>1346</v>
      </c>
      <c r="N357">
        <v>1009</v>
      </c>
      <c r="O357" t="s">
        <v>60</v>
      </c>
      <c r="P357" t="s">
        <v>60</v>
      </c>
      <c r="Q357">
        <v>1</v>
      </c>
      <c r="W357">
        <v>0</v>
      </c>
      <c r="X357">
        <v>103900845</v>
      </c>
      <c r="Y357">
        <v>10.4</v>
      </c>
      <c r="AA357">
        <v>9.0399999999999991</v>
      </c>
      <c r="AB357">
        <v>0</v>
      </c>
      <c r="AC357">
        <v>0</v>
      </c>
      <c r="AD357">
        <v>0</v>
      </c>
      <c r="AE357">
        <v>9.0399999999999991</v>
      </c>
      <c r="AF357">
        <v>0</v>
      </c>
      <c r="AG357">
        <v>0</v>
      </c>
      <c r="AH357">
        <v>0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10.4</v>
      </c>
      <c r="AU357" t="s">
        <v>6</v>
      </c>
      <c r="AV357">
        <v>0</v>
      </c>
      <c r="AW357">
        <v>2</v>
      </c>
      <c r="AX357">
        <v>16784684</v>
      </c>
      <c r="AY357">
        <v>1</v>
      </c>
      <c r="AZ357">
        <v>0</v>
      </c>
      <c r="BA357">
        <v>363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Y357*Source!I126</f>
        <v>0.41600000000000004</v>
      </c>
      <c r="CY357">
        <f t="shared" si="60"/>
        <v>9.0399999999999991</v>
      </c>
      <c r="CZ357">
        <f t="shared" si="61"/>
        <v>9.0399999999999991</v>
      </c>
      <c r="DA357">
        <f t="shared" si="62"/>
        <v>1</v>
      </c>
      <c r="DB357">
        <f t="shared" si="58"/>
        <v>94.02</v>
      </c>
      <c r="DC357">
        <f t="shared" si="59"/>
        <v>0</v>
      </c>
    </row>
    <row r="358" spans="1:107" x14ac:dyDescent="0.2">
      <c r="A358">
        <f>ROW(Source!A126)</f>
        <v>126</v>
      </c>
      <c r="B358">
        <v>16784195</v>
      </c>
      <c r="C358">
        <v>16784662</v>
      </c>
      <c r="D358">
        <v>15191488</v>
      </c>
      <c r="E358">
        <v>1</v>
      </c>
      <c r="F358">
        <v>1</v>
      </c>
      <c r="G358">
        <v>1</v>
      </c>
      <c r="H358">
        <v>3</v>
      </c>
      <c r="I358" t="s">
        <v>702</v>
      </c>
      <c r="J358" t="s">
        <v>703</v>
      </c>
      <c r="K358" t="s">
        <v>704</v>
      </c>
      <c r="L358">
        <v>1348</v>
      </c>
      <c r="N358">
        <v>1009</v>
      </c>
      <c r="O358" t="s">
        <v>65</v>
      </c>
      <c r="P358" t="s">
        <v>65</v>
      </c>
      <c r="Q358">
        <v>1000</v>
      </c>
      <c r="W358">
        <v>0</v>
      </c>
      <c r="X358">
        <v>-1598896989</v>
      </c>
      <c r="Y358">
        <v>0.15</v>
      </c>
      <c r="AA358">
        <v>5000</v>
      </c>
      <c r="AB358">
        <v>0</v>
      </c>
      <c r="AC358">
        <v>0</v>
      </c>
      <c r="AD358">
        <v>0</v>
      </c>
      <c r="AE358">
        <v>5000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0.15</v>
      </c>
      <c r="AU358" t="s">
        <v>6</v>
      </c>
      <c r="AV358">
        <v>0</v>
      </c>
      <c r="AW358">
        <v>2</v>
      </c>
      <c r="AX358">
        <v>16784685</v>
      </c>
      <c r="AY358">
        <v>1</v>
      </c>
      <c r="AZ358">
        <v>0</v>
      </c>
      <c r="BA358">
        <v>364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Y358*Source!I126</f>
        <v>6.0000000000000001E-3</v>
      </c>
      <c r="CY358">
        <f t="shared" si="60"/>
        <v>5000</v>
      </c>
      <c r="CZ358">
        <f t="shared" si="61"/>
        <v>5000</v>
      </c>
      <c r="DA358">
        <f t="shared" si="62"/>
        <v>1</v>
      </c>
      <c r="DB358">
        <f t="shared" si="58"/>
        <v>750</v>
      </c>
      <c r="DC358">
        <f t="shared" si="59"/>
        <v>0</v>
      </c>
    </row>
    <row r="359" spans="1:107" x14ac:dyDescent="0.2">
      <c r="A359">
        <f>ROW(Source!A126)</f>
        <v>126</v>
      </c>
      <c r="B359">
        <v>16784195</v>
      </c>
      <c r="C359">
        <v>16784662</v>
      </c>
      <c r="D359">
        <v>15203834</v>
      </c>
      <c r="E359">
        <v>1</v>
      </c>
      <c r="F359">
        <v>1</v>
      </c>
      <c r="G359">
        <v>1</v>
      </c>
      <c r="H359">
        <v>3</v>
      </c>
      <c r="I359" t="s">
        <v>705</v>
      </c>
      <c r="J359" t="s">
        <v>706</v>
      </c>
      <c r="K359" t="s">
        <v>707</v>
      </c>
      <c r="L359">
        <v>1346</v>
      </c>
      <c r="N359">
        <v>1009</v>
      </c>
      <c r="O359" t="s">
        <v>60</v>
      </c>
      <c r="P359" t="s">
        <v>60</v>
      </c>
      <c r="Q359">
        <v>1</v>
      </c>
      <c r="W359">
        <v>0</v>
      </c>
      <c r="X359">
        <v>210558753</v>
      </c>
      <c r="Y359">
        <v>3</v>
      </c>
      <c r="AA359">
        <v>28.6</v>
      </c>
      <c r="AB359">
        <v>0</v>
      </c>
      <c r="AC359">
        <v>0</v>
      </c>
      <c r="AD359">
        <v>0</v>
      </c>
      <c r="AE359">
        <v>28.6</v>
      </c>
      <c r="AF359">
        <v>0</v>
      </c>
      <c r="AG359">
        <v>0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3</v>
      </c>
      <c r="AU359" t="s">
        <v>6</v>
      </c>
      <c r="AV359">
        <v>0</v>
      </c>
      <c r="AW359">
        <v>2</v>
      </c>
      <c r="AX359">
        <v>16784686</v>
      </c>
      <c r="AY359">
        <v>1</v>
      </c>
      <c r="AZ359">
        <v>0</v>
      </c>
      <c r="BA359">
        <v>365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Y359*Source!I126</f>
        <v>0.12</v>
      </c>
      <c r="CY359">
        <f t="shared" si="60"/>
        <v>28.6</v>
      </c>
      <c r="CZ359">
        <f t="shared" si="61"/>
        <v>28.6</v>
      </c>
      <c r="DA359">
        <f t="shared" si="62"/>
        <v>1</v>
      </c>
      <c r="DB359">
        <f t="shared" si="58"/>
        <v>85.8</v>
      </c>
      <c r="DC359">
        <f t="shared" si="59"/>
        <v>0</v>
      </c>
    </row>
    <row r="360" spans="1:107" x14ac:dyDescent="0.2">
      <c r="A360">
        <f>ROW(Source!A126)</f>
        <v>126</v>
      </c>
      <c r="B360">
        <v>16784195</v>
      </c>
      <c r="C360">
        <v>16784662</v>
      </c>
      <c r="D360">
        <v>15219888</v>
      </c>
      <c r="E360">
        <v>1</v>
      </c>
      <c r="F360">
        <v>1</v>
      </c>
      <c r="G360">
        <v>1</v>
      </c>
      <c r="H360">
        <v>3</v>
      </c>
      <c r="I360" t="s">
        <v>275</v>
      </c>
      <c r="J360" t="s">
        <v>278</v>
      </c>
      <c r="K360" t="s">
        <v>276</v>
      </c>
      <c r="L360">
        <v>1354</v>
      </c>
      <c r="N360">
        <v>1010</v>
      </c>
      <c r="O360" t="s">
        <v>277</v>
      </c>
      <c r="P360" t="s">
        <v>277</v>
      </c>
      <c r="Q360">
        <v>1</v>
      </c>
      <c r="W360">
        <v>0</v>
      </c>
      <c r="X360">
        <v>248767468</v>
      </c>
      <c r="Y360">
        <v>100</v>
      </c>
      <c r="AA360">
        <v>155.44</v>
      </c>
      <c r="AB360">
        <v>0</v>
      </c>
      <c r="AC360">
        <v>0</v>
      </c>
      <c r="AD360">
        <v>0</v>
      </c>
      <c r="AE360">
        <v>155.44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6</v>
      </c>
      <c r="AT360">
        <v>100</v>
      </c>
      <c r="AU360" t="s">
        <v>6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Y360*Source!I126</f>
        <v>4</v>
      </c>
      <c r="CY360">
        <f t="shared" si="60"/>
        <v>155.44</v>
      </c>
      <c r="CZ360">
        <f t="shared" si="61"/>
        <v>155.44</v>
      </c>
      <c r="DA360">
        <f t="shared" si="62"/>
        <v>1</v>
      </c>
      <c r="DB360">
        <f t="shared" si="58"/>
        <v>15544</v>
      </c>
      <c r="DC360">
        <f t="shared" si="59"/>
        <v>0</v>
      </c>
    </row>
    <row r="361" spans="1:107" x14ac:dyDescent="0.2">
      <c r="A361">
        <f>ROW(Source!A126)</f>
        <v>126</v>
      </c>
      <c r="B361">
        <v>16784195</v>
      </c>
      <c r="C361">
        <v>16784662</v>
      </c>
      <c r="D361">
        <v>15164559</v>
      </c>
      <c r="E361">
        <v>17</v>
      </c>
      <c r="F361">
        <v>1</v>
      </c>
      <c r="G361">
        <v>1</v>
      </c>
      <c r="H361">
        <v>3</v>
      </c>
      <c r="I361" t="s">
        <v>708</v>
      </c>
      <c r="J361" t="s">
        <v>6</v>
      </c>
      <c r="K361" t="s">
        <v>709</v>
      </c>
      <c r="L361">
        <v>1374</v>
      </c>
      <c r="N361">
        <v>1013</v>
      </c>
      <c r="O361" t="s">
        <v>710</v>
      </c>
      <c r="P361" t="s">
        <v>710</v>
      </c>
      <c r="Q361">
        <v>1</v>
      </c>
      <c r="W361">
        <v>0</v>
      </c>
      <c r="X361">
        <v>-1731369543</v>
      </c>
      <c r="Y361">
        <v>54.92</v>
      </c>
      <c r="AA361">
        <v>1</v>
      </c>
      <c r="AB361">
        <v>0</v>
      </c>
      <c r="AC361">
        <v>0</v>
      </c>
      <c r="AD361">
        <v>0</v>
      </c>
      <c r="AE361">
        <v>1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54.92</v>
      </c>
      <c r="AU361" t="s">
        <v>6</v>
      </c>
      <c r="AV361">
        <v>0</v>
      </c>
      <c r="AW361">
        <v>2</v>
      </c>
      <c r="AX361">
        <v>16784687</v>
      </c>
      <c r="AY361">
        <v>1</v>
      </c>
      <c r="AZ361">
        <v>0</v>
      </c>
      <c r="BA361">
        <v>366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Y361*Source!I126</f>
        <v>2.1968000000000001</v>
      </c>
      <c r="CY361">
        <f t="shared" si="60"/>
        <v>1</v>
      </c>
      <c r="CZ361">
        <f t="shared" si="61"/>
        <v>1</v>
      </c>
      <c r="DA361">
        <f t="shared" si="62"/>
        <v>1</v>
      </c>
      <c r="DB361">
        <f t="shared" si="58"/>
        <v>54.92</v>
      </c>
      <c r="DC361">
        <f t="shared" si="59"/>
        <v>0</v>
      </c>
    </row>
    <row r="362" spans="1:107" x14ac:dyDescent="0.2">
      <c r="A362">
        <f>ROW(Source!A127)</f>
        <v>127</v>
      </c>
      <c r="B362">
        <v>16784196</v>
      </c>
      <c r="C362">
        <v>16784662</v>
      </c>
      <c r="D362">
        <v>15446300</v>
      </c>
      <c r="E362">
        <v>1</v>
      </c>
      <c r="F362">
        <v>1</v>
      </c>
      <c r="G362">
        <v>1</v>
      </c>
      <c r="H362">
        <v>1</v>
      </c>
      <c r="I362" t="s">
        <v>686</v>
      </c>
      <c r="J362" t="s">
        <v>6</v>
      </c>
      <c r="K362" t="s">
        <v>687</v>
      </c>
      <c r="L362">
        <v>1191</v>
      </c>
      <c r="N362">
        <v>1013</v>
      </c>
      <c r="O362" t="s">
        <v>495</v>
      </c>
      <c r="P362" t="s">
        <v>495</v>
      </c>
      <c r="Q362">
        <v>1</v>
      </c>
      <c r="W362">
        <v>0</v>
      </c>
      <c r="X362">
        <v>912892513</v>
      </c>
      <c r="Y362">
        <v>276.8</v>
      </c>
      <c r="AA362">
        <v>0</v>
      </c>
      <c r="AB362">
        <v>0</v>
      </c>
      <c r="AC362">
        <v>0</v>
      </c>
      <c r="AD362">
        <v>60.61</v>
      </c>
      <c r="AE362">
        <v>0</v>
      </c>
      <c r="AF362">
        <v>0</v>
      </c>
      <c r="AG362">
        <v>0</v>
      </c>
      <c r="AH362">
        <v>9.92</v>
      </c>
      <c r="AI362">
        <v>1</v>
      </c>
      <c r="AJ362">
        <v>1</v>
      </c>
      <c r="AK362">
        <v>1</v>
      </c>
      <c r="AL362">
        <v>6.11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276.8</v>
      </c>
      <c r="AU362" t="s">
        <v>6</v>
      </c>
      <c r="AV362">
        <v>1</v>
      </c>
      <c r="AW362">
        <v>2</v>
      </c>
      <c r="AX362">
        <v>16784676</v>
      </c>
      <c r="AY362">
        <v>1</v>
      </c>
      <c r="AZ362">
        <v>0</v>
      </c>
      <c r="BA362">
        <v>367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Y362*Source!I127</f>
        <v>11.072000000000001</v>
      </c>
      <c r="CY362">
        <f>AD362</f>
        <v>60.61</v>
      </c>
      <c r="CZ362">
        <f>AH362</f>
        <v>9.92</v>
      </c>
      <c r="DA362">
        <f>AL362</f>
        <v>6.11</v>
      </c>
      <c r="DB362">
        <f t="shared" si="58"/>
        <v>2745.86</v>
      </c>
      <c r="DC362">
        <f t="shared" si="59"/>
        <v>0</v>
      </c>
    </row>
    <row r="363" spans="1:107" x14ac:dyDescent="0.2">
      <c r="A363">
        <f>ROW(Source!A127)</f>
        <v>127</v>
      </c>
      <c r="B363">
        <v>16784196</v>
      </c>
      <c r="C363">
        <v>16784662</v>
      </c>
      <c r="D363">
        <v>15430395</v>
      </c>
      <c r="E363">
        <v>1</v>
      </c>
      <c r="F363">
        <v>1</v>
      </c>
      <c r="G363">
        <v>1</v>
      </c>
      <c r="H363">
        <v>1</v>
      </c>
      <c r="I363" t="s">
        <v>496</v>
      </c>
      <c r="J363" t="s">
        <v>6</v>
      </c>
      <c r="K363" t="s">
        <v>497</v>
      </c>
      <c r="L363">
        <v>1191</v>
      </c>
      <c r="N363">
        <v>1013</v>
      </c>
      <c r="O363" t="s">
        <v>495</v>
      </c>
      <c r="P363" t="s">
        <v>495</v>
      </c>
      <c r="Q363">
        <v>1</v>
      </c>
      <c r="W363">
        <v>0</v>
      </c>
      <c r="X363">
        <v>-1417349443</v>
      </c>
      <c r="Y363">
        <v>2.4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1</v>
      </c>
      <c r="AJ363">
        <v>1</v>
      </c>
      <c r="AK363">
        <v>6.11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2.4</v>
      </c>
      <c r="AU363" t="s">
        <v>6</v>
      </c>
      <c r="AV363">
        <v>2</v>
      </c>
      <c r="AW363">
        <v>2</v>
      </c>
      <c r="AX363">
        <v>16784677</v>
      </c>
      <c r="AY363">
        <v>1</v>
      </c>
      <c r="AZ363">
        <v>0</v>
      </c>
      <c r="BA363">
        <v>368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Y363*Source!I127</f>
        <v>9.6000000000000002E-2</v>
      </c>
      <c r="CY363">
        <f>AD363</f>
        <v>0</v>
      </c>
      <c r="CZ363">
        <f>AH363</f>
        <v>0</v>
      </c>
      <c r="DA363">
        <f>AL363</f>
        <v>1</v>
      </c>
      <c r="DB363">
        <f t="shared" si="58"/>
        <v>0</v>
      </c>
      <c r="DC363">
        <f t="shared" si="59"/>
        <v>0</v>
      </c>
    </row>
    <row r="364" spans="1:107" x14ac:dyDescent="0.2">
      <c r="A364">
        <f>ROW(Source!A127)</f>
        <v>127</v>
      </c>
      <c r="B364">
        <v>16784196</v>
      </c>
      <c r="C364">
        <v>16784662</v>
      </c>
      <c r="D364">
        <v>15247680</v>
      </c>
      <c r="E364">
        <v>1</v>
      </c>
      <c r="F364">
        <v>1</v>
      </c>
      <c r="G364">
        <v>1</v>
      </c>
      <c r="H364">
        <v>2</v>
      </c>
      <c r="I364" t="s">
        <v>537</v>
      </c>
      <c r="J364" t="s">
        <v>538</v>
      </c>
      <c r="K364" t="s">
        <v>539</v>
      </c>
      <c r="L364">
        <v>1368</v>
      </c>
      <c r="N364">
        <v>1011</v>
      </c>
      <c r="O364" t="s">
        <v>501</v>
      </c>
      <c r="P364" t="s">
        <v>501</v>
      </c>
      <c r="Q364">
        <v>1</v>
      </c>
      <c r="W364">
        <v>0</v>
      </c>
      <c r="X364">
        <v>-1718674368</v>
      </c>
      <c r="Y364">
        <v>1.2</v>
      </c>
      <c r="AA364">
        <v>0</v>
      </c>
      <c r="AB364">
        <v>684.26</v>
      </c>
      <c r="AC364">
        <v>13.5</v>
      </c>
      <c r="AD364">
        <v>0</v>
      </c>
      <c r="AE364">
        <v>0</v>
      </c>
      <c r="AF364">
        <v>111.99</v>
      </c>
      <c r="AG364">
        <v>13.5</v>
      </c>
      <c r="AH364">
        <v>0</v>
      </c>
      <c r="AI364">
        <v>1</v>
      </c>
      <c r="AJ364">
        <v>6.11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1.2</v>
      </c>
      <c r="AU364" t="s">
        <v>6</v>
      </c>
      <c r="AV364">
        <v>0</v>
      </c>
      <c r="AW364">
        <v>2</v>
      </c>
      <c r="AX364">
        <v>16784678</v>
      </c>
      <c r="AY364">
        <v>1</v>
      </c>
      <c r="AZ364">
        <v>0</v>
      </c>
      <c r="BA364">
        <v>369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Y364*Source!I127</f>
        <v>4.8000000000000001E-2</v>
      </c>
      <c r="CY364">
        <f>AB364</f>
        <v>684.26</v>
      </c>
      <c r="CZ364">
        <f>AF364</f>
        <v>111.99</v>
      </c>
      <c r="DA364">
        <f>AJ364</f>
        <v>6.11</v>
      </c>
      <c r="DB364">
        <f t="shared" si="58"/>
        <v>134.38999999999999</v>
      </c>
      <c r="DC364">
        <f t="shared" si="59"/>
        <v>16.2</v>
      </c>
    </row>
    <row r="365" spans="1:107" x14ac:dyDescent="0.2">
      <c r="A365">
        <f>ROW(Source!A127)</f>
        <v>127</v>
      </c>
      <c r="B365">
        <v>16784196</v>
      </c>
      <c r="C365">
        <v>16784662</v>
      </c>
      <c r="D365">
        <v>15249073</v>
      </c>
      <c r="E365">
        <v>1</v>
      </c>
      <c r="F365">
        <v>1</v>
      </c>
      <c r="G365">
        <v>1</v>
      </c>
      <c r="H365">
        <v>2</v>
      </c>
      <c r="I365" t="s">
        <v>504</v>
      </c>
      <c r="J365" t="s">
        <v>505</v>
      </c>
      <c r="K365" t="s">
        <v>506</v>
      </c>
      <c r="L365">
        <v>1368</v>
      </c>
      <c r="N365">
        <v>1011</v>
      </c>
      <c r="O365" t="s">
        <v>501</v>
      </c>
      <c r="P365" t="s">
        <v>501</v>
      </c>
      <c r="Q365">
        <v>1</v>
      </c>
      <c r="W365">
        <v>0</v>
      </c>
      <c r="X365">
        <v>1372534845</v>
      </c>
      <c r="Y365">
        <v>1.2</v>
      </c>
      <c r="AA365">
        <v>0</v>
      </c>
      <c r="AB365">
        <v>401.49</v>
      </c>
      <c r="AC365">
        <v>11.6</v>
      </c>
      <c r="AD365">
        <v>0</v>
      </c>
      <c r="AE365">
        <v>0</v>
      </c>
      <c r="AF365">
        <v>65.709999999999994</v>
      </c>
      <c r="AG365">
        <v>11.6</v>
      </c>
      <c r="AH365">
        <v>0</v>
      </c>
      <c r="AI365">
        <v>1</v>
      </c>
      <c r="AJ365">
        <v>6.11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1.2</v>
      </c>
      <c r="AU365" t="s">
        <v>6</v>
      </c>
      <c r="AV365">
        <v>0</v>
      </c>
      <c r="AW365">
        <v>2</v>
      </c>
      <c r="AX365">
        <v>16784679</v>
      </c>
      <c r="AY365">
        <v>1</v>
      </c>
      <c r="AZ365">
        <v>0</v>
      </c>
      <c r="BA365">
        <v>370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Y365*Source!I127</f>
        <v>4.8000000000000001E-2</v>
      </c>
      <c r="CY365">
        <f>AB365</f>
        <v>401.49</v>
      </c>
      <c r="CZ365">
        <f>AF365</f>
        <v>65.709999999999994</v>
      </c>
      <c r="DA365">
        <f>AJ365</f>
        <v>6.11</v>
      </c>
      <c r="DB365">
        <f t="shared" si="58"/>
        <v>78.849999999999994</v>
      </c>
      <c r="DC365">
        <f t="shared" si="59"/>
        <v>13.92</v>
      </c>
    </row>
    <row r="366" spans="1:107" x14ac:dyDescent="0.2">
      <c r="A366">
        <f>ROW(Source!A127)</f>
        <v>127</v>
      </c>
      <c r="B366">
        <v>16784196</v>
      </c>
      <c r="C366">
        <v>16784662</v>
      </c>
      <c r="D366">
        <v>15249377</v>
      </c>
      <c r="E366">
        <v>1</v>
      </c>
      <c r="F366">
        <v>1</v>
      </c>
      <c r="G366">
        <v>1</v>
      </c>
      <c r="H366">
        <v>2</v>
      </c>
      <c r="I366" t="s">
        <v>688</v>
      </c>
      <c r="J366" t="s">
        <v>689</v>
      </c>
      <c r="K366" t="s">
        <v>690</v>
      </c>
      <c r="L366">
        <v>1368</v>
      </c>
      <c r="N366">
        <v>1011</v>
      </c>
      <c r="O366" t="s">
        <v>501</v>
      </c>
      <c r="P366" t="s">
        <v>501</v>
      </c>
      <c r="Q366">
        <v>1</v>
      </c>
      <c r="W366">
        <v>0</v>
      </c>
      <c r="X366">
        <v>-353815937</v>
      </c>
      <c r="Y366">
        <v>1.1399999999999999</v>
      </c>
      <c r="AA366">
        <v>0</v>
      </c>
      <c r="AB366">
        <v>49.49</v>
      </c>
      <c r="AC366">
        <v>0</v>
      </c>
      <c r="AD366">
        <v>0</v>
      </c>
      <c r="AE366">
        <v>0</v>
      </c>
      <c r="AF366">
        <v>8.1</v>
      </c>
      <c r="AG366">
        <v>0</v>
      </c>
      <c r="AH366">
        <v>0</v>
      </c>
      <c r="AI366">
        <v>1</v>
      </c>
      <c r="AJ366">
        <v>6.11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1.1399999999999999</v>
      </c>
      <c r="AU366" t="s">
        <v>6</v>
      </c>
      <c r="AV366">
        <v>0</v>
      </c>
      <c r="AW366">
        <v>2</v>
      </c>
      <c r="AX366">
        <v>16784680</v>
      </c>
      <c r="AY366">
        <v>1</v>
      </c>
      <c r="AZ366">
        <v>0</v>
      </c>
      <c r="BA366">
        <v>371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Y366*Source!I127</f>
        <v>4.5599999999999995E-2</v>
      </c>
      <c r="CY366">
        <f>AB366</f>
        <v>49.49</v>
      </c>
      <c r="CZ366">
        <f>AF366</f>
        <v>8.1</v>
      </c>
      <c r="DA366">
        <f>AJ366</f>
        <v>6.11</v>
      </c>
      <c r="DB366">
        <f t="shared" si="58"/>
        <v>9.23</v>
      </c>
      <c r="DC366">
        <f t="shared" si="59"/>
        <v>0</v>
      </c>
    </row>
    <row r="367" spans="1:107" x14ac:dyDescent="0.2">
      <c r="A367">
        <f>ROW(Source!A127)</f>
        <v>127</v>
      </c>
      <c r="B367">
        <v>16784196</v>
      </c>
      <c r="C367">
        <v>16784662</v>
      </c>
      <c r="D367">
        <v>15167588</v>
      </c>
      <c r="E367">
        <v>1</v>
      </c>
      <c r="F367">
        <v>1</v>
      </c>
      <c r="G367">
        <v>1</v>
      </c>
      <c r="H367">
        <v>3</v>
      </c>
      <c r="I367" t="s">
        <v>691</v>
      </c>
      <c r="J367" t="s">
        <v>692</v>
      </c>
      <c r="K367" t="s">
        <v>693</v>
      </c>
      <c r="L367">
        <v>1346</v>
      </c>
      <c r="N367">
        <v>1009</v>
      </c>
      <c r="O367" t="s">
        <v>60</v>
      </c>
      <c r="P367" t="s">
        <v>60</v>
      </c>
      <c r="Q367">
        <v>1</v>
      </c>
      <c r="W367">
        <v>0</v>
      </c>
      <c r="X367">
        <v>-1088866022</v>
      </c>
      <c r="Y367">
        <v>0.42</v>
      </c>
      <c r="AA367">
        <v>185.74</v>
      </c>
      <c r="AB367">
        <v>0</v>
      </c>
      <c r="AC367">
        <v>0</v>
      </c>
      <c r="AD367">
        <v>0</v>
      </c>
      <c r="AE367">
        <v>30.4</v>
      </c>
      <c r="AF367">
        <v>0</v>
      </c>
      <c r="AG367">
        <v>0</v>
      </c>
      <c r="AH367">
        <v>0</v>
      </c>
      <c r="AI367">
        <v>6.11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0.42</v>
      </c>
      <c r="AU367" t="s">
        <v>6</v>
      </c>
      <c r="AV367">
        <v>0</v>
      </c>
      <c r="AW367">
        <v>2</v>
      </c>
      <c r="AX367">
        <v>16784681</v>
      </c>
      <c r="AY367">
        <v>1</v>
      </c>
      <c r="AZ367">
        <v>0</v>
      </c>
      <c r="BA367">
        <v>372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Y367*Source!I127</f>
        <v>1.6799999999999999E-2</v>
      </c>
      <c r="CY367">
        <f t="shared" ref="CY367:CY374" si="63">AA367</f>
        <v>185.74</v>
      </c>
      <c r="CZ367">
        <f t="shared" ref="CZ367:CZ374" si="64">AE367</f>
        <v>30.4</v>
      </c>
      <c r="DA367">
        <f t="shared" ref="DA367:DA374" si="65">AI367</f>
        <v>6.11</v>
      </c>
      <c r="DB367">
        <f t="shared" si="58"/>
        <v>12.77</v>
      </c>
      <c r="DC367">
        <f t="shared" si="59"/>
        <v>0</v>
      </c>
    </row>
    <row r="368" spans="1:107" x14ac:dyDescent="0.2">
      <c r="A368">
        <f>ROW(Source!A127)</f>
        <v>127</v>
      </c>
      <c r="B368">
        <v>16784196</v>
      </c>
      <c r="C368">
        <v>16784662</v>
      </c>
      <c r="D368">
        <v>15167600</v>
      </c>
      <c r="E368">
        <v>1</v>
      </c>
      <c r="F368">
        <v>1</v>
      </c>
      <c r="G368">
        <v>1</v>
      </c>
      <c r="H368">
        <v>3</v>
      </c>
      <c r="I368" t="s">
        <v>694</v>
      </c>
      <c r="J368" t="s">
        <v>695</v>
      </c>
      <c r="K368" t="s">
        <v>696</v>
      </c>
      <c r="L368">
        <v>1308</v>
      </c>
      <c r="N368">
        <v>1003</v>
      </c>
      <c r="O368" t="s">
        <v>40</v>
      </c>
      <c r="P368" t="s">
        <v>40</v>
      </c>
      <c r="Q368">
        <v>100</v>
      </c>
      <c r="W368">
        <v>0</v>
      </c>
      <c r="X368">
        <v>568244124</v>
      </c>
      <c r="Y368">
        <v>0.1</v>
      </c>
      <c r="AA368">
        <v>733.2</v>
      </c>
      <c r="AB368">
        <v>0</v>
      </c>
      <c r="AC368">
        <v>0</v>
      </c>
      <c r="AD368">
        <v>0</v>
      </c>
      <c r="AE368">
        <v>120</v>
      </c>
      <c r="AF368">
        <v>0</v>
      </c>
      <c r="AG368">
        <v>0</v>
      </c>
      <c r="AH368">
        <v>0</v>
      </c>
      <c r="AI368">
        <v>6.11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0.1</v>
      </c>
      <c r="AU368" t="s">
        <v>6</v>
      </c>
      <c r="AV368">
        <v>0</v>
      </c>
      <c r="AW368">
        <v>2</v>
      </c>
      <c r="AX368">
        <v>16784682</v>
      </c>
      <c r="AY368">
        <v>1</v>
      </c>
      <c r="AZ368">
        <v>0</v>
      </c>
      <c r="BA368">
        <v>373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Y368*Source!I127</f>
        <v>4.0000000000000001E-3</v>
      </c>
      <c r="CY368">
        <f t="shared" si="63"/>
        <v>733.2</v>
      </c>
      <c r="CZ368">
        <f t="shared" si="64"/>
        <v>120</v>
      </c>
      <c r="DA368">
        <f t="shared" si="65"/>
        <v>6.11</v>
      </c>
      <c r="DB368">
        <f t="shared" si="58"/>
        <v>12</v>
      </c>
      <c r="DC368">
        <f t="shared" si="59"/>
        <v>0</v>
      </c>
    </row>
    <row r="369" spans="1:107" x14ac:dyDescent="0.2">
      <c r="A369">
        <f>ROW(Source!A127)</f>
        <v>127</v>
      </c>
      <c r="B369">
        <v>16784196</v>
      </c>
      <c r="C369">
        <v>16784662</v>
      </c>
      <c r="D369">
        <v>15168752</v>
      </c>
      <c r="E369">
        <v>1</v>
      </c>
      <c r="F369">
        <v>1</v>
      </c>
      <c r="G369">
        <v>1</v>
      </c>
      <c r="H369">
        <v>3</v>
      </c>
      <c r="I369" t="s">
        <v>697</v>
      </c>
      <c r="J369" t="s">
        <v>698</v>
      </c>
      <c r="K369" t="s">
        <v>699</v>
      </c>
      <c r="L369">
        <v>1346</v>
      </c>
      <c r="N369">
        <v>1009</v>
      </c>
      <c r="O369" t="s">
        <v>60</v>
      </c>
      <c r="P369" t="s">
        <v>60</v>
      </c>
      <c r="Q369">
        <v>1</v>
      </c>
      <c r="W369">
        <v>0</v>
      </c>
      <c r="X369">
        <v>586013393</v>
      </c>
      <c r="Y369">
        <v>2.1</v>
      </c>
      <c r="AA369">
        <v>64.58</v>
      </c>
      <c r="AB369">
        <v>0</v>
      </c>
      <c r="AC369">
        <v>0</v>
      </c>
      <c r="AD369">
        <v>0</v>
      </c>
      <c r="AE369">
        <v>10.57</v>
      </c>
      <c r="AF369">
        <v>0</v>
      </c>
      <c r="AG369">
        <v>0</v>
      </c>
      <c r="AH369">
        <v>0</v>
      </c>
      <c r="AI369">
        <v>6.11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2.1</v>
      </c>
      <c r="AU369" t="s">
        <v>6</v>
      </c>
      <c r="AV369">
        <v>0</v>
      </c>
      <c r="AW369">
        <v>2</v>
      </c>
      <c r="AX369">
        <v>16784683</v>
      </c>
      <c r="AY369">
        <v>1</v>
      </c>
      <c r="AZ369">
        <v>0</v>
      </c>
      <c r="BA369">
        <v>374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Y369*Source!I127</f>
        <v>8.4000000000000005E-2</v>
      </c>
      <c r="CY369">
        <f t="shared" si="63"/>
        <v>64.58</v>
      </c>
      <c r="CZ369">
        <f t="shared" si="64"/>
        <v>10.57</v>
      </c>
      <c r="DA369">
        <f t="shared" si="65"/>
        <v>6.11</v>
      </c>
      <c r="DB369">
        <f t="shared" si="58"/>
        <v>22.2</v>
      </c>
      <c r="DC369">
        <f t="shared" si="59"/>
        <v>0</v>
      </c>
    </row>
    <row r="370" spans="1:107" x14ac:dyDescent="0.2">
      <c r="A370">
        <f>ROW(Source!A127)</f>
        <v>127</v>
      </c>
      <c r="B370">
        <v>16784196</v>
      </c>
      <c r="C370">
        <v>16784662</v>
      </c>
      <c r="D370">
        <v>15169942</v>
      </c>
      <c r="E370">
        <v>1</v>
      </c>
      <c r="F370">
        <v>1</v>
      </c>
      <c r="G370">
        <v>1</v>
      </c>
      <c r="H370">
        <v>3</v>
      </c>
      <c r="I370" t="s">
        <v>700</v>
      </c>
      <c r="J370" t="s">
        <v>701</v>
      </c>
      <c r="K370" t="s">
        <v>560</v>
      </c>
      <c r="L370">
        <v>1346</v>
      </c>
      <c r="N370">
        <v>1009</v>
      </c>
      <c r="O370" t="s">
        <v>60</v>
      </c>
      <c r="P370" t="s">
        <v>60</v>
      </c>
      <c r="Q370">
        <v>1</v>
      </c>
      <c r="W370">
        <v>0</v>
      </c>
      <c r="X370">
        <v>103900845</v>
      </c>
      <c r="Y370">
        <v>10.4</v>
      </c>
      <c r="AA370">
        <v>55.23</v>
      </c>
      <c r="AB370">
        <v>0</v>
      </c>
      <c r="AC370">
        <v>0</v>
      </c>
      <c r="AD370">
        <v>0</v>
      </c>
      <c r="AE370">
        <v>9.0399999999999991</v>
      </c>
      <c r="AF370">
        <v>0</v>
      </c>
      <c r="AG370">
        <v>0</v>
      </c>
      <c r="AH370">
        <v>0</v>
      </c>
      <c r="AI370">
        <v>6.11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10.4</v>
      </c>
      <c r="AU370" t="s">
        <v>6</v>
      </c>
      <c r="AV370">
        <v>0</v>
      </c>
      <c r="AW370">
        <v>2</v>
      </c>
      <c r="AX370">
        <v>16784684</v>
      </c>
      <c r="AY370">
        <v>1</v>
      </c>
      <c r="AZ370">
        <v>0</v>
      </c>
      <c r="BA370">
        <v>375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Y370*Source!I127</f>
        <v>0.41600000000000004</v>
      </c>
      <c r="CY370">
        <f t="shared" si="63"/>
        <v>55.23</v>
      </c>
      <c r="CZ370">
        <f t="shared" si="64"/>
        <v>9.0399999999999991</v>
      </c>
      <c r="DA370">
        <f t="shared" si="65"/>
        <v>6.11</v>
      </c>
      <c r="DB370">
        <f t="shared" si="58"/>
        <v>94.02</v>
      </c>
      <c r="DC370">
        <f t="shared" si="59"/>
        <v>0</v>
      </c>
    </row>
    <row r="371" spans="1:107" x14ac:dyDescent="0.2">
      <c r="A371">
        <f>ROW(Source!A127)</f>
        <v>127</v>
      </c>
      <c r="B371">
        <v>16784196</v>
      </c>
      <c r="C371">
        <v>16784662</v>
      </c>
      <c r="D371">
        <v>15191488</v>
      </c>
      <c r="E371">
        <v>1</v>
      </c>
      <c r="F371">
        <v>1</v>
      </c>
      <c r="G371">
        <v>1</v>
      </c>
      <c r="H371">
        <v>3</v>
      </c>
      <c r="I371" t="s">
        <v>702</v>
      </c>
      <c r="J371" t="s">
        <v>703</v>
      </c>
      <c r="K371" t="s">
        <v>704</v>
      </c>
      <c r="L371">
        <v>1348</v>
      </c>
      <c r="N371">
        <v>1009</v>
      </c>
      <c r="O371" t="s">
        <v>65</v>
      </c>
      <c r="P371" t="s">
        <v>65</v>
      </c>
      <c r="Q371">
        <v>1000</v>
      </c>
      <c r="W371">
        <v>0</v>
      </c>
      <c r="X371">
        <v>-1598896989</v>
      </c>
      <c r="Y371">
        <v>0.15</v>
      </c>
      <c r="AA371">
        <v>30550</v>
      </c>
      <c r="AB371">
        <v>0</v>
      </c>
      <c r="AC371">
        <v>0</v>
      </c>
      <c r="AD371">
        <v>0</v>
      </c>
      <c r="AE371">
        <v>5000</v>
      </c>
      <c r="AF371">
        <v>0</v>
      </c>
      <c r="AG371">
        <v>0</v>
      </c>
      <c r="AH371">
        <v>0</v>
      </c>
      <c r="AI371">
        <v>6.11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0.15</v>
      </c>
      <c r="AU371" t="s">
        <v>6</v>
      </c>
      <c r="AV371">
        <v>0</v>
      </c>
      <c r="AW371">
        <v>2</v>
      </c>
      <c r="AX371">
        <v>16784685</v>
      </c>
      <c r="AY371">
        <v>1</v>
      </c>
      <c r="AZ371">
        <v>0</v>
      </c>
      <c r="BA371">
        <v>376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Y371*Source!I127</f>
        <v>6.0000000000000001E-3</v>
      </c>
      <c r="CY371">
        <f t="shared" si="63"/>
        <v>30550</v>
      </c>
      <c r="CZ371">
        <f t="shared" si="64"/>
        <v>5000</v>
      </c>
      <c r="DA371">
        <f t="shared" si="65"/>
        <v>6.11</v>
      </c>
      <c r="DB371">
        <f t="shared" si="58"/>
        <v>750</v>
      </c>
      <c r="DC371">
        <f t="shared" si="59"/>
        <v>0</v>
      </c>
    </row>
    <row r="372" spans="1:107" x14ac:dyDescent="0.2">
      <c r="A372">
        <f>ROW(Source!A127)</f>
        <v>127</v>
      </c>
      <c r="B372">
        <v>16784196</v>
      </c>
      <c r="C372">
        <v>16784662</v>
      </c>
      <c r="D372">
        <v>15203834</v>
      </c>
      <c r="E372">
        <v>1</v>
      </c>
      <c r="F372">
        <v>1</v>
      </c>
      <c r="G372">
        <v>1</v>
      </c>
      <c r="H372">
        <v>3</v>
      </c>
      <c r="I372" t="s">
        <v>705</v>
      </c>
      <c r="J372" t="s">
        <v>706</v>
      </c>
      <c r="K372" t="s">
        <v>707</v>
      </c>
      <c r="L372">
        <v>1346</v>
      </c>
      <c r="N372">
        <v>1009</v>
      </c>
      <c r="O372" t="s">
        <v>60</v>
      </c>
      <c r="P372" t="s">
        <v>60</v>
      </c>
      <c r="Q372">
        <v>1</v>
      </c>
      <c r="W372">
        <v>0</v>
      </c>
      <c r="X372">
        <v>210558753</v>
      </c>
      <c r="Y372">
        <v>3</v>
      </c>
      <c r="AA372">
        <v>174.75</v>
      </c>
      <c r="AB372">
        <v>0</v>
      </c>
      <c r="AC372">
        <v>0</v>
      </c>
      <c r="AD372">
        <v>0</v>
      </c>
      <c r="AE372">
        <v>28.6</v>
      </c>
      <c r="AF372">
        <v>0</v>
      </c>
      <c r="AG372">
        <v>0</v>
      </c>
      <c r="AH372">
        <v>0</v>
      </c>
      <c r="AI372">
        <v>6.11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3</v>
      </c>
      <c r="AU372" t="s">
        <v>6</v>
      </c>
      <c r="AV372">
        <v>0</v>
      </c>
      <c r="AW372">
        <v>2</v>
      </c>
      <c r="AX372">
        <v>16784686</v>
      </c>
      <c r="AY372">
        <v>1</v>
      </c>
      <c r="AZ372">
        <v>0</v>
      </c>
      <c r="BA372">
        <v>377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Y372*Source!I127</f>
        <v>0.12</v>
      </c>
      <c r="CY372">
        <f t="shared" si="63"/>
        <v>174.75</v>
      </c>
      <c r="CZ372">
        <f t="shared" si="64"/>
        <v>28.6</v>
      </c>
      <c r="DA372">
        <f t="shared" si="65"/>
        <v>6.11</v>
      </c>
      <c r="DB372">
        <f t="shared" si="58"/>
        <v>85.8</v>
      </c>
      <c r="DC372">
        <f t="shared" si="59"/>
        <v>0</v>
      </c>
    </row>
    <row r="373" spans="1:107" x14ac:dyDescent="0.2">
      <c r="A373">
        <f>ROW(Source!A127)</f>
        <v>127</v>
      </c>
      <c r="B373">
        <v>16784196</v>
      </c>
      <c r="C373">
        <v>16784662</v>
      </c>
      <c r="D373">
        <v>15219888</v>
      </c>
      <c r="E373">
        <v>1</v>
      </c>
      <c r="F373">
        <v>1</v>
      </c>
      <c r="G373">
        <v>1</v>
      </c>
      <c r="H373">
        <v>3</v>
      </c>
      <c r="I373" t="s">
        <v>275</v>
      </c>
      <c r="J373" t="s">
        <v>278</v>
      </c>
      <c r="K373" t="s">
        <v>276</v>
      </c>
      <c r="L373">
        <v>1354</v>
      </c>
      <c r="N373">
        <v>1010</v>
      </c>
      <c r="O373" t="s">
        <v>277</v>
      </c>
      <c r="P373" t="s">
        <v>277</v>
      </c>
      <c r="Q373">
        <v>1</v>
      </c>
      <c r="W373">
        <v>0</v>
      </c>
      <c r="X373">
        <v>248767468</v>
      </c>
      <c r="Y373">
        <v>100</v>
      </c>
      <c r="AA373">
        <v>949.74</v>
      </c>
      <c r="AB373">
        <v>0</v>
      </c>
      <c r="AC373">
        <v>0</v>
      </c>
      <c r="AD373">
        <v>0</v>
      </c>
      <c r="AE373">
        <v>155.44</v>
      </c>
      <c r="AF373">
        <v>0</v>
      </c>
      <c r="AG373">
        <v>0</v>
      </c>
      <c r="AH373">
        <v>0</v>
      </c>
      <c r="AI373">
        <v>6.11</v>
      </c>
      <c r="AJ373">
        <v>1</v>
      </c>
      <c r="AK373">
        <v>1</v>
      </c>
      <c r="AL373">
        <v>1</v>
      </c>
      <c r="AN373">
        <v>0</v>
      </c>
      <c r="AO373">
        <v>0</v>
      </c>
      <c r="AP373">
        <v>0</v>
      </c>
      <c r="AQ373">
        <v>0</v>
      </c>
      <c r="AR373">
        <v>0</v>
      </c>
      <c r="AS373" t="s">
        <v>6</v>
      </c>
      <c r="AT373">
        <v>100</v>
      </c>
      <c r="AU373" t="s">
        <v>6</v>
      </c>
      <c r="AV373">
        <v>0</v>
      </c>
      <c r="AW373">
        <v>1</v>
      </c>
      <c r="AX373">
        <v>-1</v>
      </c>
      <c r="AY373">
        <v>0</v>
      </c>
      <c r="AZ373">
        <v>0</v>
      </c>
      <c r="BA373" t="s">
        <v>6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Y373*Source!I127</f>
        <v>4</v>
      </c>
      <c r="CY373">
        <f t="shared" si="63"/>
        <v>949.74</v>
      </c>
      <c r="CZ373">
        <f t="shared" si="64"/>
        <v>155.44</v>
      </c>
      <c r="DA373">
        <f t="shared" si="65"/>
        <v>6.11</v>
      </c>
      <c r="DB373">
        <f t="shared" si="58"/>
        <v>15544</v>
      </c>
      <c r="DC373">
        <f t="shared" si="59"/>
        <v>0</v>
      </c>
    </row>
    <row r="374" spans="1:107" x14ac:dyDescent="0.2">
      <c r="A374">
        <f>ROW(Source!A127)</f>
        <v>127</v>
      </c>
      <c r="B374">
        <v>16784196</v>
      </c>
      <c r="C374">
        <v>16784662</v>
      </c>
      <c r="D374">
        <v>15164559</v>
      </c>
      <c r="E374">
        <v>17</v>
      </c>
      <c r="F374">
        <v>1</v>
      </c>
      <c r="G374">
        <v>1</v>
      </c>
      <c r="H374">
        <v>3</v>
      </c>
      <c r="I374" t="s">
        <v>708</v>
      </c>
      <c r="J374" t="s">
        <v>6</v>
      </c>
      <c r="K374" t="s">
        <v>709</v>
      </c>
      <c r="L374">
        <v>1374</v>
      </c>
      <c r="N374">
        <v>1013</v>
      </c>
      <c r="O374" t="s">
        <v>710</v>
      </c>
      <c r="P374" t="s">
        <v>710</v>
      </c>
      <c r="Q374">
        <v>1</v>
      </c>
      <c r="W374">
        <v>0</v>
      </c>
      <c r="X374">
        <v>-1731369543</v>
      </c>
      <c r="Y374">
        <v>54.92</v>
      </c>
      <c r="AA374">
        <v>1</v>
      </c>
      <c r="AB374">
        <v>0</v>
      </c>
      <c r="AC374">
        <v>0</v>
      </c>
      <c r="AD374">
        <v>0</v>
      </c>
      <c r="AE374">
        <v>1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54.92</v>
      </c>
      <c r="AU374" t="s">
        <v>6</v>
      </c>
      <c r="AV374">
        <v>0</v>
      </c>
      <c r="AW374">
        <v>2</v>
      </c>
      <c r="AX374">
        <v>16784687</v>
      </c>
      <c r="AY374">
        <v>1</v>
      </c>
      <c r="AZ374">
        <v>0</v>
      </c>
      <c r="BA374">
        <v>378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Y374*Source!I127</f>
        <v>2.1968000000000001</v>
      </c>
      <c r="CY374">
        <f t="shared" si="63"/>
        <v>1</v>
      </c>
      <c r="CZ374">
        <f t="shared" si="64"/>
        <v>1</v>
      </c>
      <c r="DA374">
        <f t="shared" si="65"/>
        <v>1</v>
      </c>
      <c r="DB374">
        <f t="shared" si="58"/>
        <v>54.92</v>
      </c>
      <c r="DC374">
        <f t="shared" si="59"/>
        <v>0</v>
      </c>
    </row>
    <row r="375" spans="1:107" x14ac:dyDescent="0.2">
      <c r="A375">
        <f>ROW(Source!A130)</f>
        <v>130</v>
      </c>
      <c r="B375">
        <v>16784195</v>
      </c>
      <c r="C375">
        <v>16784689</v>
      </c>
      <c r="D375">
        <v>15432258</v>
      </c>
      <c r="E375">
        <v>1</v>
      </c>
      <c r="F375">
        <v>1</v>
      </c>
      <c r="G375">
        <v>1</v>
      </c>
      <c r="H375">
        <v>1</v>
      </c>
      <c r="I375" t="s">
        <v>711</v>
      </c>
      <c r="J375" t="s">
        <v>6</v>
      </c>
      <c r="K375" t="s">
        <v>712</v>
      </c>
      <c r="L375">
        <v>1191</v>
      </c>
      <c r="N375">
        <v>1013</v>
      </c>
      <c r="O375" t="s">
        <v>495</v>
      </c>
      <c r="P375" t="s">
        <v>495</v>
      </c>
      <c r="Q375">
        <v>1</v>
      </c>
      <c r="W375">
        <v>0</v>
      </c>
      <c r="X375">
        <v>-608433632</v>
      </c>
      <c r="Y375">
        <v>85.3</v>
      </c>
      <c r="AA375">
        <v>0</v>
      </c>
      <c r="AB375">
        <v>0</v>
      </c>
      <c r="AC375">
        <v>0</v>
      </c>
      <c r="AD375">
        <v>8.4600000000000009</v>
      </c>
      <c r="AE375">
        <v>0</v>
      </c>
      <c r="AF375">
        <v>0</v>
      </c>
      <c r="AG375">
        <v>0</v>
      </c>
      <c r="AH375">
        <v>8.4600000000000009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85.3</v>
      </c>
      <c r="AU375" t="s">
        <v>6</v>
      </c>
      <c r="AV375">
        <v>1</v>
      </c>
      <c r="AW375">
        <v>2</v>
      </c>
      <c r="AX375">
        <v>16784694</v>
      </c>
      <c r="AY375">
        <v>1</v>
      </c>
      <c r="AZ375">
        <v>0</v>
      </c>
      <c r="BA375">
        <v>379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Y375*Source!I130</f>
        <v>5.1179999999999994</v>
      </c>
      <c r="CY375">
        <f>AD375</f>
        <v>8.4600000000000009</v>
      </c>
      <c r="CZ375">
        <f>AH375</f>
        <v>8.4600000000000009</v>
      </c>
      <c r="DA375">
        <f>AL375</f>
        <v>1</v>
      </c>
      <c r="DB375">
        <f t="shared" si="58"/>
        <v>721.64</v>
      </c>
      <c r="DC375">
        <f t="shared" si="59"/>
        <v>0</v>
      </c>
    </row>
    <row r="376" spans="1:107" x14ac:dyDescent="0.2">
      <c r="A376">
        <f>ROW(Source!A130)</f>
        <v>130</v>
      </c>
      <c r="B376">
        <v>16784195</v>
      </c>
      <c r="C376">
        <v>16784689</v>
      </c>
      <c r="D376">
        <v>15430395</v>
      </c>
      <c r="E376">
        <v>1</v>
      </c>
      <c r="F376">
        <v>1</v>
      </c>
      <c r="G376">
        <v>1</v>
      </c>
      <c r="H376">
        <v>1</v>
      </c>
      <c r="I376" t="s">
        <v>496</v>
      </c>
      <c r="J376" t="s">
        <v>6</v>
      </c>
      <c r="K376" t="s">
        <v>497</v>
      </c>
      <c r="L376">
        <v>1191</v>
      </c>
      <c r="N376">
        <v>1013</v>
      </c>
      <c r="O376" t="s">
        <v>495</v>
      </c>
      <c r="P376" t="s">
        <v>495</v>
      </c>
      <c r="Q376">
        <v>1</v>
      </c>
      <c r="W376">
        <v>0</v>
      </c>
      <c r="X376">
        <v>-1417349443</v>
      </c>
      <c r="Y376">
        <v>0.32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0.32</v>
      </c>
      <c r="AU376" t="s">
        <v>6</v>
      </c>
      <c r="AV376">
        <v>2</v>
      </c>
      <c r="AW376">
        <v>2</v>
      </c>
      <c r="AX376">
        <v>16784695</v>
      </c>
      <c r="AY376">
        <v>1</v>
      </c>
      <c r="AZ376">
        <v>0</v>
      </c>
      <c r="BA376">
        <v>380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Y376*Source!I130</f>
        <v>1.9199999999999998E-2</v>
      </c>
      <c r="CY376">
        <f>AD376</f>
        <v>0</v>
      </c>
      <c r="CZ376">
        <f>AH376</f>
        <v>0</v>
      </c>
      <c r="DA376">
        <f>AL376</f>
        <v>1</v>
      </c>
      <c r="DB376">
        <f t="shared" si="58"/>
        <v>0</v>
      </c>
      <c r="DC376">
        <f t="shared" si="59"/>
        <v>0</v>
      </c>
    </row>
    <row r="377" spans="1:107" x14ac:dyDescent="0.2">
      <c r="A377">
        <f>ROW(Source!A130)</f>
        <v>130</v>
      </c>
      <c r="B377">
        <v>16784195</v>
      </c>
      <c r="C377">
        <v>16784689</v>
      </c>
      <c r="D377">
        <v>15247974</v>
      </c>
      <c r="E377">
        <v>1</v>
      </c>
      <c r="F377">
        <v>1</v>
      </c>
      <c r="G377">
        <v>1</v>
      </c>
      <c r="H377">
        <v>2</v>
      </c>
      <c r="I377" t="s">
        <v>498</v>
      </c>
      <c r="J377" t="s">
        <v>499</v>
      </c>
      <c r="K377" t="s">
        <v>500</v>
      </c>
      <c r="L377">
        <v>1368</v>
      </c>
      <c r="N377">
        <v>1011</v>
      </c>
      <c r="O377" t="s">
        <v>501</v>
      </c>
      <c r="P377" t="s">
        <v>501</v>
      </c>
      <c r="Q377">
        <v>1</v>
      </c>
      <c r="W377">
        <v>0</v>
      </c>
      <c r="X377">
        <v>1188625873</v>
      </c>
      <c r="Y377">
        <v>0.32</v>
      </c>
      <c r="AA377">
        <v>0</v>
      </c>
      <c r="AB377">
        <v>31.26</v>
      </c>
      <c r="AC377">
        <v>13.5</v>
      </c>
      <c r="AD377">
        <v>0</v>
      </c>
      <c r="AE377">
        <v>0</v>
      </c>
      <c r="AF377">
        <v>31.26</v>
      </c>
      <c r="AG377">
        <v>13.5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0.32</v>
      </c>
      <c r="AU377" t="s">
        <v>6</v>
      </c>
      <c r="AV377">
        <v>0</v>
      </c>
      <c r="AW377">
        <v>2</v>
      </c>
      <c r="AX377">
        <v>16784696</v>
      </c>
      <c r="AY377">
        <v>1</v>
      </c>
      <c r="AZ377">
        <v>0</v>
      </c>
      <c r="BA377">
        <v>381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Y377*Source!I130</f>
        <v>1.9199999999999998E-2</v>
      </c>
      <c r="CY377">
        <f>AB377</f>
        <v>31.26</v>
      </c>
      <c r="CZ377">
        <f>AF377</f>
        <v>31.26</v>
      </c>
      <c r="DA377">
        <f>AJ377</f>
        <v>1</v>
      </c>
      <c r="DB377">
        <f t="shared" si="58"/>
        <v>10</v>
      </c>
      <c r="DC377">
        <f t="shared" si="59"/>
        <v>4.32</v>
      </c>
    </row>
    <row r="378" spans="1:107" x14ac:dyDescent="0.2">
      <c r="A378">
        <f>ROW(Source!A131)</f>
        <v>131</v>
      </c>
      <c r="B378">
        <v>16784196</v>
      </c>
      <c r="C378">
        <v>16784689</v>
      </c>
      <c r="D378">
        <v>15432258</v>
      </c>
      <c r="E378">
        <v>1</v>
      </c>
      <c r="F378">
        <v>1</v>
      </c>
      <c r="G378">
        <v>1</v>
      </c>
      <c r="H378">
        <v>1</v>
      </c>
      <c r="I378" t="s">
        <v>711</v>
      </c>
      <c r="J378" t="s">
        <v>6</v>
      </c>
      <c r="K378" t="s">
        <v>712</v>
      </c>
      <c r="L378">
        <v>1191</v>
      </c>
      <c r="N378">
        <v>1013</v>
      </c>
      <c r="O378" t="s">
        <v>495</v>
      </c>
      <c r="P378" t="s">
        <v>495</v>
      </c>
      <c r="Q378">
        <v>1</v>
      </c>
      <c r="W378">
        <v>0</v>
      </c>
      <c r="X378">
        <v>-608433632</v>
      </c>
      <c r="Y378">
        <v>85.3</v>
      </c>
      <c r="AA378">
        <v>0</v>
      </c>
      <c r="AB378">
        <v>0</v>
      </c>
      <c r="AC378">
        <v>0</v>
      </c>
      <c r="AD378">
        <v>51.69</v>
      </c>
      <c r="AE378">
        <v>0</v>
      </c>
      <c r="AF378">
        <v>0</v>
      </c>
      <c r="AG378">
        <v>0</v>
      </c>
      <c r="AH378">
        <v>8.4600000000000009</v>
      </c>
      <c r="AI378">
        <v>1</v>
      </c>
      <c r="AJ378">
        <v>1</v>
      </c>
      <c r="AK378">
        <v>1</v>
      </c>
      <c r="AL378">
        <v>6.11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85.3</v>
      </c>
      <c r="AU378" t="s">
        <v>6</v>
      </c>
      <c r="AV378">
        <v>1</v>
      </c>
      <c r="AW378">
        <v>2</v>
      </c>
      <c r="AX378">
        <v>16784694</v>
      </c>
      <c r="AY378">
        <v>1</v>
      </c>
      <c r="AZ378">
        <v>0</v>
      </c>
      <c r="BA378">
        <v>383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Y378*Source!I131</f>
        <v>5.1179999999999994</v>
      </c>
      <c r="CY378">
        <f>AD378</f>
        <v>51.69</v>
      </c>
      <c r="CZ378">
        <f>AH378</f>
        <v>8.4600000000000009</v>
      </c>
      <c r="DA378">
        <f>AL378</f>
        <v>6.11</v>
      </c>
      <c r="DB378">
        <f t="shared" si="58"/>
        <v>721.64</v>
      </c>
      <c r="DC378">
        <f t="shared" si="59"/>
        <v>0</v>
      </c>
    </row>
    <row r="379" spans="1:107" x14ac:dyDescent="0.2">
      <c r="A379">
        <f>ROW(Source!A131)</f>
        <v>131</v>
      </c>
      <c r="B379">
        <v>16784196</v>
      </c>
      <c r="C379">
        <v>16784689</v>
      </c>
      <c r="D379">
        <v>15430395</v>
      </c>
      <c r="E379">
        <v>1</v>
      </c>
      <c r="F379">
        <v>1</v>
      </c>
      <c r="G379">
        <v>1</v>
      </c>
      <c r="H379">
        <v>1</v>
      </c>
      <c r="I379" t="s">
        <v>496</v>
      </c>
      <c r="J379" t="s">
        <v>6</v>
      </c>
      <c r="K379" t="s">
        <v>497</v>
      </c>
      <c r="L379">
        <v>1191</v>
      </c>
      <c r="N379">
        <v>1013</v>
      </c>
      <c r="O379" t="s">
        <v>495</v>
      </c>
      <c r="P379" t="s">
        <v>495</v>
      </c>
      <c r="Q379">
        <v>1</v>
      </c>
      <c r="W379">
        <v>0</v>
      </c>
      <c r="X379">
        <v>-1417349443</v>
      </c>
      <c r="Y379">
        <v>0.32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6.11</v>
      </c>
      <c r="AL379">
        <v>1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6</v>
      </c>
      <c r="AT379">
        <v>0.32</v>
      </c>
      <c r="AU379" t="s">
        <v>6</v>
      </c>
      <c r="AV379">
        <v>2</v>
      </c>
      <c r="AW379">
        <v>2</v>
      </c>
      <c r="AX379">
        <v>16784695</v>
      </c>
      <c r="AY379">
        <v>1</v>
      </c>
      <c r="AZ379">
        <v>0</v>
      </c>
      <c r="BA379">
        <v>384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Y379*Source!I131</f>
        <v>1.9199999999999998E-2</v>
      </c>
      <c r="CY379">
        <f>AD379</f>
        <v>0</v>
      </c>
      <c r="CZ379">
        <f>AH379</f>
        <v>0</v>
      </c>
      <c r="DA379">
        <f>AL379</f>
        <v>1</v>
      </c>
      <c r="DB379">
        <f t="shared" si="58"/>
        <v>0</v>
      </c>
      <c r="DC379">
        <f t="shared" si="59"/>
        <v>0</v>
      </c>
    </row>
    <row r="380" spans="1:107" x14ac:dyDescent="0.2">
      <c r="A380">
        <f>ROW(Source!A131)</f>
        <v>131</v>
      </c>
      <c r="B380">
        <v>16784196</v>
      </c>
      <c r="C380">
        <v>16784689</v>
      </c>
      <c r="D380">
        <v>15247974</v>
      </c>
      <c r="E380">
        <v>1</v>
      </c>
      <c r="F380">
        <v>1</v>
      </c>
      <c r="G380">
        <v>1</v>
      </c>
      <c r="H380">
        <v>2</v>
      </c>
      <c r="I380" t="s">
        <v>498</v>
      </c>
      <c r="J380" t="s">
        <v>499</v>
      </c>
      <c r="K380" t="s">
        <v>500</v>
      </c>
      <c r="L380">
        <v>1368</v>
      </c>
      <c r="N380">
        <v>1011</v>
      </c>
      <c r="O380" t="s">
        <v>501</v>
      </c>
      <c r="P380" t="s">
        <v>501</v>
      </c>
      <c r="Q380">
        <v>1</v>
      </c>
      <c r="W380">
        <v>0</v>
      </c>
      <c r="X380">
        <v>1188625873</v>
      </c>
      <c r="Y380">
        <v>0.32</v>
      </c>
      <c r="AA380">
        <v>0</v>
      </c>
      <c r="AB380">
        <v>191</v>
      </c>
      <c r="AC380">
        <v>13.5</v>
      </c>
      <c r="AD380">
        <v>0</v>
      </c>
      <c r="AE380">
        <v>0</v>
      </c>
      <c r="AF380">
        <v>31.26</v>
      </c>
      <c r="AG380">
        <v>13.5</v>
      </c>
      <c r="AH380">
        <v>0</v>
      </c>
      <c r="AI380">
        <v>1</v>
      </c>
      <c r="AJ380">
        <v>6.11</v>
      </c>
      <c r="AK380">
        <v>1</v>
      </c>
      <c r="AL380">
        <v>1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6</v>
      </c>
      <c r="AT380">
        <v>0.32</v>
      </c>
      <c r="AU380" t="s">
        <v>6</v>
      </c>
      <c r="AV380">
        <v>0</v>
      </c>
      <c r="AW380">
        <v>2</v>
      </c>
      <c r="AX380">
        <v>16784696</v>
      </c>
      <c r="AY380">
        <v>1</v>
      </c>
      <c r="AZ380">
        <v>0</v>
      </c>
      <c r="BA380">
        <v>385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Y380*Source!I131</f>
        <v>1.9199999999999998E-2</v>
      </c>
      <c r="CY380">
        <f>AB380</f>
        <v>191</v>
      </c>
      <c r="CZ380">
        <f>AF380</f>
        <v>31.26</v>
      </c>
      <c r="DA380">
        <f>AJ380</f>
        <v>6.11</v>
      </c>
      <c r="DB380">
        <f t="shared" si="58"/>
        <v>10</v>
      </c>
      <c r="DC380">
        <f t="shared" si="59"/>
        <v>4.32</v>
      </c>
    </row>
    <row r="381" spans="1:107" x14ac:dyDescent="0.2">
      <c r="A381">
        <f>ROW(Source!A132)</f>
        <v>132</v>
      </c>
      <c r="B381">
        <v>16784195</v>
      </c>
      <c r="C381">
        <v>16784699</v>
      </c>
      <c r="D381">
        <v>15446300</v>
      </c>
      <c r="E381">
        <v>1</v>
      </c>
      <c r="F381">
        <v>1</v>
      </c>
      <c r="G381">
        <v>1</v>
      </c>
      <c r="H381">
        <v>1</v>
      </c>
      <c r="I381" t="s">
        <v>686</v>
      </c>
      <c r="J381" t="s">
        <v>6</v>
      </c>
      <c r="K381" t="s">
        <v>687</v>
      </c>
      <c r="L381">
        <v>1191</v>
      </c>
      <c r="N381">
        <v>1013</v>
      </c>
      <c r="O381" t="s">
        <v>495</v>
      </c>
      <c r="P381" t="s">
        <v>495</v>
      </c>
      <c r="Q381">
        <v>1</v>
      </c>
      <c r="W381">
        <v>0</v>
      </c>
      <c r="X381">
        <v>912892513</v>
      </c>
      <c r="Y381">
        <v>70.839999999999989</v>
      </c>
      <c r="AA381">
        <v>0</v>
      </c>
      <c r="AB381">
        <v>0</v>
      </c>
      <c r="AC381">
        <v>0</v>
      </c>
      <c r="AD381">
        <v>9.92</v>
      </c>
      <c r="AE381">
        <v>0</v>
      </c>
      <c r="AF381">
        <v>0</v>
      </c>
      <c r="AG381">
        <v>0</v>
      </c>
      <c r="AH381">
        <v>9.92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1</v>
      </c>
      <c r="AQ381">
        <v>0</v>
      </c>
      <c r="AR381">
        <v>0</v>
      </c>
      <c r="AS381" t="s">
        <v>6</v>
      </c>
      <c r="AT381">
        <v>61.6</v>
      </c>
      <c r="AU381" t="s">
        <v>28</v>
      </c>
      <c r="AV381">
        <v>1</v>
      </c>
      <c r="AW381">
        <v>2</v>
      </c>
      <c r="AX381">
        <v>16784709</v>
      </c>
      <c r="AY381">
        <v>1</v>
      </c>
      <c r="AZ381">
        <v>0</v>
      </c>
      <c r="BA381">
        <v>387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Y381*Source!I132</f>
        <v>8.5007999999999981</v>
      </c>
      <c r="CY381">
        <f>AD381</f>
        <v>9.92</v>
      </c>
      <c r="CZ381">
        <f>AH381</f>
        <v>9.92</v>
      </c>
      <c r="DA381">
        <f>AL381</f>
        <v>1</v>
      </c>
      <c r="DB381">
        <f>ROUND((ROUND(AT381*CZ381,2)*1.15),2)</f>
        <v>702.73</v>
      </c>
      <c r="DC381">
        <f>ROUND((ROUND(AT381*AG381,2)*1.15),2)</f>
        <v>0</v>
      </c>
    </row>
    <row r="382" spans="1:107" x14ac:dyDescent="0.2">
      <c r="A382">
        <f>ROW(Source!A132)</f>
        <v>132</v>
      </c>
      <c r="B382">
        <v>16784195</v>
      </c>
      <c r="C382">
        <v>16784699</v>
      </c>
      <c r="D382">
        <v>15430395</v>
      </c>
      <c r="E382">
        <v>1</v>
      </c>
      <c r="F382">
        <v>1</v>
      </c>
      <c r="G382">
        <v>1</v>
      </c>
      <c r="H382">
        <v>1</v>
      </c>
      <c r="I382" t="s">
        <v>496</v>
      </c>
      <c r="J382" t="s">
        <v>6</v>
      </c>
      <c r="K382" t="s">
        <v>497</v>
      </c>
      <c r="L382">
        <v>1191</v>
      </c>
      <c r="N382">
        <v>1013</v>
      </c>
      <c r="O382" t="s">
        <v>495</v>
      </c>
      <c r="P382" t="s">
        <v>495</v>
      </c>
      <c r="Q382">
        <v>1</v>
      </c>
      <c r="W382">
        <v>0</v>
      </c>
      <c r="X382">
        <v>-1417349443</v>
      </c>
      <c r="Y382">
        <v>7.0000000000000007E-2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6</v>
      </c>
      <c r="AT382">
        <v>7.0000000000000007E-2</v>
      </c>
      <c r="AU382" t="s">
        <v>6</v>
      </c>
      <c r="AV382">
        <v>2</v>
      </c>
      <c r="AW382">
        <v>2</v>
      </c>
      <c r="AX382">
        <v>16784710</v>
      </c>
      <c r="AY382">
        <v>1</v>
      </c>
      <c r="AZ382">
        <v>2048</v>
      </c>
      <c r="BA382">
        <v>388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Y382*Source!I132</f>
        <v>8.4000000000000012E-3</v>
      </c>
      <c r="CY382">
        <f>AD382</f>
        <v>0</v>
      </c>
      <c r="CZ382">
        <f>AH382</f>
        <v>0</v>
      </c>
      <c r="DA382">
        <f>AL382</f>
        <v>1</v>
      </c>
      <c r="DB382">
        <f>ROUND(ROUND(AT382*CZ382,2),2)</f>
        <v>0</v>
      </c>
      <c r="DC382">
        <f>ROUND(ROUND(AT382*AG382,2),2)</f>
        <v>0</v>
      </c>
    </row>
    <row r="383" spans="1:107" x14ac:dyDescent="0.2">
      <c r="A383">
        <f>ROW(Source!A132)</f>
        <v>132</v>
      </c>
      <c r="B383">
        <v>16784195</v>
      </c>
      <c r="C383">
        <v>16784699</v>
      </c>
      <c r="D383">
        <v>15247578</v>
      </c>
      <c r="E383">
        <v>1</v>
      </c>
      <c r="F383">
        <v>1</v>
      </c>
      <c r="G383">
        <v>1</v>
      </c>
      <c r="H383">
        <v>2</v>
      </c>
      <c r="I383" t="s">
        <v>713</v>
      </c>
      <c r="J383" t="s">
        <v>714</v>
      </c>
      <c r="K383" t="s">
        <v>715</v>
      </c>
      <c r="L383">
        <v>1368</v>
      </c>
      <c r="N383">
        <v>1011</v>
      </c>
      <c r="O383" t="s">
        <v>501</v>
      </c>
      <c r="P383" t="s">
        <v>501</v>
      </c>
      <c r="Q383">
        <v>1</v>
      </c>
      <c r="W383">
        <v>0</v>
      </c>
      <c r="X383">
        <v>-1460065968</v>
      </c>
      <c r="Y383">
        <v>3.7499999999999999E-2</v>
      </c>
      <c r="AA383">
        <v>0</v>
      </c>
      <c r="AB383">
        <v>86.4</v>
      </c>
      <c r="AC383">
        <v>13.5</v>
      </c>
      <c r="AD383">
        <v>0</v>
      </c>
      <c r="AE383">
        <v>0</v>
      </c>
      <c r="AF383">
        <v>86.4</v>
      </c>
      <c r="AG383">
        <v>13.5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1</v>
      </c>
      <c r="AQ383">
        <v>0</v>
      </c>
      <c r="AR383">
        <v>0</v>
      </c>
      <c r="AS383" t="s">
        <v>6</v>
      </c>
      <c r="AT383">
        <v>0.03</v>
      </c>
      <c r="AU383" t="s">
        <v>27</v>
      </c>
      <c r="AV383">
        <v>0</v>
      </c>
      <c r="AW383">
        <v>2</v>
      </c>
      <c r="AX383">
        <v>16784711</v>
      </c>
      <c r="AY383">
        <v>1</v>
      </c>
      <c r="AZ383">
        <v>0</v>
      </c>
      <c r="BA383">
        <v>389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Y383*Source!I132</f>
        <v>4.4999999999999997E-3</v>
      </c>
      <c r="CY383">
        <f>AB383</f>
        <v>86.4</v>
      </c>
      <c r="CZ383">
        <f>AF383</f>
        <v>86.4</v>
      </c>
      <c r="DA383">
        <f>AJ383</f>
        <v>1</v>
      </c>
      <c r="DB383">
        <f>ROUND((ROUND(AT383*CZ383,2)*1.25),2)</f>
        <v>3.24</v>
      </c>
      <c r="DC383">
        <f>ROUND((ROUND(AT383*AG383,2)*1.25),2)</f>
        <v>0.51</v>
      </c>
    </row>
    <row r="384" spans="1:107" x14ac:dyDescent="0.2">
      <c r="A384">
        <f>ROW(Source!A132)</f>
        <v>132</v>
      </c>
      <c r="B384">
        <v>16784195</v>
      </c>
      <c r="C384">
        <v>16784699</v>
      </c>
      <c r="D384">
        <v>15247680</v>
      </c>
      <c r="E384">
        <v>1</v>
      </c>
      <c r="F384">
        <v>1</v>
      </c>
      <c r="G384">
        <v>1</v>
      </c>
      <c r="H384">
        <v>2</v>
      </c>
      <c r="I384" t="s">
        <v>537</v>
      </c>
      <c r="J384" t="s">
        <v>538</v>
      </c>
      <c r="K384" t="s">
        <v>539</v>
      </c>
      <c r="L384">
        <v>1368</v>
      </c>
      <c r="N384">
        <v>1011</v>
      </c>
      <c r="O384" t="s">
        <v>501</v>
      </c>
      <c r="P384" t="s">
        <v>501</v>
      </c>
      <c r="Q384">
        <v>1</v>
      </c>
      <c r="W384">
        <v>0</v>
      </c>
      <c r="X384">
        <v>-1718674368</v>
      </c>
      <c r="Y384">
        <v>2.5000000000000001E-2</v>
      </c>
      <c r="AA384">
        <v>0</v>
      </c>
      <c r="AB384">
        <v>111.99</v>
      </c>
      <c r="AC384">
        <v>13.5</v>
      </c>
      <c r="AD384">
        <v>0</v>
      </c>
      <c r="AE384">
        <v>0</v>
      </c>
      <c r="AF384">
        <v>111.99</v>
      </c>
      <c r="AG384">
        <v>13.5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1</v>
      </c>
      <c r="AP384">
        <v>1</v>
      </c>
      <c r="AQ384">
        <v>0</v>
      </c>
      <c r="AR384">
        <v>0</v>
      </c>
      <c r="AS384" t="s">
        <v>6</v>
      </c>
      <c r="AT384">
        <v>0.02</v>
      </c>
      <c r="AU384" t="s">
        <v>27</v>
      </c>
      <c r="AV384">
        <v>0</v>
      </c>
      <c r="AW384">
        <v>2</v>
      </c>
      <c r="AX384">
        <v>16784712</v>
      </c>
      <c r="AY384">
        <v>1</v>
      </c>
      <c r="AZ384">
        <v>0</v>
      </c>
      <c r="BA384">
        <v>390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Y384*Source!I132</f>
        <v>3.0000000000000001E-3</v>
      </c>
      <c r="CY384">
        <f>AB384</f>
        <v>111.99</v>
      </c>
      <c r="CZ384">
        <f>AF384</f>
        <v>111.99</v>
      </c>
      <c r="DA384">
        <f>AJ384</f>
        <v>1</v>
      </c>
      <c r="DB384">
        <f>ROUND((ROUND(AT384*CZ384,2)*1.25),2)</f>
        <v>2.8</v>
      </c>
      <c r="DC384">
        <f>ROUND((ROUND(AT384*AG384,2)*1.25),2)</f>
        <v>0.34</v>
      </c>
    </row>
    <row r="385" spans="1:107" x14ac:dyDescent="0.2">
      <c r="A385">
        <f>ROW(Source!A132)</f>
        <v>132</v>
      </c>
      <c r="B385">
        <v>16784195</v>
      </c>
      <c r="C385">
        <v>16784699</v>
      </c>
      <c r="D385">
        <v>15249073</v>
      </c>
      <c r="E385">
        <v>1</v>
      </c>
      <c r="F385">
        <v>1</v>
      </c>
      <c r="G385">
        <v>1</v>
      </c>
      <c r="H385">
        <v>2</v>
      </c>
      <c r="I385" t="s">
        <v>504</v>
      </c>
      <c r="J385" t="s">
        <v>505</v>
      </c>
      <c r="K385" t="s">
        <v>506</v>
      </c>
      <c r="L385">
        <v>1368</v>
      </c>
      <c r="N385">
        <v>1011</v>
      </c>
      <c r="O385" t="s">
        <v>501</v>
      </c>
      <c r="P385" t="s">
        <v>501</v>
      </c>
      <c r="Q385">
        <v>1</v>
      </c>
      <c r="W385">
        <v>0</v>
      </c>
      <c r="X385">
        <v>1372534845</v>
      </c>
      <c r="Y385">
        <v>2.5000000000000001E-2</v>
      </c>
      <c r="AA385">
        <v>0</v>
      </c>
      <c r="AB385">
        <v>65.709999999999994</v>
      </c>
      <c r="AC385">
        <v>11.6</v>
      </c>
      <c r="AD385">
        <v>0</v>
      </c>
      <c r="AE385">
        <v>0</v>
      </c>
      <c r="AF385">
        <v>65.709999999999994</v>
      </c>
      <c r="AG385">
        <v>11.6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</v>
      </c>
      <c r="AT385">
        <v>0.02</v>
      </c>
      <c r="AU385" t="s">
        <v>27</v>
      </c>
      <c r="AV385">
        <v>0</v>
      </c>
      <c r="AW385">
        <v>2</v>
      </c>
      <c r="AX385">
        <v>16784713</v>
      </c>
      <c r="AY385">
        <v>1</v>
      </c>
      <c r="AZ385">
        <v>0</v>
      </c>
      <c r="BA385">
        <v>391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Y385*Source!I132</f>
        <v>3.0000000000000001E-3</v>
      </c>
      <c r="CY385">
        <f>AB385</f>
        <v>65.709999999999994</v>
      </c>
      <c r="CZ385">
        <f>AF385</f>
        <v>65.709999999999994</v>
      </c>
      <c r="DA385">
        <f>AJ385</f>
        <v>1</v>
      </c>
      <c r="DB385">
        <f>ROUND((ROUND(AT385*CZ385,2)*1.25),2)</f>
        <v>1.64</v>
      </c>
      <c r="DC385">
        <f>ROUND((ROUND(AT385*AG385,2)*1.25),2)</f>
        <v>0.28999999999999998</v>
      </c>
    </row>
    <row r="386" spans="1:107" x14ac:dyDescent="0.2">
      <c r="A386">
        <f>ROW(Source!A132)</f>
        <v>132</v>
      </c>
      <c r="B386">
        <v>16784195</v>
      </c>
      <c r="C386">
        <v>16784699</v>
      </c>
      <c r="D386">
        <v>15167286</v>
      </c>
      <c r="E386">
        <v>1</v>
      </c>
      <c r="F386">
        <v>1</v>
      </c>
      <c r="G386">
        <v>1</v>
      </c>
      <c r="H386">
        <v>3</v>
      </c>
      <c r="I386" t="s">
        <v>597</v>
      </c>
      <c r="J386" t="s">
        <v>598</v>
      </c>
      <c r="K386" t="s">
        <v>599</v>
      </c>
      <c r="L386">
        <v>1339</v>
      </c>
      <c r="N386">
        <v>1007</v>
      </c>
      <c r="O386" t="s">
        <v>128</v>
      </c>
      <c r="P386" t="s">
        <v>128</v>
      </c>
      <c r="Q386">
        <v>1</v>
      </c>
      <c r="W386">
        <v>0</v>
      </c>
      <c r="X386">
        <v>-1660354250</v>
      </c>
      <c r="Y386">
        <v>1.57</v>
      </c>
      <c r="AA386">
        <v>2.44</v>
      </c>
      <c r="AB386">
        <v>0</v>
      </c>
      <c r="AC386">
        <v>0</v>
      </c>
      <c r="AD386">
        <v>0</v>
      </c>
      <c r="AE386">
        <v>2.44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1.57</v>
      </c>
      <c r="AU386" t="s">
        <v>6</v>
      </c>
      <c r="AV386">
        <v>0</v>
      </c>
      <c r="AW386">
        <v>2</v>
      </c>
      <c r="AX386">
        <v>16784714</v>
      </c>
      <c r="AY386">
        <v>1</v>
      </c>
      <c r="AZ386">
        <v>0</v>
      </c>
      <c r="BA386">
        <v>392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Y386*Source!I132</f>
        <v>0.18840000000000001</v>
      </c>
      <c r="CY386">
        <f>AA386</f>
        <v>2.44</v>
      </c>
      <c r="CZ386">
        <f>AE386</f>
        <v>2.44</v>
      </c>
      <c r="DA386">
        <f>AI386</f>
        <v>1</v>
      </c>
      <c r="DB386">
        <f>ROUND(ROUND(AT386*CZ386,2),2)</f>
        <v>3.83</v>
      </c>
      <c r="DC386">
        <f>ROUND(ROUND(AT386*AG386,2),2)</f>
        <v>0</v>
      </c>
    </row>
    <row r="387" spans="1:107" x14ac:dyDescent="0.2">
      <c r="A387">
        <f>ROW(Source!A132)</f>
        <v>132</v>
      </c>
      <c r="B387">
        <v>16784195</v>
      </c>
      <c r="C387">
        <v>16784699</v>
      </c>
      <c r="D387">
        <v>15169924</v>
      </c>
      <c r="E387">
        <v>1</v>
      </c>
      <c r="F387">
        <v>1</v>
      </c>
      <c r="G387">
        <v>1</v>
      </c>
      <c r="H387">
        <v>3</v>
      </c>
      <c r="I387" t="s">
        <v>716</v>
      </c>
      <c r="J387" t="s">
        <v>717</v>
      </c>
      <c r="K387" t="s">
        <v>718</v>
      </c>
      <c r="L387">
        <v>1348</v>
      </c>
      <c r="N387">
        <v>1009</v>
      </c>
      <c r="O387" t="s">
        <v>65</v>
      </c>
      <c r="P387" t="s">
        <v>65</v>
      </c>
      <c r="Q387">
        <v>1000</v>
      </c>
      <c r="W387">
        <v>0</v>
      </c>
      <c r="X387">
        <v>-405065451</v>
      </c>
      <c r="Y387">
        <v>2.66E-3</v>
      </c>
      <c r="AA387">
        <v>14830</v>
      </c>
      <c r="AB387">
        <v>0</v>
      </c>
      <c r="AC387">
        <v>0</v>
      </c>
      <c r="AD387">
        <v>0</v>
      </c>
      <c r="AE387">
        <v>14830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2.66E-3</v>
      </c>
      <c r="AU387" t="s">
        <v>6</v>
      </c>
      <c r="AV387">
        <v>0</v>
      </c>
      <c r="AW387">
        <v>2</v>
      </c>
      <c r="AX387">
        <v>16784715</v>
      </c>
      <c r="AY387">
        <v>1</v>
      </c>
      <c r="AZ387">
        <v>0</v>
      </c>
      <c r="BA387">
        <v>393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Y387*Source!I132</f>
        <v>3.1920000000000001E-4</v>
      </c>
      <c r="CY387">
        <f>AA387</f>
        <v>14830</v>
      </c>
      <c r="CZ387">
        <f>AE387</f>
        <v>14830</v>
      </c>
      <c r="DA387">
        <f>AI387</f>
        <v>1</v>
      </c>
      <c r="DB387">
        <f>ROUND(ROUND(AT387*CZ387,2),2)</f>
        <v>39.450000000000003</v>
      </c>
      <c r="DC387">
        <f>ROUND(ROUND(AT387*AG387,2),2)</f>
        <v>0</v>
      </c>
    </row>
    <row r="388" spans="1:107" x14ac:dyDescent="0.2">
      <c r="A388">
        <f>ROW(Source!A132)</f>
        <v>132</v>
      </c>
      <c r="B388">
        <v>16784195</v>
      </c>
      <c r="C388">
        <v>16784699</v>
      </c>
      <c r="D388">
        <v>15170781</v>
      </c>
      <c r="E388">
        <v>1</v>
      </c>
      <c r="F388">
        <v>1</v>
      </c>
      <c r="G388">
        <v>1</v>
      </c>
      <c r="H388">
        <v>3</v>
      </c>
      <c r="I388" t="s">
        <v>719</v>
      </c>
      <c r="J388" t="s">
        <v>720</v>
      </c>
      <c r="K388" t="s">
        <v>721</v>
      </c>
      <c r="L388">
        <v>1346</v>
      </c>
      <c r="N388">
        <v>1009</v>
      </c>
      <c r="O388" t="s">
        <v>60</v>
      </c>
      <c r="P388" t="s">
        <v>60</v>
      </c>
      <c r="Q388">
        <v>1</v>
      </c>
      <c r="W388">
        <v>0</v>
      </c>
      <c r="X388">
        <v>1537401615</v>
      </c>
      <c r="Y388">
        <v>4</v>
      </c>
      <c r="AA388">
        <v>24.41</v>
      </c>
      <c r="AB388">
        <v>0</v>
      </c>
      <c r="AC388">
        <v>0</v>
      </c>
      <c r="AD388">
        <v>0</v>
      </c>
      <c r="AE388">
        <v>24.41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4</v>
      </c>
      <c r="AU388" t="s">
        <v>6</v>
      </c>
      <c r="AV388">
        <v>0</v>
      </c>
      <c r="AW388">
        <v>2</v>
      </c>
      <c r="AX388">
        <v>16784716</v>
      </c>
      <c r="AY388">
        <v>1</v>
      </c>
      <c r="AZ388">
        <v>0</v>
      </c>
      <c r="BA388">
        <v>394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Y388*Source!I132</f>
        <v>0.48</v>
      </c>
      <c r="CY388">
        <f>AA388</f>
        <v>24.41</v>
      </c>
      <c r="CZ388">
        <f>AE388</f>
        <v>24.41</v>
      </c>
      <c r="DA388">
        <f>AI388</f>
        <v>1</v>
      </c>
      <c r="DB388">
        <f>ROUND(ROUND(AT388*CZ388,2),2)</f>
        <v>97.64</v>
      </c>
      <c r="DC388">
        <f>ROUND(ROUND(AT388*AG388,2),2)</f>
        <v>0</v>
      </c>
    </row>
    <row r="389" spans="1:107" x14ac:dyDescent="0.2">
      <c r="A389">
        <f>ROW(Source!A132)</f>
        <v>132</v>
      </c>
      <c r="B389">
        <v>16784195</v>
      </c>
      <c r="C389">
        <v>16784699</v>
      </c>
      <c r="D389">
        <v>15233614</v>
      </c>
      <c r="E389">
        <v>1</v>
      </c>
      <c r="F389">
        <v>1</v>
      </c>
      <c r="G389">
        <v>1</v>
      </c>
      <c r="H389">
        <v>3</v>
      </c>
      <c r="I389" t="s">
        <v>292</v>
      </c>
      <c r="J389" t="s">
        <v>294</v>
      </c>
      <c r="K389" t="s">
        <v>293</v>
      </c>
      <c r="L389">
        <v>1301</v>
      </c>
      <c r="N389">
        <v>1003</v>
      </c>
      <c r="O389" t="s">
        <v>45</v>
      </c>
      <c r="P389" t="s">
        <v>45</v>
      </c>
      <c r="Q389">
        <v>1</v>
      </c>
      <c r="W389">
        <v>0</v>
      </c>
      <c r="X389">
        <v>2126135618</v>
      </c>
      <c r="Y389">
        <v>99.8</v>
      </c>
      <c r="AA389">
        <v>70.400000000000006</v>
      </c>
      <c r="AB389">
        <v>0</v>
      </c>
      <c r="AC389">
        <v>0</v>
      </c>
      <c r="AD389">
        <v>0</v>
      </c>
      <c r="AE389">
        <v>70.400000000000006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0</v>
      </c>
      <c r="AP389">
        <v>0</v>
      </c>
      <c r="AQ389">
        <v>0</v>
      </c>
      <c r="AR389">
        <v>0</v>
      </c>
      <c r="AS389" t="s">
        <v>6</v>
      </c>
      <c r="AT389">
        <v>99.8</v>
      </c>
      <c r="AU389" t="s">
        <v>6</v>
      </c>
      <c r="AV389">
        <v>0</v>
      </c>
      <c r="AW389">
        <v>1</v>
      </c>
      <c r="AX389">
        <v>-1</v>
      </c>
      <c r="AY389">
        <v>0</v>
      </c>
      <c r="AZ389">
        <v>0</v>
      </c>
      <c r="BA389" t="s">
        <v>6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Y389*Source!I132</f>
        <v>11.975999999999999</v>
      </c>
      <c r="CY389">
        <f>AA389</f>
        <v>70.400000000000006</v>
      </c>
      <c r="CZ389">
        <f>AE389</f>
        <v>70.400000000000006</v>
      </c>
      <c r="DA389">
        <f>AI389</f>
        <v>1</v>
      </c>
      <c r="DB389">
        <f>ROUND(ROUND(AT389*CZ389,2),2)</f>
        <v>7025.92</v>
      </c>
      <c r="DC389">
        <f>ROUND(ROUND(AT389*AG389,2),2)</f>
        <v>0</v>
      </c>
    </row>
    <row r="390" spans="1:107" x14ac:dyDescent="0.2">
      <c r="A390">
        <f>ROW(Source!A133)</f>
        <v>133</v>
      </c>
      <c r="B390">
        <v>16784196</v>
      </c>
      <c r="C390">
        <v>16784699</v>
      </c>
      <c r="D390">
        <v>15446300</v>
      </c>
      <c r="E390">
        <v>1</v>
      </c>
      <c r="F390">
        <v>1</v>
      </c>
      <c r="G390">
        <v>1</v>
      </c>
      <c r="H390">
        <v>1</v>
      </c>
      <c r="I390" t="s">
        <v>686</v>
      </c>
      <c r="J390" t="s">
        <v>6</v>
      </c>
      <c r="K390" t="s">
        <v>687</v>
      </c>
      <c r="L390">
        <v>1191</v>
      </c>
      <c r="N390">
        <v>1013</v>
      </c>
      <c r="O390" t="s">
        <v>495</v>
      </c>
      <c r="P390" t="s">
        <v>495</v>
      </c>
      <c r="Q390">
        <v>1</v>
      </c>
      <c r="W390">
        <v>0</v>
      </c>
      <c r="X390">
        <v>912892513</v>
      </c>
      <c r="Y390">
        <v>70.839999999999989</v>
      </c>
      <c r="AA390">
        <v>0</v>
      </c>
      <c r="AB390">
        <v>0</v>
      </c>
      <c r="AC390">
        <v>0</v>
      </c>
      <c r="AD390">
        <v>60.61</v>
      </c>
      <c r="AE390">
        <v>0</v>
      </c>
      <c r="AF390">
        <v>0</v>
      </c>
      <c r="AG390">
        <v>0</v>
      </c>
      <c r="AH390">
        <v>9.92</v>
      </c>
      <c r="AI390">
        <v>1</v>
      </c>
      <c r="AJ390">
        <v>1</v>
      </c>
      <c r="AK390">
        <v>1</v>
      </c>
      <c r="AL390">
        <v>6.11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6</v>
      </c>
      <c r="AT390">
        <v>61.6</v>
      </c>
      <c r="AU390" t="s">
        <v>28</v>
      </c>
      <c r="AV390">
        <v>1</v>
      </c>
      <c r="AW390">
        <v>2</v>
      </c>
      <c r="AX390">
        <v>16784709</v>
      </c>
      <c r="AY390">
        <v>1</v>
      </c>
      <c r="AZ390">
        <v>0</v>
      </c>
      <c r="BA390">
        <v>398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Y390*Source!I133</f>
        <v>8.5007999999999981</v>
      </c>
      <c r="CY390">
        <f>AD390</f>
        <v>60.61</v>
      </c>
      <c r="CZ390">
        <f>AH390</f>
        <v>9.92</v>
      </c>
      <c r="DA390">
        <f>AL390</f>
        <v>6.11</v>
      </c>
      <c r="DB390">
        <f>ROUND((ROUND(AT390*CZ390,2)*1.15),2)</f>
        <v>702.73</v>
      </c>
      <c r="DC390">
        <f>ROUND((ROUND(AT390*AG390,2)*1.15),2)</f>
        <v>0</v>
      </c>
    </row>
    <row r="391" spans="1:107" x14ac:dyDescent="0.2">
      <c r="A391">
        <f>ROW(Source!A133)</f>
        <v>133</v>
      </c>
      <c r="B391">
        <v>16784196</v>
      </c>
      <c r="C391">
        <v>16784699</v>
      </c>
      <c r="D391">
        <v>15430395</v>
      </c>
      <c r="E391">
        <v>1</v>
      </c>
      <c r="F391">
        <v>1</v>
      </c>
      <c r="G391">
        <v>1</v>
      </c>
      <c r="H391">
        <v>1</v>
      </c>
      <c r="I391" t="s">
        <v>496</v>
      </c>
      <c r="J391" t="s">
        <v>6</v>
      </c>
      <c r="K391" t="s">
        <v>497</v>
      </c>
      <c r="L391">
        <v>1191</v>
      </c>
      <c r="N391">
        <v>1013</v>
      </c>
      <c r="O391" t="s">
        <v>495</v>
      </c>
      <c r="P391" t="s">
        <v>495</v>
      </c>
      <c r="Q391">
        <v>1</v>
      </c>
      <c r="W391">
        <v>0</v>
      </c>
      <c r="X391">
        <v>-1417349443</v>
      </c>
      <c r="Y391">
        <v>7.0000000000000007E-2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6.11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7.0000000000000007E-2</v>
      </c>
      <c r="AU391" t="s">
        <v>6</v>
      </c>
      <c r="AV391">
        <v>2</v>
      </c>
      <c r="AW391">
        <v>2</v>
      </c>
      <c r="AX391">
        <v>16784710</v>
      </c>
      <c r="AY391">
        <v>1</v>
      </c>
      <c r="AZ391">
        <v>2048</v>
      </c>
      <c r="BA391">
        <v>399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Y391*Source!I133</f>
        <v>8.4000000000000012E-3</v>
      </c>
      <c r="CY391">
        <f>AD391</f>
        <v>0</v>
      </c>
      <c r="CZ391">
        <f>AH391</f>
        <v>0</v>
      </c>
      <c r="DA391">
        <f>AL391</f>
        <v>1</v>
      </c>
      <c r="DB391">
        <f>ROUND(ROUND(AT391*CZ391,2),2)</f>
        <v>0</v>
      </c>
      <c r="DC391">
        <f>ROUND(ROUND(AT391*AG391,2),2)</f>
        <v>0</v>
      </c>
    </row>
    <row r="392" spans="1:107" x14ac:dyDescent="0.2">
      <c r="A392">
        <f>ROW(Source!A133)</f>
        <v>133</v>
      </c>
      <c r="B392">
        <v>16784196</v>
      </c>
      <c r="C392">
        <v>16784699</v>
      </c>
      <c r="D392">
        <v>15247578</v>
      </c>
      <c r="E392">
        <v>1</v>
      </c>
      <c r="F392">
        <v>1</v>
      </c>
      <c r="G392">
        <v>1</v>
      </c>
      <c r="H392">
        <v>2</v>
      </c>
      <c r="I392" t="s">
        <v>713</v>
      </c>
      <c r="J392" t="s">
        <v>714</v>
      </c>
      <c r="K392" t="s">
        <v>715</v>
      </c>
      <c r="L392">
        <v>1368</v>
      </c>
      <c r="N392">
        <v>1011</v>
      </c>
      <c r="O392" t="s">
        <v>501</v>
      </c>
      <c r="P392" t="s">
        <v>501</v>
      </c>
      <c r="Q392">
        <v>1</v>
      </c>
      <c r="W392">
        <v>0</v>
      </c>
      <c r="X392">
        <v>-1460065968</v>
      </c>
      <c r="Y392">
        <v>3.7499999999999999E-2</v>
      </c>
      <c r="AA392">
        <v>0</v>
      </c>
      <c r="AB392">
        <v>527.9</v>
      </c>
      <c r="AC392">
        <v>13.5</v>
      </c>
      <c r="AD392">
        <v>0</v>
      </c>
      <c r="AE392">
        <v>0</v>
      </c>
      <c r="AF392">
        <v>86.4</v>
      </c>
      <c r="AG392">
        <v>13.5</v>
      </c>
      <c r="AH392">
        <v>0</v>
      </c>
      <c r="AI392">
        <v>1</v>
      </c>
      <c r="AJ392">
        <v>6.11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6</v>
      </c>
      <c r="AT392">
        <v>0.03</v>
      </c>
      <c r="AU392" t="s">
        <v>27</v>
      </c>
      <c r="AV392">
        <v>0</v>
      </c>
      <c r="AW392">
        <v>2</v>
      </c>
      <c r="AX392">
        <v>16784711</v>
      </c>
      <c r="AY392">
        <v>1</v>
      </c>
      <c r="AZ392">
        <v>0</v>
      </c>
      <c r="BA392">
        <v>400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Y392*Source!I133</f>
        <v>4.4999999999999997E-3</v>
      </c>
      <c r="CY392">
        <f>AB392</f>
        <v>527.9</v>
      </c>
      <c r="CZ392">
        <f>AF392</f>
        <v>86.4</v>
      </c>
      <c r="DA392">
        <f>AJ392</f>
        <v>6.11</v>
      </c>
      <c r="DB392">
        <f>ROUND((ROUND(AT392*CZ392,2)*1.25),2)</f>
        <v>3.24</v>
      </c>
      <c r="DC392">
        <f>ROUND((ROUND(AT392*AG392,2)*1.25),2)</f>
        <v>0.51</v>
      </c>
    </row>
    <row r="393" spans="1:107" x14ac:dyDescent="0.2">
      <c r="A393">
        <f>ROW(Source!A133)</f>
        <v>133</v>
      </c>
      <c r="B393">
        <v>16784196</v>
      </c>
      <c r="C393">
        <v>16784699</v>
      </c>
      <c r="D393">
        <v>15247680</v>
      </c>
      <c r="E393">
        <v>1</v>
      </c>
      <c r="F393">
        <v>1</v>
      </c>
      <c r="G393">
        <v>1</v>
      </c>
      <c r="H393">
        <v>2</v>
      </c>
      <c r="I393" t="s">
        <v>537</v>
      </c>
      <c r="J393" t="s">
        <v>538</v>
      </c>
      <c r="K393" t="s">
        <v>539</v>
      </c>
      <c r="L393">
        <v>1368</v>
      </c>
      <c r="N393">
        <v>1011</v>
      </c>
      <c r="O393" t="s">
        <v>501</v>
      </c>
      <c r="P393" t="s">
        <v>501</v>
      </c>
      <c r="Q393">
        <v>1</v>
      </c>
      <c r="W393">
        <v>0</v>
      </c>
      <c r="X393">
        <v>-1718674368</v>
      </c>
      <c r="Y393">
        <v>2.5000000000000001E-2</v>
      </c>
      <c r="AA393">
        <v>0</v>
      </c>
      <c r="AB393">
        <v>684.26</v>
      </c>
      <c r="AC393">
        <v>13.5</v>
      </c>
      <c r="AD393">
        <v>0</v>
      </c>
      <c r="AE393">
        <v>0</v>
      </c>
      <c r="AF393">
        <v>111.99</v>
      </c>
      <c r="AG393">
        <v>13.5</v>
      </c>
      <c r="AH393">
        <v>0</v>
      </c>
      <c r="AI393">
        <v>1</v>
      </c>
      <c r="AJ393">
        <v>6.11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</v>
      </c>
      <c r="AT393">
        <v>0.02</v>
      </c>
      <c r="AU393" t="s">
        <v>27</v>
      </c>
      <c r="AV393">
        <v>0</v>
      </c>
      <c r="AW393">
        <v>2</v>
      </c>
      <c r="AX393">
        <v>16784712</v>
      </c>
      <c r="AY393">
        <v>1</v>
      </c>
      <c r="AZ393">
        <v>0</v>
      </c>
      <c r="BA393">
        <v>401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Y393*Source!I133</f>
        <v>3.0000000000000001E-3</v>
      </c>
      <c r="CY393">
        <f>AB393</f>
        <v>684.26</v>
      </c>
      <c r="CZ393">
        <f>AF393</f>
        <v>111.99</v>
      </c>
      <c r="DA393">
        <f>AJ393</f>
        <v>6.11</v>
      </c>
      <c r="DB393">
        <f>ROUND((ROUND(AT393*CZ393,2)*1.25),2)</f>
        <v>2.8</v>
      </c>
      <c r="DC393">
        <f>ROUND((ROUND(AT393*AG393,2)*1.25),2)</f>
        <v>0.34</v>
      </c>
    </row>
    <row r="394" spans="1:107" x14ac:dyDescent="0.2">
      <c r="A394">
        <f>ROW(Source!A133)</f>
        <v>133</v>
      </c>
      <c r="B394">
        <v>16784196</v>
      </c>
      <c r="C394">
        <v>16784699</v>
      </c>
      <c r="D394">
        <v>15249073</v>
      </c>
      <c r="E394">
        <v>1</v>
      </c>
      <c r="F394">
        <v>1</v>
      </c>
      <c r="G394">
        <v>1</v>
      </c>
      <c r="H394">
        <v>2</v>
      </c>
      <c r="I394" t="s">
        <v>504</v>
      </c>
      <c r="J394" t="s">
        <v>505</v>
      </c>
      <c r="K394" t="s">
        <v>506</v>
      </c>
      <c r="L394">
        <v>1368</v>
      </c>
      <c r="N394">
        <v>1011</v>
      </c>
      <c r="O394" t="s">
        <v>501</v>
      </c>
      <c r="P394" t="s">
        <v>501</v>
      </c>
      <c r="Q394">
        <v>1</v>
      </c>
      <c r="W394">
        <v>0</v>
      </c>
      <c r="X394">
        <v>1372534845</v>
      </c>
      <c r="Y394">
        <v>2.5000000000000001E-2</v>
      </c>
      <c r="AA394">
        <v>0</v>
      </c>
      <c r="AB394">
        <v>401.49</v>
      </c>
      <c r="AC394">
        <v>11.6</v>
      </c>
      <c r="AD394">
        <v>0</v>
      </c>
      <c r="AE394">
        <v>0</v>
      </c>
      <c r="AF394">
        <v>65.709999999999994</v>
      </c>
      <c r="AG394">
        <v>11.6</v>
      </c>
      <c r="AH394">
        <v>0</v>
      </c>
      <c r="AI394">
        <v>1</v>
      </c>
      <c r="AJ394">
        <v>6.11</v>
      </c>
      <c r="AK394">
        <v>1</v>
      </c>
      <c r="AL394">
        <v>1</v>
      </c>
      <c r="AN394">
        <v>0</v>
      </c>
      <c r="AO394">
        <v>1</v>
      </c>
      <c r="AP394">
        <v>1</v>
      </c>
      <c r="AQ394">
        <v>0</v>
      </c>
      <c r="AR394">
        <v>0</v>
      </c>
      <c r="AS394" t="s">
        <v>6</v>
      </c>
      <c r="AT394">
        <v>0.02</v>
      </c>
      <c r="AU394" t="s">
        <v>27</v>
      </c>
      <c r="AV394">
        <v>0</v>
      </c>
      <c r="AW394">
        <v>2</v>
      </c>
      <c r="AX394">
        <v>16784713</v>
      </c>
      <c r="AY394">
        <v>1</v>
      </c>
      <c r="AZ394">
        <v>0</v>
      </c>
      <c r="BA394">
        <v>402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Y394*Source!I133</f>
        <v>3.0000000000000001E-3</v>
      </c>
      <c r="CY394">
        <f>AB394</f>
        <v>401.49</v>
      </c>
      <c r="CZ394">
        <f>AF394</f>
        <v>65.709999999999994</v>
      </c>
      <c r="DA394">
        <f>AJ394</f>
        <v>6.11</v>
      </c>
      <c r="DB394">
        <f>ROUND((ROUND(AT394*CZ394,2)*1.25),2)</f>
        <v>1.64</v>
      </c>
      <c r="DC394">
        <f>ROUND((ROUND(AT394*AG394,2)*1.25),2)</f>
        <v>0.28999999999999998</v>
      </c>
    </row>
    <row r="395" spans="1:107" x14ac:dyDescent="0.2">
      <c r="A395">
        <f>ROW(Source!A133)</f>
        <v>133</v>
      </c>
      <c r="B395">
        <v>16784196</v>
      </c>
      <c r="C395">
        <v>16784699</v>
      </c>
      <c r="D395">
        <v>15167286</v>
      </c>
      <c r="E395">
        <v>1</v>
      </c>
      <c r="F395">
        <v>1</v>
      </c>
      <c r="G395">
        <v>1</v>
      </c>
      <c r="H395">
        <v>3</v>
      </c>
      <c r="I395" t="s">
        <v>597</v>
      </c>
      <c r="J395" t="s">
        <v>598</v>
      </c>
      <c r="K395" t="s">
        <v>599</v>
      </c>
      <c r="L395">
        <v>1339</v>
      </c>
      <c r="N395">
        <v>1007</v>
      </c>
      <c r="O395" t="s">
        <v>128</v>
      </c>
      <c r="P395" t="s">
        <v>128</v>
      </c>
      <c r="Q395">
        <v>1</v>
      </c>
      <c r="W395">
        <v>0</v>
      </c>
      <c r="X395">
        <v>-1660354250</v>
      </c>
      <c r="Y395">
        <v>1.57</v>
      </c>
      <c r="AA395">
        <v>14.91</v>
      </c>
      <c r="AB395">
        <v>0</v>
      </c>
      <c r="AC395">
        <v>0</v>
      </c>
      <c r="AD395">
        <v>0</v>
      </c>
      <c r="AE395">
        <v>2.44</v>
      </c>
      <c r="AF395">
        <v>0</v>
      </c>
      <c r="AG395">
        <v>0</v>
      </c>
      <c r="AH395">
        <v>0</v>
      </c>
      <c r="AI395">
        <v>6.11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1.57</v>
      </c>
      <c r="AU395" t="s">
        <v>6</v>
      </c>
      <c r="AV395">
        <v>0</v>
      </c>
      <c r="AW395">
        <v>2</v>
      </c>
      <c r="AX395">
        <v>16784714</v>
      </c>
      <c r="AY395">
        <v>1</v>
      </c>
      <c r="AZ395">
        <v>0</v>
      </c>
      <c r="BA395">
        <v>403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Y395*Source!I133</f>
        <v>0.18840000000000001</v>
      </c>
      <c r="CY395">
        <f>AA395</f>
        <v>14.91</v>
      </c>
      <c r="CZ395">
        <f>AE395</f>
        <v>2.44</v>
      </c>
      <c r="DA395">
        <f>AI395</f>
        <v>6.11</v>
      </c>
      <c r="DB395">
        <f t="shared" ref="DB395:DB410" si="66">ROUND(ROUND(AT395*CZ395,2),2)</f>
        <v>3.83</v>
      </c>
      <c r="DC395">
        <f t="shared" ref="DC395:DC410" si="67">ROUND(ROUND(AT395*AG395,2),2)</f>
        <v>0</v>
      </c>
    </row>
    <row r="396" spans="1:107" x14ac:dyDescent="0.2">
      <c r="A396">
        <f>ROW(Source!A133)</f>
        <v>133</v>
      </c>
      <c r="B396">
        <v>16784196</v>
      </c>
      <c r="C396">
        <v>16784699</v>
      </c>
      <c r="D396">
        <v>15169924</v>
      </c>
      <c r="E396">
        <v>1</v>
      </c>
      <c r="F396">
        <v>1</v>
      </c>
      <c r="G396">
        <v>1</v>
      </c>
      <c r="H396">
        <v>3</v>
      </c>
      <c r="I396" t="s">
        <v>716</v>
      </c>
      <c r="J396" t="s">
        <v>717</v>
      </c>
      <c r="K396" t="s">
        <v>718</v>
      </c>
      <c r="L396">
        <v>1348</v>
      </c>
      <c r="N396">
        <v>1009</v>
      </c>
      <c r="O396" t="s">
        <v>65</v>
      </c>
      <c r="P396" t="s">
        <v>65</v>
      </c>
      <c r="Q396">
        <v>1000</v>
      </c>
      <c r="W396">
        <v>0</v>
      </c>
      <c r="X396">
        <v>-405065451</v>
      </c>
      <c r="Y396">
        <v>2.66E-3</v>
      </c>
      <c r="AA396">
        <v>90611.3</v>
      </c>
      <c r="AB396">
        <v>0</v>
      </c>
      <c r="AC396">
        <v>0</v>
      </c>
      <c r="AD396">
        <v>0</v>
      </c>
      <c r="AE396">
        <v>14830</v>
      </c>
      <c r="AF396">
        <v>0</v>
      </c>
      <c r="AG396">
        <v>0</v>
      </c>
      <c r="AH396">
        <v>0</v>
      </c>
      <c r="AI396">
        <v>6.11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2.66E-3</v>
      </c>
      <c r="AU396" t="s">
        <v>6</v>
      </c>
      <c r="AV396">
        <v>0</v>
      </c>
      <c r="AW396">
        <v>2</v>
      </c>
      <c r="AX396">
        <v>16784715</v>
      </c>
      <c r="AY396">
        <v>1</v>
      </c>
      <c r="AZ396">
        <v>0</v>
      </c>
      <c r="BA396">
        <v>404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Y396*Source!I133</f>
        <v>3.1920000000000001E-4</v>
      </c>
      <c r="CY396">
        <f>AA396</f>
        <v>90611.3</v>
      </c>
      <c r="CZ396">
        <f>AE396</f>
        <v>14830</v>
      </c>
      <c r="DA396">
        <f>AI396</f>
        <v>6.11</v>
      </c>
      <c r="DB396">
        <f t="shared" si="66"/>
        <v>39.450000000000003</v>
      </c>
      <c r="DC396">
        <f t="shared" si="67"/>
        <v>0</v>
      </c>
    </row>
    <row r="397" spans="1:107" x14ac:dyDescent="0.2">
      <c r="A397">
        <f>ROW(Source!A133)</f>
        <v>133</v>
      </c>
      <c r="B397">
        <v>16784196</v>
      </c>
      <c r="C397">
        <v>16784699</v>
      </c>
      <c r="D397">
        <v>15170781</v>
      </c>
      <c r="E397">
        <v>1</v>
      </c>
      <c r="F397">
        <v>1</v>
      </c>
      <c r="G397">
        <v>1</v>
      </c>
      <c r="H397">
        <v>3</v>
      </c>
      <c r="I397" t="s">
        <v>719</v>
      </c>
      <c r="J397" t="s">
        <v>720</v>
      </c>
      <c r="K397" t="s">
        <v>721</v>
      </c>
      <c r="L397">
        <v>1346</v>
      </c>
      <c r="N397">
        <v>1009</v>
      </c>
      <c r="O397" t="s">
        <v>60</v>
      </c>
      <c r="P397" t="s">
        <v>60</v>
      </c>
      <c r="Q397">
        <v>1</v>
      </c>
      <c r="W397">
        <v>0</v>
      </c>
      <c r="X397">
        <v>1537401615</v>
      </c>
      <c r="Y397">
        <v>4</v>
      </c>
      <c r="AA397">
        <v>149.15</v>
      </c>
      <c r="AB397">
        <v>0</v>
      </c>
      <c r="AC397">
        <v>0</v>
      </c>
      <c r="AD397">
        <v>0</v>
      </c>
      <c r="AE397">
        <v>24.41</v>
      </c>
      <c r="AF397">
        <v>0</v>
      </c>
      <c r="AG397">
        <v>0</v>
      </c>
      <c r="AH397">
        <v>0</v>
      </c>
      <c r="AI397">
        <v>6.11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4</v>
      </c>
      <c r="AU397" t="s">
        <v>6</v>
      </c>
      <c r="AV397">
        <v>0</v>
      </c>
      <c r="AW397">
        <v>2</v>
      </c>
      <c r="AX397">
        <v>16784716</v>
      </c>
      <c r="AY397">
        <v>1</v>
      </c>
      <c r="AZ397">
        <v>0</v>
      </c>
      <c r="BA397">
        <v>405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Y397*Source!I133</f>
        <v>0.48</v>
      </c>
      <c r="CY397">
        <f>AA397</f>
        <v>149.15</v>
      </c>
      <c r="CZ397">
        <f>AE397</f>
        <v>24.41</v>
      </c>
      <c r="DA397">
        <f>AI397</f>
        <v>6.11</v>
      </c>
      <c r="DB397">
        <f t="shared" si="66"/>
        <v>97.64</v>
      </c>
      <c r="DC397">
        <f t="shared" si="67"/>
        <v>0</v>
      </c>
    </row>
    <row r="398" spans="1:107" x14ac:dyDescent="0.2">
      <c r="A398">
        <f>ROW(Source!A133)</f>
        <v>133</v>
      </c>
      <c r="B398">
        <v>16784196</v>
      </c>
      <c r="C398">
        <v>16784699</v>
      </c>
      <c r="D398">
        <v>15233614</v>
      </c>
      <c r="E398">
        <v>1</v>
      </c>
      <c r="F398">
        <v>1</v>
      </c>
      <c r="G398">
        <v>1</v>
      </c>
      <c r="H398">
        <v>3</v>
      </c>
      <c r="I398" t="s">
        <v>292</v>
      </c>
      <c r="J398" t="s">
        <v>294</v>
      </c>
      <c r="K398" t="s">
        <v>293</v>
      </c>
      <c r="L398">
        <v>1301</v>
      </c>
      <c r="N398">
        <v>1003</v>
      </c>
      <c r="O398" t="s">
        <v>45</v>
      </c>
      <c r="P398" t="s">
        <v>45</v>
      </c>
      <c r="Q398">
        <v>1</v>
      </c>
      <c r="W398">
        <v>0</v>
      </c>
      <c r="X398">
        <v>2126135618</v>
      </c>
      <c r="Y398">
        <v>99.8</v>
      </c>
      <c r="AA398">
        <v>430.14</v>
      </c>
      <c r="AB398">
        <v>0</v>
      </c>
      <c r="AC398">
        <v>0</v>
      </c>
      <c r="AD398">
        <v>0</v>
      </c>
      <c r="AE398">
        <v>70.400000000000006</v>
      </c>
      <c r="AF398">
        <v>0</v>
      </c>
      <c r="AG398">
        <v>0</v>
      </c>
      <c r="AH398">
        <v>0</v>
      </c>
      <c r="AI398">
        <v>6.11</v>
      </c>
      <c r="AJ398">
        <v>1</v>
      </c>
      <c r="AK398">
        <v>1</v>
      </c>
      <c r="AL398">
        <v>1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6</v>
      </c>
      <c r="AT398">
        <v>99.8</v>
      </c>
      <c r="AU398" t="s">
        <v>6</v>
      </c>
      <c r="AV398">
        <v>0</v>
      </c>
      <c r="AW398">
        <v>1</v>
      </c>
      <c r="AX398">
        <v>-1</v>
      </c>
      <c r="AY398">
        <v>0</v>
      </c>
      <c r="AZ398">
        <v>0</v>
      </c>
      <c r="BA398" t="s">
        <v>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Y398*Source!I133</f>
        <v>11.975999999999999</v>
      </c>
      <c r="CY398">
        <f>AA398</f>
        <v>430.14</v>
      </c>
      <c r="CZ398">
        <f>AE398</f>
        <v>70.400000000000006</v>
      </c>
      <c r="DA398">
        <f>AI398</f>
        <v>6.11</v>
      </c>
      <c r="DB398">
        <f t="shared" si="66"/>
        <v>7025.92</v>
      </c>
      <c r="DC398">
        <f t="shared" si="67"/>
        <v>0</v>
      </c>
    </row>
    <row r="399" spans="1:107" x14ac:dyDescent="0.2">
      <c r="A399">
        <f>ROW(Source!A136)</f>
        <v>136</v>
      </c>
      <c r="B399">
        <v>16784195</v>
      </c>
      <c r="C399">
        <v>16784952</v>
      </c>
      <c r="D399">
        <v>15430767</v>
      </c>
      <c r="E399">
        <v>1</v>
      </c>
      <c r="F399">
        <v>1</v>
      </c>
      <c r="G399">
        <v>1</v>
      </c>
      <c r="H399">
        <v>1</v>
      </c>
      <c r="I399" t="s">
        <v>527</v>
      </c>
      <c r="J399" t="s">
        <v>6</v>
      </c>
      <c r="K399" t="s">
        <v>528</v>
      </c>
      <c r="L399">
        <v>1191</v>
      </c>
      <c r="N399">
        <v>1013</v>
      </c>
      <c r="O399" t="s">
        <v>495</v>
      </c>
      <c r="P399" t="s">
        <v>495</v>
      </c>
      <c r="Q399">
        <v>1</v>
      </c>
      <c r="W399">
        <v>0</v>
      </c>
      <c r="X399">
        <v>-400197608</v>
      </c>
      <c r="Y399">
        <v>63.84</v>
      </c>
      <c r="AA399">
        <v>0</v>
      </c>
      <c r="AB399">
        <v>0</v>
      </c>
      <c r="AC399">
        <v>0</v>
      </c>
      <c r="AD399">
        <v>8.5299999999999994</v>
      </c>
      <c r="AE399">
        <v>0</v>
      </c>
      <c r="AF399">
        <v>0</v>
      </c>
      <c r="AG399">
        <v>0</v>
      </c>
      <c r="AH399">
        <v>8.5299999999999994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6</v>
      </c>
      <c r="AT399">
        <v>63.84</v>
      </c>
      <c r="AU399" t="s">
        <v>6</v>
      </c>
      <c r="AV399">
        <v>1</v>
      </c>
      <c r="AW399">
        <v>2</v>
      </c>
      <c r="AX399">
        <v>16784953</v>
      </c>
      <c r="AY399">
        <v>1</v>
      </c>
      <c r="AZ399">
        <v>0</v>
      </c>
      <c r="BA399">
        <v>409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Y399*Source!I136</f>
        <v>1.2768000000000002</v>
      </c>
      <c r="CY399">
        <f>AD399</f>
        <v>8.5299999999999994</v>
      </c>
      <c r="CZ399">
        <f>AH399</f>
        <v>8.5299999999999994</v>
      </c>
      <c r="DA399">
        <f>AL399</f>
        <v>1</v>
      </c>
      <c r="DB399">
        <f t="shared" si="66"/>
        <v>544.55999999999995</v>
      </c>
      <c r="DC399">
        <f t="shared" si="67"/>
        <v>0</v>
      </c>
    </row>
    <row r="400" spans="1:107" x14ac:dyDescent="0.2">
      <c r="A400">
        <f>ROW(Source!A136)</f>
        <v>136</v>
      </c>
      <c r="B400">
        <v>16784195</v>
      </c>
      <c r="C400">
        <v>16784952</v>
      </c>
      <c r="D400">
        <v>15430395</v>
      </c>
      <c r="E400">
        <v>1</v>
      </c>
      <c r="F400">
        <v>1</v>
      </c>
      <c r="G400">
        <v>1</v>
      </c>
      <c r="H400">
        <v>1</v>
      </c>
      <c r="I400" t="s">
        <v>496</v>
      </c>
      <c r="J400" t="s">
        <v>6</v>
      </c>
      <c r="K400" t="s">
        <v>497</v>
      </c>
      <c r="L400">
        <v>1191</v>
      </c>
      <c r="N400">
        <v>1013</v>
      </c>
      <c r="O400" t="s">
        <v>495</v>
      </c>
      <c r="P400" t="s">
        <v>495</v>
      </c>
      <c r="Q400">
        <v>1</v>
      </c>
      <c r="W400">
        <v>0</v>
      </c>
      <c r="X400">
        <v>-1417349443</v>
      </c>
      <c r="Y400">
        <v>0.28999999999999998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0</v>
      </c>
      <c r="AQ400">
        <v>0</v>
      </c>
      <c r="AR400">
        <v>0</v>
      </c>
      <c r="AS400" t="s">
        <v>6</v>
      </c>
      <c r="AT400">
        <v>0.28999999999999998</v>
      </c>
      <c r="AU400" t="s">
        <v>6</v>
      </c>
      <c r="AV400">
        <v>2</v>
      </c>
      <c r="AW400">
        <v>2</v>
      </c>
      <c r="AX400">
        <v>16784954</v>
      </c>
      <c r="AY400">
        <v>1</v>
      </c>
      <c r="AZ400">
        <v>0</v>
      </c>
      <c r="BA400">
        <v>410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Y400*Source!I136</f>
        <v>5.7999999999999996E-3</v>
      </c>
      <c r="CY400">
        <f>AD400</f>
        <v>0</v>
      </c>
      <c r="CZ400">
        <f>AH400</f>
        <v>0</v>
      </c>
      <c r="DA400">
        <f>AL400</f>
        <v>1</v>
      </c>
      <c r="DB400">
        <f t="shared" si="66"/>
        <v>0</v>
      </c>
      <c r="DC400">
        <f t="shared" si="67"/>
        <v>0</v>
      </c>
    </row>
    <row r="401" spans="1:107" x14ac:dyDescent="0.2">
      <c r="A401">
        <f>ROW(Source!A136)</f>
        <v>136</v>
      </c>
      <c r="B401">
        <v>16784195</v>
      </c>
      <c r="C401">
        <v>16784952</v>
      </c>
      <c r="D401">
        <v>15247974</v>
      </c>
      <c r="E401">
        <v>1</v>
      </c>
      <c r="F401">
        <v>1</v>
      </c>
      <c r="G401">
        <v>1</v>
      </c>
      <c r="H401">
        <v>2</v>
      </c>
      <c r="I401" t="s">
        <v>498</v>
      </c>
      <c r="J401" t="s">
        <v>499</v>
      </c>
      <c r="K401" t="s">
        <v>500</v>
      </c>
      <c r="L401">
        <v>1368</v>
      </c>
      <c r="N401">
        <v>1011</v>
      </c>
      <c r="O401" t="s">
        <v>501</v>
      </c>
      <c r="P401" t="s">
        <v>501</v>
      </c>
      <c r="Q401">
        <v>1</v>
      </c>
      <c r="W401">
        <v>0</v>
      </c>
      <c r="X401">
        <v>1188625873</v>
      </c>
      <c r="Y401">
        <v>0.28999999999999998</v>
      </c>
      <c r="AA401">
        <v>0</v>
      </c>
      <c r="AB401">
        <v>31.26</v>
      </c>
      <c r="AC401">
        <v>13.5</v>
      </c>
      <c r="AD401">
        <v>0</v>
      </c>
      <c r="AE401">
        <v>0</v>
      </c>
      <c r="AF401">
        <v>31.26</v>
      </c>
      <c r="AG401">
        <v>13.5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0.28999999999999998</v>
      </c>
      <c r="AU401" t="s">
        <v>6</v>
      </c>
      <c r="AV401">
        <v>0</v>
      </c>
      <c r="AW401">
        <v>2</v>
      </c>
      <c r="AX401">
        <v>16784955</v>
      </c>
      <c r="AY401">
        <v>1</v>
      </c>
      <c r="AZ401">
        <v>0</v>
      </c>
      <c r="BA401">
        <v>411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Y401*Source!I136</f>
        <v>5.7999999999999996E-3</v>
      </c>
      <c r="CY401">
        <f>AB401</f>
        <v>31.26</v>
      </c>
      <c r="CZ401">
        <f>AF401</f>
        <v>31.26</v>
      </c>
      <c r="DA401">
        <f>AJ401</f>
        <v>1</v>
      </c>
      <c r="DB401">
        <f t="shared" si="66"/>
        <v>9.07</v>
      </c>
      <c r="DC401">
        <f t="shared" si="67"/>
        <v>3.92</v>
      </c>
    </row>
    <row r="402" spans="1:107" x14ac:dyDescent="0.2">
      <c r="A402">
        <f>ROW(Source!A137)</f>
        <v>137</v>
      </c>
      <c r="B402">
        <v>16784196</v>
      </c>
      <c r="C402">
        <v>16784952</v>
      </c>
      <c r="D402">
        <v>15430767</v>
      </c>
      <c r="E402">
        <v>1</v>
      </c>
      <c r="F402">
        <v>1</v>
      </c>
      <c r="G402">
        <v>1</v>
      </c>
      <c r="H402">
        <v>1</v>
      </c>
      <c r="I402" t="s">
        <v>527</v>
      </c>
      <c r="J402" t="s">
        <v>6</v>
      </c>
      <c r="K402" t="s">
        <v>528</v>
      </c>
      <c r="L402">
        <v>1191</v>
      </c>
      <c r="N402">
        <v>1013</v>
      </c>
      <c r="O402" t="s">
        <v>495</v>
      </c>
      <c r="P402" t="s">
        <v>495</v>
      </c>
      <c r="Q402">
        <v>1</v>
      </c>
      <c r="W402">
        <v>0</v>
      </c>
      <c r="X402">
        <v>-400197608</v>
      </c>
      <c r="Y402">
        <v>63.84</v>
      </c>
      <c r="AA402">
        <v>0</v>
      </c>
      <c r="AB402">
        <v>0</v>
      </c>
      <c r="AC402">
        <v>0</v>
      </c>
      <c r="AD402">
        <v>52.12</v>
      </c>
      <c r="AE402">
        <v>0</v>
      </c>
      <c r="AF402">
        <v>0</v>
      </c>
      <c r="AG402">
        <v>0</v>
      </c>
      <c r="AH402">
        <v>8.5299999999999994</v>
      </c>
      <c r="AI402">
        <v>1</v>
      </c>
      <c r="AJ402">
        <v>1</v>
      </c>
      <c r="AK402">
        <v>1</v>
      </c>
      <c r="AL402">
        <v>6.11</v>
      </c>
      <c r="AN402">
        <v>0</v>
      </c>
      <c r="AO402">
        <v>1</v>
      </c>
      <c r="AP402">
        <v>0</v>
      </c>
      <c r="AQ402">
        <v>0</v>
      </c>
      <c r="AR402">
        <v>0</v>
      </c>
      <c r="AS402" t="s">
        <v>6</v>
      </c>
      <c r="AT402">
        <v>63.84</v>
      </c>
      <c r="AU402" t="s">
        <v>6</v>
      </c>
      <c r="AV402">
        <v>1</v>
      </c>
      <c r="AW402">
        <v>2</v>
      </c>
      <c r="AX402">
        <v>16784953</v>
      </c>
      <c r="AY402">
        <v>1</v>
      </c>
      <c r="AZ402">
        <v>0</v>
      </c>
      <c r="BA402">
        <v>413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Y402*Source!I137</f>
        <v>1.2768000000000002</v>
      </c>
      <c r="CY402">
        <f>AD402</f>
        <v>52.12</v>
      </c>
      <c r="CZ402">
        <f>AH402</f>
        <v>8.5299999999999994</v>
      </c>
      <c r="DA402">
        <f>AL402</f>
        <v>6.11</v>
      </c>
      <c r="DB402">
        <f t="shared" si="66"/>
        <v>544.55999999999995</v>
      </c>
      <c r="DC402">
        <f t="shared" si="67"/>
        <v>0</v>
      </c>
    </row>
    <row r="403" spans="1:107" x14ac:dyDescent="0.2">
      <c r="A403">
        <f>ROW(Source!A137)</f>
        <v>137</v>
      </c>
      <c r="B403">
        <v>16784196</v>
      </c>
      <c r="C403">
        <v>16784952</v>
      </c>
      <c r="D403">
        <v>15430395</v>
      </c>
      <c r="E403">
        <v>1</v>
      </c>
      <c r="F403">
        <v>1</v>
      </c>
      <c r="G403">
        <v>1</v>
      </c>
      <c r="H403">
        <v>1</v>
      </c>
      <c r="I403" t="s">
        <v>496</v>
      </c>
      <c r="J403" t="s">
        <v>6</v>
      </c>
      <c r="K403" t="s">
        <v>497</v>
      </c>
      <c r="L403">
        <v>1191</v>
      </c>
      <c r="N403">
        <v>1013</v>
      </c>
      <c r="O403" t="s">
        <v>495</v>
      </c>
      <c r="P403" t="s">
        <v>495</v>
      </c>
      <c r="Q403">
        <v>1</v>
      </c>
      <c r="W403">
        <v>0</v>
      </c>
      <c r="X403">
        <v>-1417349443</v>
      </c>
      <c r="Y403">
        <v>0.28999999999999998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6.11</v>
      </c>
      <c r="AL403">
        <v>1</v>
      </c>
      <c r="AN403">
        <v>0</v>
      </c>
      <c r="AO403">
        <v>1</v>
      </c>
      <c r="AP403">
        <v>0</v>
      </c>
      <c r="AQ403">
        <v>0</v>
      </c>
      <c r="AR403">
        <v>0</v>
      </c>
      <c r="AS403" t="s">
        <v>6</v>
      </c>
      <c r="AT403">
        <v>0.28999999999999998</v>
      </c>
      <c r="AU403" t="s">
        <v>6</v>
      </c>
      <c r="AV403">
        <v>2</v>
      </c>
      <c r="AW403">
        <v>2</v>
      </c>
      <c r="AX403">
        <v>16784954</v>
      </c>
      <c r="AY403">
        <v>1</v>
      </c>
      <c r="AZ403">
        <v>0</v>
      </c>
      <c r="BA403">
        <v>414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Y403*Source!I137</f>
        <v>5.7999999999999996E-3</v>
      </c>
      <c r="CY403">
        <f>AD403</f>
        <v>0</v>
      </c>
      <c r="CZ403">
        <f>AH403</f>
        <v>0</v>
      </c>
      <c r="DA403">
        <f>AL403</f>
        <v>1</v>
      </c>
      <c r="DB403">
        <f t="shared" si="66"/>
        <v>0</v>
      </c>
      <c r="DC403">
        <f t="shared" si="67"/>
        <v>0</v>
      </c>
    </row>
    <row r="404" spans="1:107" x14ac:dyDescent="0.2">
      <c r="A404">
        <f>ROW(Source!A137)</f>
        <v>137</v>
      </c>
      <c r="B404">
        <v>16784196</v>
      </c>
      <c r="C404">
        <v>16784952</v>
      </c>
      <c r="D404">
        <v>15247974</v>
      </c>
      <c r="E404">
        <v>1</v>
      </c>
      <c r="F404">
        <v>1</v>
      </c>
      <c r="G404">
        <v>1</v>
      </c>
      <c r="H404">
        <v>2</v>
      </c>
      <c r="I404" t="s">
        <v>498</v>
      </c>
      <c r="J404" t="s">
        <v>499</v>
      </c>
      <c r="K404" t="s">
        <v>500</v>
      </c>
      <c r="L404">
        <v>1368</v>
      </c>
      <c r="N404">
        <v>1011</v>
      </c>
      <c r="O404" t="s">
        <v>501</v>
      </c>
      <c r="P404" t="s">
        <v>501</v>
      </c>
      <c r="Q404">
        <v>1</v>
      </c>
      <c r="W404">
        <v>0</v>
      </c>
      <c r="X404">
        <v>1188625873</v>
      </c>
      <c r="Y404">
        <v>0.28999999999999998</v>
      </c>
      <c r="AA404">
        <v>0</v>
      </c>
      <c r="AB404">
        <v>191</v>
      </c>
      <c r="AC404">
        <v>13.5</v>
      </c>
      <c r="AD404">
        <v>0</v>
      </c>
      <c r="AE404">
        <v>0</v>
      </c>
      <c r="AF404">
        <v>31.26</v>
      </c>
      <c r="AG404">
        <v>13.5</v>
      </c>
      <c r="AH404">
        <v>0</v>
      </c>
      <c r="AI404">
        <v>1</v>
      </c>
      <c r="AJ404">
        <v>6.11</v>
      </c>
      <c r="AK404">
        <v>1</v>
      </c>
      <c r="AL404">
        <v>1</v>
      </c>
      <c r="AN404">
        <v>0</v>
      </c>
      <c r="AO404">
        <v>1</v>
      </c>
      <c r="AP404">
        <v>0</v>
      </c>
      <c r="AQ404">
        <v>0</v>
      </c>
      <c r="AR404">
        <v>0</v>
      </c>
      <c r="AS404" t="s">
        <v>6</v>
      </c>
      <c r="AT404">
        <v>0.28999999999999998</v>
      </c>
      <c r="AU404" t="s">
        <v>6</v>
      </c>
      <c r="AV404">
        <v>0</v>
      </c>
      <c r="AW404">
        <v>2</v>
      </c>
      <c r="AX404">
        <v>16784955</v>
      </c>
      <c r="AY404">
        <v>1</v>
      </c>
      <c r="AZ404">
        <v>0</v>
      </c>
      <c r="BA404">
        <v>415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Y404*Source!I137</f>
        <v>5.7999999999999996E-3</v>
      </c>
      <c r="CY404">
        <f>AB404</f>
        <v>191</v>
      </c>
      <c r="CZ404">
        <f>AF404</f>
        <v>31.26</v>
      </c>
      <c r="DA404">
        <f>AJ404</f>
        <v>6.11</v>
      </c>
      <c r="DB404">
        <f t="shared" si="66"/>
        <v>9.07</v>
      </c>
      <c r="DC404">
        <f t="shared" si="67"/>
        <v>3.92</v>
      </c>
    </row>
    <row r="405" spans="1:107" x14ac:dyDescent="0.2">
      <c r="A405">
        <f>ROW(Source!A138)</f>
        <v>138</v>
      </c>
      <c r="B405">
        <v>16784195</v>
      </c>
      <c r="C405">
        <v>16784958</v>
      </c>
      <c r="D405">
        <v>15430767</v>
      </c>
      <c r="E405">
        <v>1</v>
      </c>
      <c r="F405">
        <v>1</v>
      </c>
      <c r="G405">
        <v>1</v>
      </c>
      <c r="H405">
        <v>1</v>
      </c>
      <c r="I405" t="s">
        <v>527</v>
      </c>
      <c r="J405" t="s">
        <v>6</v>
      </c>
      <c r="K405" t="s">
        <v>528</v>
      </c>
      <c r="L405">
        <v>1191</v>
      </c>
      <c r="N405">
        <v>1013</v>
      </c>
      <c r="O405" t="s">
        <v>495</v>
      </c>
      <c r="P405" t="s">
        <v>495</v>
      </c>
      <c r="Q405">
        <v>1</v>
      </c>
      <c r="W405">
        <v>0</v>
      </c>
      <c r="X405">
        <v>-400197608</v>
      </c>
      <c r="Y405">
        <v>51.3</v>
      </c>
      <c r="AA405">
        <v>0</v>
      </c>
      <c r="AB405">
        <v>0</v>
      </c>
      <c r="AC405">
        <v>0</v>
      </c>
      <c r="AD405">
        <v>8.5299999999999994</v>
      </c>
      <c r="AE405">
        <v>0</v>
      </c>
      <c r="AF405">
        <v>0</v>
      </c>
      <c r="AG405">
        <v>0</v>
      </c>
      <c r="AH405">
        <v>8.5299999999999994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0</v>
      </c>
      <c r="AQ405">
        <v>0</v>
      </c>
      <c r="AR405">
        <v>0</v>
      </c>
      <c r="AS405" t="s">
        <v>6</v>
      </c>
      <c r="AT405">
        <v>51.3</v>
      </c>
      <c r="AU405" t="s">
        <v>6</v>
      </c>
      <c r="AV405">
        <v>1</v>
      </c>
      <c r="AW405">
        <v>2</v>
      </c>
      <c r="AX405">
        <v>16784959</v>
      </c>
      <c r="AY405">
        <v>1</v>
      </c>
      <c r="AZ405">
        <v>0</v>
      </c>
      <c r="BA405">
        <v>417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Y405*Source!I138</f>
        <v>0.51300000000000001</v>
      </c>
      <c r="CY405">
        <f>AD405</f>
        <v>8.5299999999999994</v>
      </c>
      <c r="CZ405">
        <f>AH405</f>
        <v>8.5299999999999994</v>
      </c>
      <c r="DA405">
        <f>AL405</f>
        <v>1</v>
      </c>
      <c r="DB405">
        <f t="shared" si="66"/>
        <v>437.59</v>
      </c>
      <c r="DC405">
        <f t="shared" si="67"/>
        <v>0</v>
      </c>
    </row>
    <row r="406" spans="1:107" x14ac:dyDescent="0.2">
      <c r="A406">
        <f>ROW(Source!A138)</f>
        <v>138</v>
      </c>
      <c r="B406">
        <v>16784195</v>
      </c>
      <c r="C406">
        <v>16784958</v>
      </c>
      <c r="D406">
        <v>15430395</v>
      </c>
      <c r="E406">
        <v>1</v>
      </c>
      <c r="F406">
        <v>1</v>
      </c>
      <c r="G406">
        <v>1</v>
      </c>
      <c r="H406">
        <v>1</v>
      </c>
      <c r="I406" t="s">
        <v>496</v>
      </c>
      <c r="J406" t="s">
        <v>6</v>
      </c>
      <c r="K406" t="s">
        <v>497</v>
      </c>
      <c r="L406">
        <v>1191</v>
      </c>
      <c r="N406">
        <v>1013</v>
      </c>
      <c r="O406" t="s">
        <v>495</v>
      </c>
      <c r="P406" t="s">
        <v>495</v>
      </c>
      <c r="Q406">
        <v>1</v>
      </c>
      <c r="W406">
        <v>0</v>
      </c>
      <c r="X406">
        <v>-1417349443</v>
      </c>
      <c r="Y406">
        <v>0.26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0.26</v>
      </c>
      <c r="AU406" t="s">
        <v>6</v>
      </c>
      <c r="AV406">
        <v>2</v>
      </c>
      <c r="AW406">
        <v>2</v>
      </c>
      <c r="AX406">
        <v>16784960</v>
      </c>
      <c r="AY406">
        <v>1</v>
      </c>
      <c r="AZ406">
        <v>0</v>
      </c>
      <c r="BA406">
        <v>418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Y406*Source!I138</f>
        <v>2.6000000000000003E-3</v>
      </c>
      <c r="CY406">
        <f>AD406</f>
        <v>0</v>
      </c>
      <c r="CZ406">
        <f>AH406</f>
        <v>0</v>
      </c>
      <c r="DA406">
        <f>AL406</f>
        <v>1</v>
      </c>
      <c r="DB406">
        <f t="shared" si="66"/>
        <v>0</v>
      </c>
      <c r="DC406">
        <f t="shared" si="67"/>
        <v>0</v>
      </c>
    </row>
    <row r="407" spans="1:107" x14ac:dyDescent="0.2">
      <c r="A407">
        <f>ROW(Source!A138)</f>
        <v>138</v>
      </c>
      <c r="B407">
        <v>16784195</v>
      </c>
      <c r="C407">
        <v>16784958</v>
      </c>
      <c r="D407">
        <v>15247974</v>
      </c>
      <c r="E407">
        <v>1</v>
      </c>
      <c r="F407">
        <v>1</v>
      </c>
      <c r="G407">
        <v>1</v>
      </c>
      <c r="H407">
        <v>2</v>
      </c>
      <c r="I407" t="s">
        <v>498</v>
      </c>
      <c r="J407" t="s">
        <v>499</v>
      </c>
      <c r="K407" t="s">
        <v>500</v>
      </c>
      <c r="L407">
        <v>1368</v>
      </c>
      <c r="N407">
        <v>1011</v>
      </c>
      <c r="O407" t="s">
        <v>501</v>
      </c>
      <c r="P407" t="s">
        <v>501</v>
      </c>
      <c r="Q407">
        <v>1</v>
      </c>
      <c r="W407">
        <v>0</v>
      </c>
      <c r="X407">
        <v>1188625873</v>
      </c>
      <c r="Y407">
        <v>0.26</v>
      </c>
      <c r="AA407">
        <v>0</v>
      </c>
      <c r="AB407">
        <v>31.26</v>
      </c>
      <c r="AC407">
        <v>13.5</v>
      </c>
      <c r="AD407">
        <v>0</v>
      </c>
      <c r="AE407">
        <v>0</v>
      </c>
      <c r="AF407">
        <v>31.26</v>
      </c>
      <c r="AG407">
        <v>13.5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6</v>
      </c>
      <c r="AT407">
        <v>0.26</v>
      </c>
      <c r="AU407" t="s">
        <v>6</v>
      </c>
      <c r="AV407">
        <v>0</v>
      </c>
      <c r="AW407">
        <v>2</v>
      </c>
      <c r="AX407">
        <v>16784961</v>
      </c>
      <c r="AY407">
        <v>1</v>
      </c>
      <c r="AZ407">
        <v>0</v>
      </c>
      <c r="BA407">
        <v>419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Y407*Source!I138</f>
        <v>2.6000000000000003E-3</v>
      </c>
      <c r="CY407">
        <f>AB407</f>
        <v>31.26</v>
      </c>
      <c r="CZ407">
        <f>AF407</f>
        <v>31.26</v>
      </c>
      <c r="DA407">
        <f>AJ407</f>
        <v>1</v>
      </c>
      <c r="DB407">
        <f t="shared" si="66"/>
        <v>8.1300000000000008</v>
      </c>
      <c r="DC407">
        <f t="shared" si="67"/>
        <v>3.51</v>
      </c>
    </row>
    <row r="408" spans="1:107" x14ac:dyDescent="0.2">
      <c r="A408">
        <f>ROW(Source!A139)</f>
        <v>139</v>
      </c>
      <c r="B408">
        <v>16784196</v>
      </c>
      <c r="C408">
        <v>16784958</v>
      </c>
      <c r="D408">
        <v>15430767</v>
      </c>
      <c r="E408">
        <v>1</v>
      </c>
      <c r="F408">
        <v>1</v>
      </c>
      <c r="G408">
        <v>1</v>
      </c>
      <c r="H408">
        <v>1</v>
      </c>
      <c r="I408" t="s">
        <v>527</v>
      </c>
      <c r="J408" t="s">
        <v>6</v>
      </c>
      <c r="K408" t="s">
        <v>528</v>
      </c>
      <c r="L408">
        <v>1191</v>
      </c>
      <c r="N408">
        <v>1013</v>
      </c>
      <c r="O408" t="s">
        <v>495</v>
      </c>
      <c r="P408" t="s">
        <v>495</v>
      </c>
      <c r="Q408">
        <v>1</v>
      </c>
      <c r="W408">
        <v>0</v>
      </c>
      <c r="X408">
        <v>-400197608</v>
      </c>
      <c r="Y408">
        <v>51.3</v>
      </c>
      <c r="AA408">
        <v>0</v>
      </c>
      <c r="AB408">
        <v>0</v>
      </c>
      <c r="AC408">
        <v>0</v>
      </c>
      <c r="AD408">
        <v>52.12</v>
      </c>
      <c r="AE408">
        <v>0</v>
      </c>
      <c r="AF408">
        <v>0</v>
      </c>
      <c r="AG408">
        <v>0</v>
      </c>
      <c r="AH408">
        <v>8.5299999999999994</v>
      </c>
      <c r="AI408">
        <v>1</v>
      </c>
      <c r="AJ408">
        <v>1</v>
      </c>
      <c r="AK408">
        <v>1</v>
      </c>
      <c r="AL408">
        <v>6.11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6</v>
      </c>
      <c r="AT408">
        <v>51.3</v>
      </c>
      <c r="AU408" t="s">
        <v>6</v>
      </c>
      <c r="AV408">
        <v>1</v>
      </c>
      <c r="AW408">
        <v>2</v>
      </c>
      <c r="AX408">
        <v>16784959</v>
      </c>
      <c r="AY408">
        <v>1</v>
      </c>
      <c r="AZ408">
        <v>0</v>
      </c>
      <c r="BA408">
        <v>421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Y408*Source!I139</f>
        <v>0.51300000000000001</v>
      </c>
      <c r="CY408">
        <f>AD408</f>
        <v>52.12</v>
      </c>
      <c r="CZ408">
        <f>AH408</f>
        <v>8.5299999999999994</v>
      </c>
      <c r="DA408">
        <f>AL408</f>
        <v>6.11</v>
      </c>
      <c r="DB408">
        <f t="shared" si="66"/>
        <v>437.59</v>
      </c>
      <c r="DC408">
        <f t="shared" si="67"/>
        <v>0</v>
      </c>
    </row>
    <row r="409" spans="1:107" x14ac:dyDescent="0.2">
      <c r="A409">
        <f>ROW(Source!A139)</f>
        <v>139</v>
      </c>
      <c r="B409">
        <v>16784196</v>
      </c>
      <c r="C409">
        <v>16784958</v>
      </c>
      <c r="D409">
        <v>15430395</v>
      </c>
      <c r="E409">
        <v>1</v>
      </c>
      <c r="F409">
        <v>1</v>
      </c>
      <c r="G409">
        <v>1</v>
      </c>
      <c r="H409">
        <v>1</v>
      </c>
      <c r="I409" t="s">
        <v>496</v>
      </c>
      <c r="J409" t="s">
        <v>6</v>
      </c>
      <c r="K409" t="s">
        <v>497</v>
      </c>
      <c r="L409">
        <v>1191</v>
      </c>
      <c r="N409">
        <v>1013</v>
      </c>
      <c r="O409" t="s">
        <v>495</v>
      </c>
      <c r="P409" t="s">
        <v>495</v>
      </c>
      <c r="Q409">
        <v>1</v>
      </c>
      <c r="W409">
        <v>0</v>
      </c>
      <c r="X409">
        <v>-1417349443</v>
      </c>
      <c r="Y409">
        <v>0.26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6.11</v>
      </c>
      <c r="AL409">
        <v>1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6</v>
      </c>
      <c r="AT409">
        <v>0.26</v>
      </c>
      <c r="AU409" t="s">
        <v>6</v>
      </c>
      <c r="AV409">
        <v>2</v>
      </c>
      <c r="AW409">
        <v>2</v>
      </c>
      <c r="AX409">
        <v>16784960</v>
      </c>
      <c r="AY409">
        <v>1</v>
      </c>
      <c r="AZ409">
        <v>0</v>
      </c>
      <c r="BA409">
        <v>422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Y409*Source!I139</f>
        <v>2.6000000000000003E-3</v>
      </c>
      <c r="CY409">
        <f>AD409</f>
        <v>0</v>
      </c>
      <c r="CZ409">
        <f>AH409</f>
        <v>0</v>
      </c>
      <c r="DA409">
        <f>AL409</f>
        <v>1</v>
      </c>
      <c r="DB409">
        <f t="shared" si="66"/>
        <v>0</v>
      </c>
      <c r="DC409">
        <f t="shared" si="67"/>
        <v>0</v>
      </c>
    </row>
    <row r="410" spans="1:107" x14ac:dyDescent="0.2">
      <c r="A410">
        <f>ROW(Source!A139)</f>
        <v>139</v>
      </c>
      <c r="B410">
        <v>16784196</v>
      </c>
      <c r="C410">
        <v>16784958</v>
      </c>
      <c r="D410">
        <v>15247974</v>
      </c>
      <c r="E410">
        <v>1</v>
      </c>
      <c r="F410">
        <v>1</v>
      </c>
      <c r="G410">
        <v>1</v>
      </c>
      <c r="H410">
        <v>2</v>
      </c>
      <c r="I410" t="s">
        <v>498</v>
      </c>
      <c r="J410" t="s">
        <v>499</v>
      </c>
      <c r="K410" t="s">
        <v>500</v>
      </c>
      <c r="L410">
        <v>1368</v>
      </c>
      <c r="N410">
        <v>1011</v>
      </c>
      <c r="O410" t="s">
        <v>501</v>
      </c>
      <c r="P410" t="s">
        <v>501</v>
      </c>
      <c r="Q410">
        <v>1</v>
      </c>
      <c r="W410">
        <v>0</v>
      </c>
      <c r="X410">
        <v>1188625873</v>
      </c>
      <c r="Y410">
        <v>0.26</v>
      </c>
      <c r="AA410">
        <v>0</v>
      </c>
      <c r="AB410">
        <v>191</v>
      </c>
      <c r="AC410">
        <v>13.5</v>
      </c>
      <c r="AD410">
        <v>0</v>
      </c>
      <c r="AE410">
        <v>0</v>
      </c>
      <c r="AF410">
        <v>31.26</v>
      </c>
      <c r="AG410">
        <v>13.5</v>
      </c>
      <c r="AH410">
        <v>0</v>
      </c>
      <c r="AI410">
        <v>1</v>
      </c>
      <c r="AJ410">
        <v>6.11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0.26</v>
      </c>
      <c r="AU410" t="s">
        <v>6</v>
      </c>
      <c r="AV410">
        <v>0</v>
      </c>
      <c r="AW410">
        <v>2</v>
      </c>
      <c r="AX410">
        <v>16784961</v>
      </c>
      <c r="AY410">
        <v>1</v>
      </c>
      <c r="AZ410">
        <v>0</v>
      </c>
      <c r="BA410">
        <v>423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Y410*Source!I139</f>
        <v>2.6000000000000003E-3</v>
      </c>
      <c r="CY410">
        <f>AB410</f>
        <v>191</v>
      </c>
      <c r="CZ410">
        <f>AF410</f>
        <v>31.26</v>
      </c>
      <c r="DA410">
        <f>AJ410</f>
        <v>6.11</v>
      </c>
      <c r="DB410">
        <f t="shared" si="66"/>
        <v>8.1300000000000008</v>
      </c>
      <c r="DC410">
        <f t="shared" si="67"/>
        <v>3.51</v>
      </c>
    </row>
    <row r="411" spans="1:107" x14ac:dyDescent="0.2">
      <c r="A411">
        <f>ROW(Source!A140)</f>
        <v>140</v>
      </c>
      <c r="B411">
        <v>16784195</v>
      </c>
      <c r="C411">
        <v>16784992</v>
      </c>
      <c r="D411">
        <v>15435721</v>
      </c>
      <c r="E411">
        <v>1</v>
      </c>
      <c r="F411">
        <v>1</v>
      </c>
      <c r="G411">
        <v>1</v>
      </c>
      <c r="H411">
        <v>1</v>
      </c>
      <c r="I411" t="s">
        <v>722</v>
      </c>
      <c r="J411" t="s">
        <v>6</v>
      </c>
      <c r="K411" t="s">
        <v>723</v>
      </c>
      <c r="L411">
        <v>1191</v>
      </c>
      <c r="N411">
        <v>1013</v>
      </c>
      <c r="O411" t="s">
        <v>495</v>
      </c>
      <c r="P411" t="s">
        <v>495</v>
      </c>
      <c r="Q411">
        <v>1</v>
      </c>
      <c r="W411">
        <v>0</v>
      </c>
      <c r="X411">
        <v>1983201532</v>
      </c>
      <c r="Y411">
        <v>28.335999999999999</v>
      </c>
      <c r="AA411">
        <v>0</v>
      </c>
      <c r="AB411">
        <v>0</v>
      </c>
      <c r="AC411">
        <v>0</v>
      </c>
      <c r="AD411">
        <v>9.51</v>
      </c>
      <c r="AE411">
        <v>0</v>
      </c>
      <c r="AF411">
        <v>0</v>
      </c>
      <c r="AG411">
        <v>0</v>
      </c>
      <c r="AH411">
        <v>9.51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24.64</v>
      </c>
      <c r="AU411" t="s">
        <v>28</v>
      </c>
      <c r="AV411">
        <v>1</v>
      </c>
      <c r="AW411">
        <v>2</v>
      </c>
      <c r="AX411">
        <v>16784993</v>
      </c>
      <c r="AY411">
        <v>1</v>
      </c>
      <c r="AZ411">
        <v>0</v>
      </c>
      <c r="BA411">
        <v>425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Y411*Source!I140</f>
        <v>11.3344</v>
      </c>
      <c r="CY411">
        <f>AD411</f>
        <v>9.51</v>
      </c>
      <c r="CZ411">
        <f>AH411</f>
        <v>9.51</v>
      </c>
      <c r="DA411">
        <f>AL411</f>
        <v>1</v>
      </c>
      <c r="DB411">
        <f>ROUND((ROUND(AT411*CZ411,2)*1.15),2)</f>
        <v>269.48</v>
      </c>
      <c r="DC411">
        <f>ROUND((ROUND(AT411*AG411,2)*1.15),2)</f>
        <v>0</v>
      </c>
    </row>
    <row r="412" spans="1:107" x14ac:dyDescent="0.2">
      <c r="A412">
        <f>ROW(Source!A140)</f>
        <v>140</v>
      </c>
      <c r="B412">
        <v>16784195</v>
      </c>
      <c r="C412">
        <v>16784992</v>
      </c>
      <c r="D412">
        <v>15430395</v>
      </c>
      <c r="E412">
        <v>1</v>
      </c>
      <c r="F412">
        <v>1</v>
      </c>
      <c r="G412">
        <v>1</v>
      </c>
      <c r="H412">
        <v>1</v>
      </c>
      <c r="I412" t="s">
        <v>496</v>
      </c>
      <c r="J412" t="s">
        <v>6</v>
      </c>
      <c r="K412" t="s">
        <v>497</v>
      </c>
      <c r="L412">
        <v>1191</v>
      </c>
      <c r="N412">
        <v>1013</v>
      </c>
      <c r="O412" t="s">
        <v>495</v>
      </c>
      <c r="P412" t="s">
        <v>495</v>
      </c>
      <c r="Q412">
        <v>1</v>
      </c>
      <c r="W412">
        <v>0</v>
      </c>
      <c r="X412">
        <v>-1417349443</v>
      </c>
      <c r="Y412">
        <v>0.71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6</v>
      </c>
      <c r="AT412">
        <v>0.71</v>
      </c>
      <c r="AU412" t="s">
        <v>6</v>
      </c>
      <c r="AV412">
        <v>2</v>
      </c>
      <c r="AW412">
        <v>2</v>
      </c>
      <c r="AX412">
        <v>16784994</v>
      </c>
      <c r="AY412">
        <v>1</v>
      </c>
      <c r="AZ412">
        <v>2048</v>
      </c>
      <c r="BA412">
        <v>426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Y412*Source!I140</f>
        <v>0.28399999999999997</v>
      </c>
      <c r="CY412">
        <f>AD412</f>
        <v>0</v>
      </c>
      <c r="CZ412">
        <f>AH412</f>
        <v>0</v>
      </c>
      <c r="DA412">
        <f>AL412</f>
        <v>1</v>
      </c>
      <c r="DB412">
        <f>ROUND(ROUND(AT412*CZ412,2),2)</f>
        <v>0</v>
      </c>
      <c r="DC412">
        <f>ROUND(ROUND(AT412*AG412,2),2)</f>
        <v>0</v>
      </c>
    </row>
    <row r="413" spans="1:107" x14ac:dyDescent="0.2">
      <c r="A413">
        <f>ROW(Source!A140)</f>
        <v>140</v>
      </c>
      <c r="B413">
        <v>16784195</v>
      </c>
      <c r="C413">
        <v>16784992</v>
      </c>
      <c r="D413">
        <v>15247974</v>
      </c>
      <c r="E413">
        <v>1</v>
      </c>
      <c r="F413">
        <v>1</v>
      </c>
      <c r="G413">
        <v>1</v>
      </c>
      <c r="H413">
        <v>2</v>
      </c>
      <c r="I413" t="s">
        <v>498</v>
      </c>
      <c r="J413" t="s">
        <v>499</v>
      </c>
      <c r="K413" t="s">
        <v>500</v>
      </c>
      <c r="L413">
        <v>1368</v>
      </c>
      <c r="N413">
        <v>1011</v>
      </c>
      <c r="O413" t="s">
        <v>501</v>
      </c>
      <c r="P413" t="s">
        <v>501</v>
      </c>
      <c r="Q413">
        <v>1</v>
      </c>
      <c r="W413">
        <v>0</v>
      </c>
      <c r="X413">
        <v>1188625873</v>
      </c>
      <c r="Y413">
        <v>0.4</v>
      </c>
      <c r="AA413">
        <v>0</v>
      </c>
      <c r="AB413">
        <v>31.26</v>
      </c>
      <c r="AC413">
        <v>13.5</v>
      </c>
      <c r="AD413">
        <v>0</v>
      </c>
      <c r="AE413">
        <v>0</v>
      </c>
      <c r="AF413">
        <v>31.26</v>
      </c>
      <c r="AG413">
        <v>13.5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6</v>
      </c>
      <c r="AT413">
        <v>0.32</v>
      </c>
      <c r="AU413" t="s">
        <v>27</v>
      </c>
      <c r="AV413">
        <v>0</v>
      </c>
      <c r="AW413">
        <v>2</v>
      </c>
      <c r="AX413">
        <v>16784995</v>
      </c>
      <c r="AY413">
        <v>1</v>
      </c>
      <c r="AZ413">
        <v>0</v>
      </c>
      <c r="BA413">
        <v>427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Y413*Source!I140</f>
        <v>0.16000000000000003</v>
      </c>
      <c r="CY413">
        <f>AB413</f>
        <v>31.26</v>
      </c>
      <c r="CZ413">
        <f>AF413</f>
        <v>31.26</v>
      </c>
      <c r="DA413">
        <f>AJ413</f>
        <v>1</v>
      </c>
      <c r="DB413">
        <f>ROUND((ROUND(AT413*CZ413,2)*1.25),2)</f>
        <v>12.5</v>
      </c>
      <c r="DC413">
        <f>ROUND((ROUND(AT413*AG413,2)*1.25),2)</f>
        <v>5.4</v>
      </c>
    </row>
    <row r="414" spans="1:107" x14ac:dyDescent="0.2">
      <c r="A414">
        <f>ROW(Source!A140)</f>
        <v>140</v>
      </c>
      <c r="B414">
        <v>16784195</v>
      </c>
      <c r="C414">
        <v>16784992</v>
      </c>
      <c r="D414">
        <v>15249073</v>
      </c>
      <c r="E414">
        <v>1</v>
      </c>
      <c r="F414">
        <v>1</v>
      </c>
      <c r="G414">
        <v>1</v>
      </c>
      <c r="H414">
        <v>2</v>
      </c>
      <c r="I414" t="s">
        <v>504</v>
      </c>
      <c r="J414" t="s">
        <v>505</v>
      </c>
      <c r="K414" t="s">
        <v>506</v>
      </c>
      <c r="L414">
        <v>1368</v>
      </c>
      <c r="N414">
        <v>1011</v>
      </c>
      <c r="O414" t="s">
        <v>501</v>
      </c>
      <c r="P414" t="s">
        <v>501</v>
      </c>
      <c r="Q414">
        <v>1</v>
      </c>
      <c r="W414">
        <v>0</v>
      </c>
      <c r="X414">
        <v>1372534845</v>
      </c>
      <c r="Y414">
        <v>0.48750000000000004</v>
      </c>
      <c r="AA414">
        <v>0</v>
      </c>
      <c r="AB414">
        <v>65.709999999999994</v>
      </c>
      <c r="AC414">
        <v>11.6</v>
      </c>
      <c r="AD414">
        <v>0</v>
      </c>
      <c r="AE414">
        <v>0</v>
      </c>
      <c r="AF414">
        <v>65.709999999999994</v>
      </c>
      <c r="AG414">
        <v>11.6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6</v>
      </c>
      <c r="AT414">
        <v>0.39</v>
      </c>
      <c r="AU414" t="s">
        <v>27</v>
      </c>
      <c r="AV414">
        <v>0</v>
      </c>
      <c r="AW414">
        <v>2</v>
      </c>
      <c r="AX414">
        <v>16784996</v>
      </c>
      <c r="AY414">
        <v>1</v>
      </c>
      <c r="AZ414">
        <v>0</v>
      </c>
      <c r="BA414">
        <v>428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Y414*Source!I140</f>
        <v>0.19500000000000003</v>
      </c>
      <c r="CY414">
        <f>AB414</f>
        <v>65.709999999999994</v>
      </c>
      <c r="CZ414">
        <f>AF414</f>
        <v>65.709999999999994</v>
      </c>
      <c r="DA414">
        <f>AJ414</f>
        <v>1</v>
      </c>
      <c r="DB414">
        <f>ROUND((ROUND(AT414*CZ414,2)*1.25),2)</f>
        <v>32.04</v>
      </c>
      <c r="DC414">
        <f>ROUND((ROUND(AT414*AG414,2)*1.25),2)</f>
        <v>5.65</v>
      </c>
    </row>
    <row r="415" spans="1:107" x14ac:dyDescent="0.2">
      <c r="A415">
        <f>ROW(Source!A140)</f>
        <v>140</v>
      </c>
      <c r="B415">
        <v>16784195</v>
      </c>
      <c r="C415">
        <v>16784992</v>
      </c>
      <c r="D415">
        <v>15167955</v>
      </c>
      <c r="E415">
        <v>1</v>
      </c>
      <c r="F415">
        <v>1</v>
      </c>
      <c r="G415">
        <v>1</v>
      </c>
      <c r="H415">
        <v>3</v>
      </c>
      <c r="I415" t="s">
        <v>724</v>
      </c>
      <c r="J415" t="s">
        <v>725</v>
      </c>
      <c r="K415" t="s">
        <v>726</v>
      </c>
      <c r="L415">
        <v>1348</v>
      </c>
      <c r="N415">
        <v>1009</v>
      </c>
      <c r="O415" t="s">
        <v>65</v>
      </c>
      <c r="P415" t="s">
        <v>65</v>
      </c>
      <c r="Q415">
        <v>1000</v>
      </c>
      <c r="W415">
        <v>0</v>
      </c>
      <c r="X415">
        <v>-1699345571</v>
      </c>
      <c r="Y415">
        <v>1E-3</v>
      </c>
      <c r="AA415">
        <v>30030</v>
      </c>
      <c r="AB415">
        <v>0</v>
      </c>
      <c r="AC415">
        <v>0</v>
      </c>
      <c r="AD415">
        <v>0</v>
      </c>
      <c r="AE415">
        <v>30030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1E-3</v>
      </c>
      <c r="AU415" t="s">
        <v>6</v>
      </c>
      <c r="AV415">
        <v>0</v>
      </c>
      <c r="AW415">
        <v>2</v>
      </c>
      <c r="AX415">
        <v>16784997</v>
      </c>
      <c r="AY415">
        <v>1</v>
      </c>
      <c r="AZ415">
        <v>0</v>
      </c>
      <c r="BA415">
        <v>429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Y415*Source!I140</f>
        <v>4.0000000000000002E-4</v>
      </c>
      <c r="CY415">
        <f t="shared" ref="CY415:CY424" si="68">AA415</f>
        <v>30030</v>
      </c>
      <c r="CZ415">
        <f t="shared" ref="CZ415:CZ424" si="69">AE415</f>
        <v>30030</v>
      </c>
      <c r="DA415">
        <f t="shared" ref="DA415:DA424" si="70">AI415</f>
        <v>1</v>
      </c>
      <c r="DB415">
        <f t="shared" ref="DB415:DB424" si="71">ROUND(ROUND(AT415*CZ415,2),2)</f>
        <v>30.03</v>
      </c>
      <c r="DC415">
        <f t="shared" ref="DC415:DC424" si="72">ROUND(ROUND(AT415*AG415,2),2)</f>
        <v>0</v>
      </c>
    </row>
    <row r="416" spans="1:107" x14ac:dyDescent="0.2">
      <c r="A416">
        <f>ROW(Source!A140)</f>
        <v>140</v>
      </c>
      <c r="B416">
        <v>16784195</v>
      </c>
      <c r="C416">
        <v>16784992</v>
      </c>
      <c r="D416">
        <v>15167963</v>
      </c>
      <c r="E416">
        <v>1</v>
      </c>
      <c r="F416">
        <v>1</v>
      </c>
      <c r="G416">
        <v>1</v>
      </c>
      <c r="H416">
        <v>3</v>
      </c>
      <c r="I416" t="s">
        <v>727</v>
      </c>
      <c r="J416" t="s">
        <v>728</v>
      </c>
      <c r="K416" t="s">
        <v>729</v>
      </c>
      <c r="L416">
        <v>1346</v>
      </c>
      <c r="N416">
        <v>1009</v>
      </c>
      <c r="O416" t="s">
        <v>60</v>
      </c>
      <c r="P416" t="s">
        <v>60</v>
      </c>
      <c r="Q416">
        <v>1</v>
      </c>
      <c r="W416">
        <v>0</v>
      </c>
      <c r="X416">
        <v>-490687590</v>
      </c>
      <c r="Y416">
        <v>0.04</v>
      </c>
      <c r="AA416">
        <v>37.29</v>
      </c>
      <c r="AB416">
        <v>0</v>
      </c>
      <c r="AC416">
        <v>0</v>
      </c>
      <c r="AD416">
        <v>0</v>
      </c>
      <c r="AE416">
        <v>37.29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0.04</v>
      </c>
      <c r="AU416" t="s">
        <v>6</v>
      </c>
      <c r="AV416">
        <v>0</v>
      </c>
      <c r="AW416">
        <v>2</v>
      </c>
      <c r="AX416">
        <v>16784998</v>
      </c>
      <c r="AY416">
        <v>1</v>
      </c>
      <c r="AZ416">
        <v>0</v>
      </c>
      <c r="BA416">
        <v>430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Y416*Source!I140</f>
        <v>1.6E-2</v>
      </c>
      <c r="CY416">
        <f t="shared" si="68"/>
        <v>37.29</v>
      </c>
      <c r="CZ416">
        <f t="shared" si="69"/>
        <v>37.29</v>
      </c>
      <c r="DA416">
        <f t="shared" si="70"/>
        <v>1</v>
      </c>
      <c r="DB416">
        <f t="shared" si="71"/>
        <v>1.49</v>
      </c>
      <c r="DC416">
        <f t="shared" si="72"/>
        <v>0</v>
      </c>
    </row>
    <row r="417" spans="1:107" x14ac:dyDescent="0.2">
      <c r="A417">
        <f>ROW(Source!A140)</f>
        <v>140</v>
      </c>
      <c r="B417">
        <v>16784195</v>
      </c>
      <c r="C417">
        <v>16784992</v>
      </c>
      <c r="D417">
        <v>15170213</v>
      </c>
      <c r="E417">
        <v>1</v>
      </c>
      <c r="F417">
        <v>1</v>
      </c>
      <c r="G417">
        <v>1</v>
      </c>
      <c r="H417">
        <v>3</v>
      </c>
      <c r="I417" t="s">
        <v>730</v>
      </c>
      <c r="J417" t="s">
        <v>731</v>
      </c>
      <c r="K417" t="s">
        <v>732</v>
      </c>
      <c r="L417">
        <v>1346</v>
      </c>
      <c r="N417">
        <v>1009</v>
      </c>
      <c r="O417" t="s">
        <v>60</v>
      </c>
      <c r="P417" t="s">
        <v>60</v>
      </c>
      <c r="Q417">
        <v>1</v>
      </c>
      <c r="W417">
        <v>0</v>
      </c>
      <c r="X417">
        <v>686856996</v>
      </c>
      <c r="Y417">
        <v>20</v>
      </c>
      <c r="AA417">
        <v>6.5</v>
      </c>
      <c r="AB417">
        <v>0</v>
      </c>
      <c r="AC417">
        <v>0</v>
      </c>
      <c r="AD417">
        <v>0</v>
      </c>
      <c r="AE417">
        <v>6.5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20</v>
      </c>
      <c r="AU417" t="s">
        <v>6</v>
      </c>
      <c r="AV417">
        <v>0</v>
      </c>
      <c r="AW417">
        <v>2</v>
      </c>
      <c r="AX417">
        <v>16785000</v>
      </c>
      <c r="AY417">
        <v>1</v>
      </c>
      <c r="AZ417">
        <v>0</v>
      </c>
      <c r="BA417">
        <v>432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Y417*Source!I140</f>
        <v>8</v>
      </c>
      <c r="CY417">
        <f t="shared" si="68"/>
        <v>6.5</v>
      </c>
      <c r="CZ417">
        <f t="shared" si="69"/>
        <v>6.5</v>
      </c>
      <c r="DA417">
        <f t="shared" si="70"/>
        <v>1</v>
      </c>
      <c r="DB417">
        <f t="shared" si="71"/>
        <v>130</v>
      </c>
      <c r="DC417">
        <f t="shared" si="72"/>
        <v>0</v>
      </c>
    </row>
    <row r="418" spans="1:107" x14ac:dyDescent="0.2">
      <c r="A418">
        <f>ROW(Source!A140)</f>
        <v>140</v>
      </c>
      <c r="B418">
        <v>16784195</v>
      </c>
      <c r="C418">
        <v>16784992</v>
      </c>
      <c r="D418">
        <v>15170803</v>
      </c>
      <c r="E418">
        <v>1</v>
      </c>
      <c r="F418">
        <v>1</v>
      </c>
      <c r="G418">
        <v>1</v>
      </c>
      <c r="H418">
        <v>3</v>
      </c>
      <c r="I418" t="s">
        <v>320</v>
      </c>
      <c r="J418" t="s">
        <v>322</v>
      </c>
      <c r="K418" t="s">
        <v>321</v>
      </c>
      <c r="L418">
        <v>1354</v>
      </c>
      <c r="N418">
        <v>1010</v>
      </c>
      <c r="O418" t="s">
        <v>277</v>
      </c>
      <c r="P418" t="s">
        <v>277</v>
      </c>
      <c r="Q418">
        <v>1</v>
      </c>
      <c r="W418">
        <v>0</v>
      </c>
      <c r="X418">
        <v>-1962446151</v>
      </c>
      <c r="Y418">
        <v>10</v>
      </c>
      <c r="AA418">
        <v>6.81</v>
      </c>
      <c r="AB418">
        <v>0</v>
      </c>
      <c r="AC418">
        <v>0</v>
      </c>
      <c r="AD418">
        <v>0</v>
      </c>
      <c r="AE418">
        <v>6.81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0</v>
      </c>
      <c r="AP418">
        <v>0</v>
      </c>
      <c r="AQ418">
        <v>0</v>
      </c>
      <c r="AR418">
        <v>0</v>
      </c>
      <c r="AS418" t="s">
        <v>6</v>
      </c>
      <c r="AT418">
        <v>10</v>
      </c>
      <c r="AU418" t="s">
        <v>6</v>
      </c>
      <c r="AV418">
        <v>0</v>
      </c>
      <c r="AW418">
        <v>1</v>
      </c>
      <c r="AX418">
        <v>-1</v>
      </c>
      <c r="AY418">
        <v>0</v>
      </c>
      <c r="AZ418">
        <v>0</v>
      </c>
      <c r="BA418" t="s">
        <v>6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Y418*Source!I140</f>
        <v>4</v>
      </c>
      <c r="CY418">
        <f t="shared" si="68"/>
        <v>6.81</v>
      </c>
      <c r="CZ418">
        <f t="shared" si="69"/>
        <v>6.81</v>
      </c>
      <c r="DA418">
        <f t="shared" si="70"/>
        <v>1</v>
      </c>
      <c r="DB418">
        <f t="shared" si="71"/>
        <v>68.099999999999994</v>
      </c>
      <c r="DC418">
        <f t="shared" si="72"/>
        <v>0</v>
      </c>
    </row>
    <row r="419" spans="1:107" x14ac:dyDescent="0.2">
      <c r="A419">
        <f>ROW(Source!A140)</f>
        <v>140</v>
      </c>
      <c r="B419">
        <v>16784195</v>
      </c>
      <c r="C419">
        <v>16784992</v>
      </c>
      <c r="D419">
        <v>15170815</v>
      </c>
      <c r="E419">
        <v>1</v>
      </c>
      <c r="F419">
        <v>1</v>
      </c>
      <c r="G419">
        <v>1</v>
      </c>
      <c r="H419">
        <v>3</v>
      </c>
      <c r="I419" t="s">
        <v>733</v>
      </c>
      <c r="J419" t="s">
        <v>734</v>
      </c>
      <c r="K419" t="s">
        <v>735</v>
      </c>
      <c r="L419">
        <v>1346</v>
      </c>
      <c r="N419">
        <v>1009</v>
      </c>
      <c r="O419" t="s">
        <v>60</v>
      </c>
      <c r="P419" t="s">
        <v>60</v>
      </c>
      <c r="Q419">
        <v>1</v>
      </c>
      <c r="W419">
        <v>0</v>
      </c>
      <c r="X419">
        <v>1706192078</v>
      </c>
      <c r="Y419">
        <v>0.8</v>
      </c>
      <c r="AA419">
        <v>13.56</v>
      </c>
      <c r="AB419">
        <v>0</v>
      </c>
      <c r="AC419">
        <v>0</v>
      </c>
      <c r="AD419">
        <v>0</v>
      </c>
      <c r="AE419">
        <v>13.56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0.8</v>
      </c>
      <c r="AU419" t="s">
        <v>6</v>
      </c>
      <c r="AV419">
        <v>0</v>
      </c>
      <c r="AW419">
        <v>2</v>
      </c>
      <c r="AX419">
        <v>16785002</v>
      </c>
      <c r="AY419">
        <v>1</v>
      </c>
      <c r="AZ419">
        <v>0</v>
      </c>
      <c r="BA419">
        <v>434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Y419*Source!I140</f>
        <v>0.32000000000000006</v>
      </c>
      <c r="CY419">
        <f t="shared" si="68"/>
        <v>13.56</v>
      </c>
      <c r="CZ419">
        <f t="shared" si="69"/>
        <v>13.56</v>
      </c>
      <c r="DA419">
        <f t="shared" si="70"/>
        <v>1</v>
      </c>
      <c r="DB419">
        <f t="shared" si="71"/>
        <v>10.85</v>
      </c>
      <c r="DC419">
        <f t="shared" si="72"/>
        <v>0</v>
      </c>
    </row>
    <row r="420" spans="1:107" x14ac:dyDescent="0.2">
      <c r="A420">
        <f>ROW(Source!A140)</f>
        <v>140</v>
      </c>
      <c r="B420">
        <v>16784195</v>
      </c>
      <c r="C420">
        <v>16784992</v>
      </c>
      <c r="D420">
        <v>15202525</v>
      </c>
      <c r="E420">
        <v>1</v>
      </c>
      <c r="F420">
        <v>1</v>
      </c>
      <c r="G420">
        <v>1</v>
      </c>
      <c r="H420">
        <v>3</v>
      </c>
      <c r="I420" t="s">
        <v>736</v>
      </c>
      <c r="J420" t="s">
        <v>737</v>
      </c>
      <c r="K420" t="s">
        <v>738</v>
      </c>
      <c r="L420">
        <v>1348</v>
      </c>
      <c r="N420">
        <v>1009</v>
      </c>
      <c r="O420" t="s">
        <v>65</v>
      </c>
      <c r="P420" t="s">
        <v>65</v>
      </c>
      <c r="Q420">
        <v>1000</v>
      </c>
      <c r="W420">
        <v>0</v>
      </c>
      <c r="X420">
        <v>1676970864</v>
      </c>
      <c r="Y420">
        <v>8.0000000000000004E-4</v>
      </c>
      <c r="AA420">
        <v>12330</v>
      </c>
      <c r="AB420">
        <v>0</v>
      </c>
      <c r="AC420">
        <v>0</v>
      </c>
      <c r="AD420">
        <v>0</v>
      </c>
      <c r="AE420">
        <v>12330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8.0000000000000004E-4</v>
      </c>
      <c r="AU420" t="s">
        <v>6</v>
      </c>
      <c r="AV420">
        <v>0</v>
      </c>
      <c r="AW420">
        <v>2</v>
      </c>
      <c r="AX420">
        <v>16785003</v>
      </c>
      <c r="AY420">
        <v>1</v>
      </c>
      <c r="AZ420">
        <v>0</v>
      </c>
      <c r="BA420">
        <v>435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Y420*Source!I140</f>
        <v>3.2000000000000003E-4</v>
      </c>
      <c r="CY420">
        <f t="shared" si="68"/>
        <v>12330</v>
      </c>
      <c r="CZ420">
        <f t="shared" si="69"/>
        <v>12330</v>
      </c>
      <c r="DA420">
        <f t="shared" si="70"/>
        <v>1</v>
      </c>
      <c r="DB420">
        <f t="shared" si="71"/>
        <v>9.86</v>
      </c>
      <c r="DC420">
        <f t="shared" si="72"/>
        <v>0</v>
      </c>
    </row>
    <row r="421" spans="1:107" x14ac:dyDescent="0.2">
      <c r="A421">
        <f>ROW(Source!A140)</f>
        <v>140</v>
      </c>
      <c r="B421">
        <v>16784195</v>
      </c>
      <c r="C421">
        <v>16784992</v>
      </c>
      <c r="D421">
        <v>15203740</v>
      </c>
      <c r="E421">
        <v>1</v>
      </c>
      <c r="F421">
        <v>1</v>
      </c>
      <c r="G421">
        <v>1</v>
      </c>
      <c r="H421">
        <v>3</v>
      </c>
      <c r="I421" t="s">
        <v>739</v>
      </c>
      <c r="J421" t="s">
        <v>740</v>
      </c>
      <c r="K421" t="s">
        <v>741</v>
      </c>
      <c r="L421">
        <v>1348</v>
      </c>
      <c r="N421">
        <v>1009</v>
      </c>
      <c r="O421" t="s">
        <v>65</v>
      </c>
      <c r="P421" t="s">
        <v>65</v>
      </c>
      <c r="Q421">
        <v>1000</v>
      </c>
      <c r="W421">
        <v>0</v>
      </c>
      <c r="X421">
        <v>570223526</v>
      </c>
      <c r="Y421">
        <v>4.0000000000000002E-4</v>
      </c>
      <c r="AA421">
        <v>15119</v>
      </c>
      <c r="AB421">
        <v>0</v>
      </c>
      <c r="AC421">
        <v>0</v>
      </c>
      <c r="AD421">
        <v>0</v>
      </c>
      <c r="AE421">
        <v>15119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6</v>
      </c>
      <c r="AT421">
        <v>4.0000000000000002E-4</v>
      </c>
      <c r="AU421" t="s">
        <v>6</v>
      </c>
      <c r="AV421">
        <v>0</v>
      </c>
      <c r="AW421">
        <v>2</v>
      </c>
      <c r="AX421">
        <v>16785004</v>
      </c>
      <c r="AY421">
        <v>1</v>
      </c>
      <c r="AZ421">
        <v>0</v>
      </c>
      <c r="BA421">
        <v>436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Y421*Source!I140</f>
        <v>1.6000000000000001E-4</v>
      </c>
      <c r="CY421">
        <f t="shared" si="68"/>
        <v>15119</v>
      </c>
      <c r="CZ421">
        <f t="shared" si="69"/>
        <v>15119</v>
      </c>
      <c r="DA421">
        <f t="shared" si="70"/>
        <v>1</v>
      </c>
      <c r="DB421">
        <f t="shared" si="71"/>
        <v>6.05</v>
      </c>
      <c r="DC421">
        <f t="shared" si="72"/>
        <v>0</v>
      </c>
    </row>
    <row r="422" spans="1:107" x14ac:dyDescent="0.2">
      <c r="A422">
        <f>ROW(Source!A140)</f>
        <v>140</v>
      </c>
      <c r="B422">
        <v>16784195</v>
      </c>
      <c r="C422">
        <v>16784992</v>
      </c>
      <c r="D422">
        <v>15204468</v>
      </c>
      <c r="E422">
        <v>1</v>
      </c>
      <c r="F422">
        <v>1</v>
      </c>
      <c r="G422">
        <v>1</v>
      </c>
      <c r="H422">
        <v>3</v>
      </c>
      <c r="I422" t="s">
        <v>659</v>
      </c>
      <c r="J422" t="s">
        <v>660</v>
      </c>
      <c r="K422" t="s">
        <v>661</v>
      </c>
      <c r="L422">
        <v>1348</v>
      </c>
      <c r="N422">
        <v>1009</v>
      </c>
      <c r="O422" t="s">
        <v>65</v>
      </c>
      <c r="P422" t="s">
        <v>65</v>
      </c>
      <c r="Q422">
        <v>1000</v>
      </c>
      <c r="W422">
        <v>0</v>
      </c>
      <c r="X422">
        <v>-909021926</v>
      </c>
      <c r="Y422">
        <v>2.0000000000000001E-4</v>
      </c>
      <c r="AA422">
        <v>16950</v>
      </c>
      <c r="AB422">
        <v>0</v>
      </c>
      <c r="AC422">
        <v>0</v>
      </c>
      <c r="AD422">
        <v>0</v>
      </c>
      <c r="AE422">
        <v>16950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2.0000000000000001E-4</v>
      </c>
      <c r="AU422" t="s">
        <v>6</v>
      </c>
      <c r="AV422">
        <v>0</v>
      </c>
      <c r="AW422">
        <v>2</v>
      </c>
      <c r="AX422">
        <v>16785006</v>
      </c>
      <c r="AY422">
        <v>1</v>
      </c>
      <c r="AZ422">
        <v>0</v>
      </c>
      <c r="BA422">
        <v>438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Y422*Source!I140</f>
        <v>8.0000000000000007E-5</v>
      </c>
      <c r="CY422">
        <f t="shared" si="68"/>
        <v>16950</v>
      </c>
      <c r="CZ422">
        <f t="shared" si="69"/>
        <v>16950</v>
      </c>
      <c r="DA422">
        <f t="shared" si="70"/>
        <v>1</v>
      </c>
      <c r="DB422">
        <f t="shared" si="71"/>
        <v>3.39</v>
      </c>
      <c r="DC422">
        <f t="shared" si="72"/>
        <v>0</v>
      </c>
    </row>
    <row r="423" spans="1:107" x14ac:dyDescent="0.2">
      <c r="A423">
        <f>ROW(Source!A140)</f>
        <v>140</v>
      </c>
      <c r="B423">
        <v>16784195</v>
      </c>
      <c r="C423">
        <v>16784992</v>
      </c>
      <c r="D423">
        <v>15211699</v>
      </c>
      <c r="E423">
        <v>1</v>
      </c>
      <c r="F423">
        <v>1</v>
      </c>
      <c r="G423">
        <v>1</v>
      </c>
      <c r="H423">
        <v>3</v>
      </c>
      <c r="I423" t="s">
        <v>311</v>
      </c>
      <c r="J423" t="s">
        <v>313</v>
      </c>
      <c r="K423" t="s">
        <v>312</v>
      </c>
      <c r="L423">
        <v>1035</v>
      </c>
      <c r="N423">
        <v>1013</v>
      </c>
      <c r="O423" t="s">
        <v>222</v>
      </c>
      <c r="P423" t="s">
        <v>222</v>
      </c>
      <c r="Q423">
        <v>1</v>
      </c>
      <c r="W423">
        <v>0</v>
      </c>
      <c r="X423">
        <v>-1177463349</v>
      </c>
      <c r="Y423">
        <v>10</v>
      </c>
      <c r="AA423">
        <v>405.49</v>
      </c>
      <c r="AB423">
        <v>0</v>
      </c>
      <c r="AC423">
        <v>0</v>
      </c>
      <c r="AD423">
        <v>0</v>
      </c>
      <c r="AE423">
        <v>405.49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0</v>
      </c>
      <c r="AP423">
        <v>0</v>
      </c>
      <c r="AQ423">
        <v>0</v>
      </c>
      <c r="AR423">
        <v>0</v>
      </c>
      <c r="AS423" t="s">
        <v>6</v>
      </c>
      <c r="AT423">
        <v>10</v>
      </c>
      <c r="AU423" t="s">
        <v>6</v>
      </c>
      <c r="AV423">
        <v>0</v>
      </c>
      <c r="AW423">
        <v>1</v>
      </c>
      <c r="AX423">
        <v>-1</v>
      </c>
      <c r="AY423">
        <v>0</v>
      </c>
      <c r="AZ423">
        <v>0</v>
      </c>
      <c r="BA423" t="s">
        <v>6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Y423*Source!I140</f>
        <v>4</v>
      </c>
      <c r="CY423">
        <f t="shared" si="68"/>
        <v>405.49</v>
      </c>
      <c r="CZ423">
        <f t="shared" si="69"/>
        <v>405.49</v>
      </c>
      <c r="DA423">
        <f t="shared" si="70"/>
        <v>1</v>
      </c>
      <c r="DB423">
        <f t="shared" si="71"/>
        <v>4054.9</v>
      </c>
      <c r="DC423">
        <f t="shared" si="72"/>
        <v>0</v>
      </c>
    </row>
    <row r="424" spans="1:107" x14ac:dyDescent="0.2">
      <c r="A424">
        <f>ROW(Source!A140)</f>
        <v>140</v>
      </c>
      <c r="B424">
        <v>16784195</v>
      </c>
      <c r="C424">
        <v>16784992</v>
      </c>
      <c r="D424">
        <v>15211924</v>
      </c>
      <c r="E424">
        <v>1</v>
      </c>
      <c r="F424">
        <v>1</v>
      </c>
      <c r="G424">
        <v>1</v>
      </c>
      <c r="H424">
        <v>3</v>
      </c>
      <c r="I424" t="s">
        <v>316</v>
      </c>
      <c r="J424" t="s">
        <v>318</v>
      </c>
      <c r="K424" t="s">
        <v>317</v>
      </c>
      <c r="L424">
        <v>1035</v>
      </c>
      <c r="N424">
        <v>1013</v>
      </c>
      <c r="O424" t="s">
        <v>222</v>
      </c>
      <c r="P424" t="s">
        <v>222</v>
      </c>
      <c r="Q424">
        <v>1</v>
      </c>
      <c r="W424">
        <v>0</v>
      </c>
      <c r="X424">
        <v>995820444</v>
      </c>
      <c r="Y424">
        <v>10</v>
      </c>
      <c r="AA424">
        <v>198.3</v>
      </c>
      <c r="AB424">
        <v>0</v>
      </c>
      <c r="AC424">
        <v>0</v>
      </c>
      <c r="AD424">
        <v>0</v>
      </c>
      <c r="AE424">
        <v>198.3</v>
      </c>
      <c r="AF424">
        <v>0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0</v>
      </c>
      <c r="AP424">
        <v>0</v>
      </c>
      <c r="AQ424">
        <v>0</v>
      </c>
      <c r="AR424">
        <v>0</v>
      </c>
      <c r="AS424" t="s">
        <v>6</v>
      </c>
      <c r="AT424">
        <v>10</v>
      </c>
      <c r="AU424" t="s">
        <v>6</v>
      </c>
      <c r="AV424">
        <v>0</v>
      </c>
      <c r="AW424">
        <v>1</v>
      </c>
      <c r="AX424">
        <v>-1</v>
      </c>
      <c r="AY424">
        <v>0</v>
      </c>
      <c r="AZ424">
        <v>0</v>
      </c>
      <c r="BA424" t="s">
        <v>6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Y424*Source!I140</f>
        <v>4</v>
      </c>
      <c r="CY424">
        <f t="shared" si="68"/>
        <v>198.3</v>
      </c>
      <c r="CZ424">
        <f t="shared" si="69"/>
        <v>198.3</v>
      </c>
      <c r="DA424">
        <f t="shared" si="70"/>
        <v>1</v>
      </c>
      <c r="DB424">
        <f t="shared" si="71"/>
        <v>1983</v>
      </c>
      <c r="DC424">
        <f t="shared" si="72"/>
        <v>0</v>
      </c>
    </row>
    <row r="425" spans="1:107" x14ac:dyDescent="0.2">
      <c r="A425">
        <f>ROW(Source!A141)</f>
        <v>141</v>
      </c>
      <c r="B425">
        <v>16784196</v>
      </c>
      <c r="C425">
        <v>16784992</v>
      </c>
      <c r="D425">
        <v>15435721</v>
      </c>
      <c r="E425">
        <v>1</v>
      </c>
      <c r="F425">
        <v>1</v>
      </c>
      <c r="G425">
        <v>1</v>
      </c>
      <c r="H425">
        <v>1</v>
      </c>
      <c r="I425" t="s">
        <v>722</v>
      </c>
      <c r="J425" t="s">
        <v>6</v>
      </c>
      <c r="K425" t="s">
        <v>723</v>
      </c>
      <c r="L425">
        <v>1191</v>
      </c>
      <c r="N425">
        <v>1013</v>
      </c>
      <c r="O425" t="s">
        <v>495</v>
      </c>
      <c r="P425" t="s">
        <v>495</v>
      </c>
      <c r="Q425">
        <v>1</v>
      </c>
      <c r="W425">
        <v>0</v>
      </c>
      <c r="X425">
        <v>1983201532</v>
      </c>
      <c r="Y425">
        <v>28.335999999999999</v>
      </c>
      <c r="AA425">
        <v>0</v>
      </c>
      <c r="AB425">
        <v>0</v>
      </c>
      <c r="AC425">
        <v>0</v>
      </c>
      <c r="AD425">
        <v>58.11</v>
      </c>
      <c r="AE425">
        <v>0</v>
      </c>
      <c r="AF425">
        <v>0</v>
      </c>
      <c r="AG425">
        <v>0</v>
      </c>
      <c r="AH425">
        <v>9.51</v>
      </c>
      <c r="AI425">
        <v>1</v>
      </c>
      <c r="AJ425">
        <v>1</v>
      </c>
      <c r="AK425">
        <v>1</v>
      </c>
      <c r="AL425">
        <v>6.11</v>
      </c>
      <c r="AN425">
        <v>0</v>
      </c>
      <c r="AO425">
        <v>1</v>
      </c>
      <c r="AP425">
        <v>1</v>
      </c>
      <c r="AQ425">
        <v>0</v>
      </c>
      <c r="AR425">
        <v>0</v>
      </c>
      <c r="AS425" t="s">
        <v>6</v>
      </c>
      <c r="AT425">
        <v>24.64</v>
      </c>
      <c r="AU425" t="s">
        <v>28</v>
      </c>
      <c r="AV425">
        <v>1</v>
      </c>
      <c r="AW425">
        <v>2</v>
      </c>
      <c r="AX425">
        <v>16784993</v>
      </c>
      <c r="AY425">
        <v>1</v>
      </c>
      <c r="AZ425">
        <v>0</v>
      </c>
      <c r="BA425">
        <v>440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Y425*Source!I141</f>
        <v>11.3344</v>
      </c>
      <c r="CY425">
        <f>AD425</f>
        <v>58.11</v>
      </c>
      <c r="CZ425">
        <f>AH425</f>
        <v>9.51</v>
      </c>
      <c r="DA425">
        <f>AL425</f>
        <v>6.11</v>
      </c>
      <c r="DB425">
        <f>ROUND((ROUND(AT425*CZ425,2)*1.15),2)</f>
        <v>269.48</v>
      </c>
      <c r="DC425">
        <f>ROUND((ROUND(AT425*AG425,2)*1.15),2)</f>
        <v>0</v>
      </c>
    </row>
    <row r="426" spans="1:107" x14ac:dyDescent="0.2">
      <c r="A426">
        <f>ROW(Source!A141)</f>
        <v>141</v>
      </c>
      <c r="B426">
        <v>16784196</v>
      </c>
      <c r="C426">
        <v>16784992</v>
      </c>
      <c r="D426">
        <v>15430395</v>
      </c>
      <c r="E426">
        <v>1</v>
      </c>
      <c r="F426">
        <v>1</v>
      </c>
      <c r="G426">
        <v>1</v>
      </c>
      <c r="H426">
        <v>1</v>
      </c>
      <c r="I426" t="s">
        <v>496</v>
      </c>
      <c r="J426" t="s">
        <v>6</v>
      </c>
      <c r="K426" t="s">
        <v>497</v>
      </c>
      <c r="L426">
        <v>1191</v>
      </c>
      <c r="N426">
        <v>1013</v>
      </c>
      <c r="O426" t="s">
        <v>495</v>
      </c>
      <c r="P426" t="s">
        <v>495</v>
      </c>
      <c r="Q426">
        <v>1</v>
      </c>
      <c r="W426">
        <v>0</v>
      </c>
      <c r="X426">
        <v>-1417349443</v>
      </c>
      <c r="Y426">
        <v>0.71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1</v>
      </c>
      <c r="AJ426">
        <v>1</v>
      </c>
      <c r="AK426">
        <v>6.11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0.71</v>
      </c>
      <c r="AU426" t="s">
        <v>6</v>
      </c>
      <c r="AV426">
        <v>2</v>
      </c>
      <c r="AW426">
        <v>2</v>
      </c>
      <c r="AX426">
        <v>16784994</v>
      </c>
      <c r="AY426">
        <v>1</v>
      </c>
      <c r="AZ426">
        <v>2048</v>
      </c>
      <c r="BA426">
        <v>441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Y426*Source!I141</f>
        <v>0.28399999999999997</v>
      </c>
      <c r="CY426">
        <f>AD426</f>
        <v>0</v>
      </c>
      <c r="CZ426">
        <f>AH426</f>
        <v>0</v>
      </c>
      <c r="DA426">
        <f>AL426</f>
        <v>1</v>
      </c>
      <c r="DB426">
        <f>ROUND(ROUND(AT426*CZ426,2),2)</f>
        <v>0</v>
      </c>
      <c r="DC426">
        <f>ROUND(ROUND(AT426*AG426,2),2)</f>
        <v>0</v>
      </c>
    </row>
    <row r="427" spans="1:107" x14ac:dyDescent="0.2">
      <c r="A427">
        <f>ROW(Source!A141)</f>
        <v>141</v>
      </c>
      <c r="B427">
        <v>16784196</v>
      </c>
      <c r="C427">
        <v>16784992</v>
      </c>
      <c r="D427">
        <v>15247974</v>
      </c>
      <c r="E427">
        <v>1</v>
      </c>
      <c r="F427">
        <v>1</v>
      </c>
      <c r="G427">
        <v>1</v>
      </c>
      <c r="H427">
        <v>2</v>
      </c>
      <c r="I427" t="s">
        <v>498</v>
      </c>
      <c r="J427" t="s">
        <v>499</v>
      </c>
      <c r="K427" t="s">
        <v>500</v>
      </c>
      <c r="L427">
        <v>1368</v>
      </c>
      <c r="N427">
        <v>1011</v>
      </c>
      <c r="O427" t="s">
        <v>501</v>
      </c>
      <c r="P427" t="s">
        <v>501</v>
      </c>
      <c r="Q427">
        <v>1</v>
      </c>
      <c r="W427">
        <v>0</v>
      </c>
      <c r="X427">
        <v>1188625873</v>
      </c>
      <c r="Y427">
        <v>0.4</v>
      </c>
      <c r="AA427">
        <v>0</v>
      </c>
      <c r="AB427">
        <v>191</v>
      </c>
      <c r="AC427">
        <v>13.5</v>
      </c>
      <c r="AD427">
        <v>0</v>
      </c>
      <c r="AE427">
        <v>0</v>
      </c>
      <c r="AF427">
        <v>31.26</v>
      </c>
      <c r="AG427">
        <v>13.5</v>
      </c>
      <c r="AH427">
        <v>0</v>
      </c>
      <c r="AI427">
        <v>1</v>
      </c>
      <c r="AJ427">
        <v>6.11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6</v>
      </c>
      <c r="AT427">
        <v>0.32</v>
      </c>
      <c r="AU427" t="s">
        <v>27</v>
      </c>
      <c r="AV427">
        <v>0</v>
      </c>
      <c r="AW427">
        <v>2</v>
      </c>
      <c r="AX427">
        <v>16784995</v>
      </c>
      <c r="AY427">
        <v>1</v>
      </c>
      <c r="AZ427">
        <v>0</v>
      </c>
      <c r="BA427">
        <v>442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Y427*Source!I141</f>
        <v>0.16000000000000003</v>
      </c>
      <c r="CY427">
        <f>AB427</f>
        <v>191</v>
      </c>
      <c r="CZ427">
        <f>AF427</f>
        <v>31.26</v>
      </c>
      <c r="DA427">
        <f>AJ427</f>
        <v>6.11</v>
      </c>
      <c r="DB427">
        <f>ROUND((ROUND(AT427*CZ427,2)*1.25),2)</f>
        <v>12.5</v>
      </c>
      <c r="DC427">
        <f>ROUND((ROUND(AT427*AG427,2)*1.25),2)</f>
        <v>5.4</v>
      </c>
    </row>
    <row r="428" spans="1:107" x14ac:dyDescent="0.2">
      <c r="A428">
        <f>ROW(Source!A141)</f>
        <v>141</v>
      </c>
      <c r="B428">
        <v>16784196</v>
      </c>
      <c r="C428">
        <v>16784992</v>
      </c>
      <c r="D428">
        <v>15249073</v>
      </c>
      <c r="E428">
        <v>1</v>
      </c>
      <c r="F428">
        <v>1</v>
      </c>
      <c r="G428">
        <v>1</v>
      </c>
      <c r="H428">
        <v>2</v>
      </c>
      <c r="I428" t="s">
        <v>504</v>
      </c>
      <c r="J428" t="s">
        <v>505</v>
      </c>
      <c r="K428" t="s">
        <v>506</v>
      </c>
      <c r="L428">
        <v>1368</v>
      </c>
      <c r="N428">
        <v>1011</v>
      </c>
      <c r="O428" t="s">
        <v>501</v>
      </c>
      <c r="P428" t="s">
        <v>501</v>
      </c>
      <c r="Q428">
        <v>1</v>
      </c>
      <c r="W428">
        <v>0</v>
      </c>
      <c r="X428">
        <v>1372534845</v>
      </c>
      <c r="Y428">
        <v>0.48750000000000004</v>
      </c>
      <c r="AA428">
        <v>0</v>
      </c>
      <c r="AB428">
        <v>401.49</v>
      </c>
      <c r="AC428">
        <v>11.6</v>
      </c>
      <c r="AD428">
        <v>0</v>
      </c>
      <c r="AE428">
        <v>0</v>
      </c>
      <c r="AF428">
        <v>65.709999999999994</v>
      </c>
      <c r="AG428">
        <v>11.6</v>
      </c>
      <c r="AH428">
        <v>0</v>
      </c>
      <c r="AI428">
        <v>1</v>
      </c>
      <c r="AJ428">
        <v>6.11</v>
      </c>
      <c r="AK428">
        <v>1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6</v>
      </c>
      <c r="AT428">
        <v>0.39</v>
      </c>
      <c r="AU428" t="s">
        <v>27</v>
      </c>
      <c r="AV428">
        <v>0</v>
      </c>
      <c r="AW428">
        <v>2</v>
      </c>
      <c r="AX428">
        <v>16784996</v>
      </c>
      <c r="AY428">
        <v>1</v>
      </c>
      <c r="AZ428">
        <v>0</v>
      </c>
      <c r="BA428">
        <v>443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Y428*Source!I141</f>
        <v>0.19500000000000003</v>
      </c>
      <c r="CY428">
        <f>AB428</f>
        <v>401.49</v>
      </c>
      <c r="CZ428">
        <f>AF428</f>
        <v>65.709999999999994</v>
      </c>
      <c r="DA428">
        <f>AJ428</f>
        <v>6.11</v>
      </c>
      <c r="DB428">
        <f>ROUND((ROUND(AT428*CZ428,2)*1.25),2)</f>
        <v>32.04</v>
      </c>
      <c r="DC428">
        <f>ROUND((ROUND(AT428*AG428,2)*1.25),2)</f>
        <v>5.65</v>
      </c>
    </row>
    <row r="429" spans="1:107" x14ac:dyDescent="0.2">
      <c r="A429">
        <f>ROW(Source!A141)</f>
        <v>141</v>
      </c>
      <c r="B429">
        <v>16784196</v>
      </c>
      <c r="C429">
        <v>16784992</v>
      </c>
      <c r="D429">
        <v>15167955</v>
      </c>
      <c r="E429">
        <v>1</v>
      </c>
      <c r="F429">
        <v>1</v>
      </c>
      <c r="G429">
        <v>1</v>
      </c>
      <c r="H429">
        <v>3</v>
      </c>
      <c r="I429" t="s">
        <v>724</v>
      </c>
      <c r="J429" t="s">
        <v>725</v>
      </c>
      <c r="K429" t="s">
        <v>726</v>
      </c>
      <c r="L429">
        <v>1348</v>
      </c>
      <c r="N429">
        <v>1009</v>
      </c>
      <c r="O429" t="s">
        <v>65</v>
      </c>
      <c r="P429" t="s">
        <v>65</v>
      </c>
      <c r="Q429">
        <v>1000</v>
      </c>
      <c r="W429">
        <v>0</v>
      </c>
      <c r="X429">
        <v>-1699345571</v>
      </c>
      <c r="Y429">
        <v>1E-3</v>
      </c>
      <c r="AA429">
        <v>183483.3</v>
      </c>
      <c r="AB429">
        <v>0</v>
      </c>
      <c r="AC429">
        <v>0</v>
      </c>
      <c r="AD429">
        <v>0</v>
      </c>
      <c r="AE429">
        <v>30030</v>
      </c>
      <c r="AF429">
        <v>0</v>
      </c>
      <c r="AG429">
        <v>0</v>
      </c>
      <c r="AH429">
        <v>0</v>
      </c>
      <c r="AI429">
        <v>6.11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1E-3</v>
      </c>
      <c r="AU429" t="s">
        <v>6</v>
      </c>
      <c r="AV429">
        <v>0</v>
      </c>
      <c r="AW429">
        <v>2</v>
      </c>
      <c r="AX429">
        <v>16784997</v>
      </c>
      <c r="AY429">
        <v>1</v>
      </c>
      <c r="AZ429">
        <v>0</v>
      </c>
      <c r="BA429">
        <v>444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Y429*Source!I141</f>
        <v>4.0000000000000002E-4</v>
      </c>
      <c r="CY429">
        <f t="shared" ref="CY429:CY438" si="73">AA429</f>
        <v>183483.3</v>
      </c>
      <c r="CZ429">
        <f t="shared" ref="CZ429:CZ438" si="74">AE429</f>
        <v>30030</v>
      </c>
      <c r="DA429">
        <f t="shared" ref="DA429:DA438" si="75">AI429</f>
        <v>6.11</v>
      </c>
      <c r="DB429">
        <f t="shared" ref="DB429:DB438" si="76">ROUND(ROUND(AT429*CZ429,2),2)</f>
        <v>30.03</v>
      </c>
      <c r="DC429">
        <f t="shared" ref="DC429:DC438" si="77">ROUND(ROUND(AT429*AG429,2),2)</f>
        <v>0</v>
      </c>
    </row>
    <row r="430" spans="1:107" x14ac:dyDescent="0.2">
      <c r="A430">
        <f>ROW(Source!A141)</f>
        <v>141</v>
      </c>
      <c r="B430">
        <v>16784196</v>
      </c>
      <c r="C430">
        <v>16784992</v>
      </c>
      <c r="D430">
        <v>15167963</v>
      </c>
      <c r="E430">
        <v>1</v>
      </c>
      <c r="F430">
        <v>1</v>
      </c>
      <c r="G430">
        <v>1</v>
      </c>
      <c r="H430">
        <v>3</v>
      </c>
      <c r="I430" t="s">
        <v>727</v>
      </c>
      <c r="J430" t="s">
        <v>728</v>
      </c>
      <c r="K430" t="s">
        <v>729</v>
      </c>
      <c r="L430">
        <v>1346</v>
      </c>
      <c r="N430">
        <v>1009</v>
      </c>
      <c r="O430" t="s">
        <v>60</v>
      </c>
      <c r="P430" t="s">
        <v>60</v>
      </c>
      <c r="Q430">
        <v>1</v>
      </c>
      <c r="W430">
        <v>0</v>
      </c>
      <c r="X430">
        <v>-490687590</v>
      </c>
      <c r="Y430">
        <v>0.04</v>
      </c>
      <c r="AA430">
        <v>227.84</v>
      </c>
      <c r="AB430">
        <v>0</v>
      </c>
      <c r="AC430">
        <v>0</v>
      </c>
      <c r="AD430">
        <v>0</v>
      </c>
      <c r="AE430">
        <v>37.29</v>
      </c>
      <c r="AF430">
        <v>0</v>
      </c>
      <c r="AG430">
        <v>0</v>
      </c>
      <c r="AH430">
        <v>0</v>
      </c>
      <c r="AI430">
        <v>6.11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0.04</v>
      </c>
      <c r="AU430" t="s">
        <v>6</v>
      </c>
      <c r="AV430">
        <v>0</v>
      </c>
      <c r="AW430">
        <v>2</v>
      </c>
      <c r="AX430">
        <v>16784998</v>
      </c>
      <c r="AY430">
        <v>1</v>
      </c>
      <c r="AZ430">
        <v>0</v>
      </c>
      <c r="BA430">
        <v>445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Y430*Source!I141</f>
        <v>1.6E-2</v>
      </c>
      <c r="CY430">
        <f t="shared" si="73"/>
        <v>227.84</v>
      </c>
      <c r="CZ430">
        <f t="shared" si="74"/>
        <v>37.29</v>
      </c>
      <c r="DA430">
        <f t="shared" si="75"/>
        <v>6.11</v>
      </c>
      <c r="DB430">
        <f t="shared" si="76"/>
        <v>1.49</v>
      </c>
      <c r="DC430">
        <f t="shared" si="77"/>
        <v>0</v>
      </c>
    </row>
    <row r="431" spans="1:107" x14ac:dyDescent="0.2">
      <c r="A431">
        <f>ROW(Source!A141)</f>
        <v>141</v>
      </c>
      <c r="B431">
        <v>16784196</v>
      </c>
      <c r="C431">
        <v>16784992</v>
      </c>
      <c r="D431">
        <v>15170213</v>
      </c>
      <c r="E431">
        <v>1</v>
      </c>
      <c r="F431">
        <v>1</v>
      </c>
      <c r="G431">
        <v>1</v>
      </c>
      <c r="H431">
        <v>3</v>
      </c>
      <c r="I431" t="s">
        <v>730</v>
      </c>
      <c r="J431" t="s">
        <v>731</v>
      </c>
      <c r="K431" t="s">
        <v>732</v>
      </c>
      <c r="L431">
        <v>1346</v>
      </c>
      <c r="N431">
        <v>1009</v>
      </c>
      <c r="O431" t="s">
        <v>60</v>
      </c>
      <c r="P431" t="s">
        <v>60</v>
      </c>
      <c r="Q431">
        <v>1</v>
      </c>
      <c r="W431">
        <v>0</v>
      </c>
      <c r="X431">
        <v>686856996</v>
      </c>
      <c r="Y431">
        <v>20</v>
      </c>
      <c r="AA431">
        <v>39.72</v>
      </c>
      <c r="AB431">
        <v>0</v>
      </c>
      <c r="AC431">
        <v>0</v>
      </c>
      <c r="AD431">
        <v>0</v>
      </c>
      <c r="AE431">
        <v>6.5</v>
      </c>
      <c r="AF431">
        <v>0</v>
      </c>
      <c r="AG431">
        <v>0</v>
      </c>
      <c r="AH431">
        <v>0</v>
      </c>
      <c r="AI431">
        <v>6.11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0</v>
      </c>
      <c r="AQ431">
        <v>0</v>
      </c>
      <c r="AR431">
        <v>0</v>
      </c>
      <c r="AS431" t="s">
        <v>6</v>
      </c>
      <c r="AT431">
        <v>20</v>
      </c>
      <c r="AU431" t="s">
        <v>6</v>
      </c>
      <c r="AV431">
        <v>0</v>
      </c>
      <c r="AW431">
        <v>2</v>
      </c>
      <c r="AX431">
        <v>16785000</v>
      </c>
      <c r="AY431">
        <v>1</v>
      </c>
      <c r="AZ431">
        <v>0</v>
      </c>
      <c r="BA431">
        <v>447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Y431*Source!I141</f>
        <v>8</v>
      </c>
      <c r="CY431">
        <f t="shared" si="73"/>
        <v>39.72</v>
      </c>
      <c r="CZ431">
        <f t="shared" si="74"/>
        <v>6.5</v>
      </c>
      <c r="DA431">
        <f t="shared" si="75"/>
        <v>6.11</v>
      </c>
      <c r="DB431">
        <f t="shared" si="76"/>
        <v>130</v>
      </c>
      <c r="DC431">
        <f t="shared" si="77"/>
        <v>0</v>
      </c>
    </row>
    <row r="432" spans="1:107" x14ac:dyDescent="0.2">
      <c r="A432">
        <f>ROW(Source!A141)</f>
        <v>141</v>
      </c>
      <c r="B432">
        <v>16784196</v>
      </c>
      <c r="C432">
        <v>16784992</v>
      </c>
      <c r="D432">
        <v>15170803</v>
      </c>
      <c r="E432">
        <v>1</v>
      </c>
      <c r="F432">
        <v>1</v>
      </c>
      <c r="G432">
        <v>1</v>
      </c>
      <c r="H432">
        <v>3</v>
      </c>
      <c r="I432" t="s">
        <v>320</v>
      </c>
      <c r="J432" t="s">
        <v>322</v>
      </c>
      <c r="K432" t="s">
        <v>321</v>
      </c>
      <c r="L432">
        <v>1354</v>
      </c>
      <c r="N432">
        <v>1010</v>
      </c>
      <c r="O432" t="s">
        <v>277</v>
      </c>
      <c r="P432" t="s">
        <v>277</v>
      </c>
      <c r="Q432">
        <v>1</v>
      </c>
      <c r="W432">
        <v>0</v>
      </c>
      <c r="X432">
        <v>-1962446151</v>
      </c>
      <c r="Y432">
        <v>10</v>
      </c>
      <c r="AA432">
        <v>41.61</v>
      </c>
      <c r="AB432">
        <v>0</v>
      </c>
      <c r="AC432">
        <v>0</v>
      </c>
      <c r="AD432">
        <v>0</v>
      </c>
      <c r="AE432">
        <v>6.81</v>
      </c>
      <c r="AF432">
        <v>0</v>
      </c>
      <c r="AG432">
        <v>0</v>
      </c>
      <c r="AH432">
        <v>0</v>
      </c>
      <c r="AI432">
        <v>6.11</v>
      </c>
      <c r="AJ432">
        <v>1</v>
      </c>
      <c r="AK432">
        <v>1</v>
      </c>
      <c r="AL432">
        <v>1</v>
      </c>
      <c r="AN432">
        <v>0</v>
      </c>
      <c r="AO432">
        <v>0</v>
      </c>
      <c r="AP432">
        <v>0</v>
      </c>
      <c r="AQ432">
        <v>0</v>
      </c>
      <c r="AR432">
        <v>0</v>
      </c>
      <c r="AS432" t="s">
        <v>6</v>
      </c>
      <c r="AT432">
        <v>10</v>
      </c>
      <c r="AU432" t="s">
        <v>6</v>
      </c>
      <c r="AV432">
        <v>0</v>
      </c>
      <c r="AW432">
        <v>1</v>
      </c>
      <c r="AX432">
        <v>-1</v>
      </c>
      <c r="AY432">
        <v>0</v>
      </c>
      <c r="AZ432">
        <v>0</v>
      </c>
      <c r="BA432" t="s">
        <v>6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Y432*Source!I141</f>
        <v>4</v>
      </c>
      <c r="CY432">
        <f t="shared" si="73"/>
        <v>41.61</v>
      </c>
      <c r="CZ432">
        <f t="shared" si="74"/>
        <v>6.81</v>
      </c>
      <c r="DA432">
        <f t="shared" si="75"/>
        <v>6.11</v>
      </c>
      <c r="DB432">
        <f t="shared" si="76"/>
        <v>68.099999999999994</v>
      </c>
      <c r="DC432">
        <f t="shared" si="77"/>
        <v>0</v>
      </c>
    </row>
    <row r="433" spans="1:107" x14ac:dyDescent="0.2">
      <c r="A433">
        <f>ROW(Source!A141)</f>
        <v>141</v>
      </c>
      <c r="B433">
        <v>16784196</v>
      </c>
      <c r="C433">
        <v>16784992</v>
      </c>
      <c r="D433">
        <v>15170815</v>
      </c>
      <c r="E433">
        <v>1</v>
      </c>
      <c r="F433">
        <v>1</v>
      </c>
      <c r="G433">
        <v>1</v>
      </c>
      <c r="H433">
        <v>3</v>
      </c>
      <c r="I433" t="s">
        <v>733</v>
      </c>
      <c r="J433" t="s">
        <v>734</v>
      </c>
      <c r="K433" t="s">
        <v>735</v>
      </c>
      <c r="L433">
        <v>1346</v>
      </c>
      <c r="N433">
        <v>1009</v>
      </c>
      <c r="O433" t="s">
        <v>60</v>
      </c>
      <c r="P433" t="s">
        <v>60</v>
      </c>
      <c r="Q433">
        <v>1</v>
      </c>
      <c r="W433">
        <v>0</v>
      </c>
      <c r="X433">
        <v>1706192078</v>
      </c>
      <c r="Y433">
        <v>0.8</v>
      </c>
      <c r="AA433">
        <v>82.85</v>
      </c>
      <c r="AB433">
        <v>0</v>
      </c>
      <c r="AC433">
        <v>0</v>
      </c>
      <c r="AD433">
        <v>0</v>
      </c>
      <c r="AE433">
        <v>13.56</v>
      </c>
      <c r="AF433">
        <v>0</v>
      </c>
      <c r="AG433">
        <v>0</v>
      </c>
      <c r="AH433">
        <v>0</v>
      </c>
      <c r="AI433">
        <v>6.11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0.8</v>
      </c>
      <c r="AU433" t="s">
        <v>6</v>
      </c>
      <c r="AV433">
        <v>0</v>
      </c>
      <c r="AW433">
        <v>2</v>
      </c>
      <c r="AX433">
        <v>16785002</v>
      </c>
      <c r="AY433">
        <v>1</v>
      </c>
      <c r="AZ433">
        <v>0</v>
      </c>
      <c r="BA433">
        <v>449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Y433*Source!I141</f>
        <v>0.32000000000000006</v>
      </c>
      <c r="CY433">
        <f t="shared" si="73"/>
        <v>82.85</v>
      </c>
      <c r="CZ433">
        <f t="shared" si="74"/>
        <v>13.56</v>
      </c>
      <c r="DA433">
        <f t="shared" si="75"/>
        <v>6.11</v>
      </c>
      <c r="DB433">
        <f t="shared" si="76"/>
        <v>10.85</v>
      </c>
      <c r="DC433">
        <f t="shared" si="77"/>
        <v>0</v>
      </c>
    </row>
    <row r="434" spans="1:107" x14ac:dyDescent="0.2">
      <c r="A434">
        <f>ROW(Source!A141)</f>
        <v>141</v>
      </c>
      <c r="B434">
        <v>16784196</v>
      </c>
      <c r="C434">
        <v>16784992</v>
      </c>
      <c r="D434">
        <v>15202525</v>
      </c>
      <c r="E434">
        <v>1</v>
      </c>
      <c r="F434">
        <v>1</v>
      </c>
      <c r="G434">
        <v>1</v>
      </c>
      <c r="H434">
        <v>3</v>
      </c>
      <c r="I434" t="s">
        <v>736</v>
      </c>
      <c r="J434" t="s">
        <v>737</v>
      </c>
      <c r="K434" t="s">
        <v>738</v>
      </c>
      <c r="L434">
        <v>1348</v>
      </c>
      <c r="N434">
        <v>1009</v>
      </c>
      <c r="O434" t="s">
        <v>65</v>
      </c>
      <c r="P434" t="s">
        <v>65</v>
      </c>
      <c r="Q434">
        <v>1000</v>
      </c>
      <c r="W434">
        <v>0</v>
      </c>
      <c r="X434">
        <v>1676970864</v>
      </c>
      <c r="Y434">
        <v>8.0000000000000004E-4</v>
      </c>
      <c r="AA434">
        <v>75336.3</v>
      </c>
      <c r="AB434">
        <v>0</v>
      </c>
      <c r="AC434">
        <v>0</v>
      </c>
      <c r="AD434">
        <v>0</v>
      </c>
      <c r="AE434">
        <v>12330</v>
      </c>
      <c r="AF434">
        <v>0</v>
      </c>
      <c r="AG434">
        <v>0</v>
      </c>
      <c r="AH434">
        <v>0</v>
      </c>
      <c r="AI434">
        <v>6.11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8.0000000000000004E-4</v>
      </c>
      <c r="AU434" t="s">
        <v>6</v>
      </c>
      <c r="AV434">
        <v>0</v>
      </c>
      <c r="AW434">
        <v>2</v>
      </c>
      <c r="AX434">
        <v>16785003</v>
      </c>
      <c r="AY434">
        <v>1</v>
      </c>
      <c r="AZ434">
        <v>0</v>
      </c>
      <c r="BA434">
        <v>450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Y434*Source!I141</f>
        <v>3.2000000000000003E-4</v>
      </c>
      <c r="CY434">
        <f t="shared" si="73"/>
        <v>75336.3</v>
      </c>
      <c r="CZ434">
        <f t="shared" si="74"/>
        <v>12330</v>
      </c>
      <c r="DA434">
        <f t="shared" si="75"/>
        <v>6.11</v>
      </c>
      <c r="DB434">
        <f t="shared" si="76"/>
        <v>9.86</v>
      </c>
      <c r="DC434">
        <f t="shared" si="77"/>
        <v>0</v>
      </c>
    </row>
    <row r="435" spans="1:107" x14ac:dyDescent="0.2">
      <c r="A435">
        <f>ROW(Source!A141)</f>
        <v>141</v>
      </c>
      <c r="B435">
        <v>16784196</v>
      </c>
      <c r="C435">
        <v>16784992</v>
      </c>
      <c r="D435">
        <v>15203740</v>
      </c>
      <c r="E435">
        <v>1</v>
      </c>
      <c r="F435">
        <v>1</v>
      </c>
      <c r="G435">
        <v>1</v>
      </c>
      <c r="H435">
        <v>3</v>
      </c>
      <c r="I435" t="s">
        <v>739</v>
      </c>
      <c r="J435" t="s">
        <v>740</v>
      </c>
      <c r="K435" t="s">
        <v>741</v>
      </c>
      <c r="L435">
        <v>1348</v>
      </c>
      <c r="N435">
        <v>1009</v>
      </c>
      <c r="O435" t="s">
        <v>65</v>
      </c>
      <c r="P435" t="s">
        <v>65</v>
      </c>
      <c r="Q435">
        <v>1000</v>
      </c>
      <c r="W435">
        <v>0</v>
      </c>
      <c r="X435">
        <v>570223526</v>
      </c>
      <c r="Y435">
        <v>4.0000000000000002E-4</v>
      </c>
      <c r="AA435">
        <v>92377.09</v>
      </c>
      <c r="AB435">
        <v>0</v>
      </c>
      <c r="AC435">
        <v>0</v>
      </c>
      <c r="AD435">
        <v>0</v>
      </c>
      <c r="AE435">
        <v>15119</v>
      </c>
      <c r="AF435">
        <v>0</v>
      </c>
      <c r="AG435">
        <v>0</v>
      </c>
      <c r="AH435">
        <v>0</v>
      </c>
      <c r="AI435">
        <v>6.11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4.0000000000000002E-4</v>
      </c>
      <c r="AU435" t="s">
        <v>6</v>
      </c>
      <c r="AV435">
        <v>0</v>
      </c>
      <c r="AW435">
        <v>2</v>
      </c>
      <c r="AX435">
        <v>16785004</v>
      </c>
      <c r="AY435">
        <v>1</v>
      </c>
      <c r="AZ435">
        <v>0</v>
      </c>
      <c r="BA435">
        <v>451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Y435*Source!I141</f>
        <v>1.6000000000000001E-4</v>
      </c>
      <c r="CY435">
        <f t="shared" si="73"/>
        <v>92377.09</v>
      </c>
      <c r="CZ435">
        <f t="shared" si="74"/>
        <v>15119</v>
      </c>
      <c r="DA435">
        <f t="shared" si="75"/>
        <v>6.11</v>
      </c>
      <c r="DB435">
        <f t="shared" si="76"/>
        <v>6.05</v>
      </c>
      <c r="DC435">
        <f t="shared" si="77"/>
        <v>0</v>
      </c>
    </row>
    <row r="436" spans="1:107" x14ac:dyDescent="0.2">
      <c r="A436">
        <f>ROW(Source!A141)</f>
        <v>141</v>
      </c>
      <c r="B436">
        <v>16784196</v>
      </c>
      <c r="C436">
        <v>16784992</v>
      </c>
      <c r="D436">
        <v>15204468</v>
      </c>
      <c r="E436">
        <v>1</v>
      </c>
      <c r="F436">
        <v>1</v>
      </c>
      <c r="G436">
        <v>1</v>
      </c>
      <c r="H436">
        <v>3</v>
      </c>
      <c r="I436" t="s">
        <v>659</v>
      </c>
      <c r="J436" t="s">
        <v>660</v>
      </c>
      <c r="K436" t="s">
        <v>661</v>
      </c>
      <c r="L436">
        <v>1348</v>
      </c>
      <c r="N436">
        <v>1009</v>
      </c>
      <c r="O436" t="s">
        <v>65</v>
      </c>
      <c r="P436" t="s">
        <v>65</v>
      </c>
      <c r="Q436">
        <v>1000</v>
      </c>
      <c r="W436">
        <v>0</v>
      </c>
      <c r="X436">
        <v>-909021926</v>
      </c>
      <c r="Y436">
        <v>2.0000000000000001E-4</v>
      </c>
      <c r="AA436">
        <v>103564.5</v>
      </c>
      <c r="AB436">
        <v>0</v>
      </c>
      <c r="AC436">
        <v>0</v>
      </c>
      <c r="AD436">
        <v>0</v>
      </c>
      <c r="AE436">
        <v>16950</v>
      </c>
      <c r="AF436">
        <v>0</v>
      </c>
      <c r="AG436">
        <v>0</v>
      </c>
      <c r="AH436">
        <v>0</v>
      </c>
      <c r="AI436">
        <v>6.11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2.0000000000000001E-4</v>
      </c>
      <c r="AU436" t="s">
        <v>6</v>
      </c>
      <c r="AV436">
        <v>0</v>
      </c>
      <c r="AW436">
        <v>2</v>
      </c>
      <c r="AX436">
        <v>16785006</v>
      </c>
      <c r="AY436">
        <v>1</v>
      </c>
      <c r="AZ436">
        <v>0</v>
      </c>
      <c r="BA436">
        <v>453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Y436*Source!I141</f>
        <v>8.0000000000000007E-5</v>
      </c>
      <c r="CY436">
        <f t="shared" si="73"/>
        <v>103564.5</v>
      </c>
      <c r="CZ436">
        <f t="shared" si="74"/>
        <v>16950</v>
      </c>
      <c r="DA436">
        <f t="shared" si="75"/>
        <v>6.11</v>
      </c>
      <c r="DB436">
        <f t="shared" si="76"/>
        <v>3.39</v>
      </c>
      <c r="DC436">
        <f t="shared" si="77"/>
        <v>0</v>
      </c>
    </row>
    <row r="437" spans="1:107" x14ac:dyDescent="0.2">
      <c r="A437">
        <f>ROW(Source!A141)</f>
        <v>141</v>
      </c>
      <c r="B437">
        <v>16784196</v>
      </c>
      <c r="C437">
        <v>16784992</v>
      </c>
      <c r="D437">
        <v>15211699</v>
      </c>
      <c r="E437">
        <v>1</v>
      </c>
      <c r="F437">
        <v>1</v>
      </c>
      <c r="G437">
        <v>1</v>
      </c>
      <c r="H437">
        <v>3</v>
      </c>
      <c r="I437" t="s">
        <v>311</v>
      </c>
      <c r="J437" t="s">
        <v>313</v>
      </c>
      <c r="K437" t="s">
        <v>312</v>
      </c>
      <c r="L437">
        <v>1035</v>
      </c>
      <c r="N437">
        <v>1013</v>
      </c>
      <c r="O437" t="s">
        <v>222</v>
      </c>
      <c r="P437" t="s">
        <v>222</v>
      </c>
      <c r="Q437">
        <v>1</v>
      </c>
      <c r="W437">
        <v>0</v>
      </c>
      <c r="X437">
        <v>-1177463349</v>
      </c>
      <c r="Y437">
        <v>10</v>
      </c>
      <c r="AA437">
        <v>2477.54</v>
      </c>
      <c r="AB437">
        <v>0</v>
      </c>
      <c r="AC437">
        <v>0</v>
      </c>
      <c r="AD437">
        <v>0</v>
      </c>
      <c r="AE437">
        <v>405.49</v>
      </c>
      <c r="AF437">
        <v>0</v>
      </c>
      <c r="AG437">
        <v>0</v>
      </c>
      <c r="AH437">
        <v>0</v>
      </c>
      <c r="AI437">
        <v>6.11</v>
      </c>
      <c r="AJ437">
        <v>1</v>
      </c>
      <c r="AK437">
        <v>1</v>
      </c>
      <c r="AL437">
        <v>1</v>
      </c>
      <c r="AN437">
        <v>0</v>
      </c>
      <c r="AO437">
        <v>0</v>
      </c>
      <c r="AP437">
        <v>0</v>
      </c>
      <c r="AQ437">
        <v>0</v>
      </c>
      <c r="AR437">
        <v>0</v>
      </c>
      <c r="AS437" t="s">
        <v>6</v>
      </c>
      <c r="AT437">
        <v>10</v>
      </c>
      <c r="AU437" t="s">
        <v>6</v>
      </c>
      <c r="AV437">
        <v>0</v>
      </c>
      <c r="AW437">
        <v>1</v>
      </c>
      <c r="AX437">
        <v>-1</v>
      </c>
      <c r="AY437">
        <v>0</v>
      </c>
      <c r="AZ437">
        <v>0</v>
      </c>
      <c r="BA437" t="s">
        <v>6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Y437*Source!I141</f>
        <v>4</v>
      </c>
      <c r="CY437">
        <f t="shared" si="73"/>
        <v>2477.54</v>
      </c>
      <c r="CZ437">
        <f t="shared" si="74"/>
        <v>405.49</v>
      </c>
      <c r="DA437">
        <f t="shared" si="75"/>
        <v>6.11</v>
      </c>
      <c r="DB437">
        <f t="shared" si="76"/>
        <v>4054.9</v>
      </c>
      <c r="DC437">
        <f t="shared" si="77"/>
        <v>0</v>
      </c>
    </row>
    <row r="438" spans="1:107" x14ac:dyDescent="0.2">
      <c r="A438">
        <f>ROW(Source!A141)</f>
        <v>141</v>
      </c>
      <c r="B438">
        <v>16784196</v>
      </c>
      <c r="C438">
        <v>16784992</v>
      </c>
      <c r="D438">
        <v>15211924</v>
      </c>
      <c r="E438">
        <v>1</v>
      </c>
      <c r="F438">
        <v>1</v>
      </c>
      <c r="G438">
        <v>1</v>
      </c>
      <c r="H438">
        <v>3</v>
      </c>
      <c r="I438" t="s">
        <v>316</v>
      </c>
      <c r="J438" t="s">
        <v>318</v>
      </c>
      <c r="K438" t="s">
        <v>317</v>
      </c>
      <c r="L438">
        <v>1035</v>
      </c>
      <c r="N438">
        <v>1013</v>
      </c>
      <c r="O438" t="s">
        <v>222</v>
      </c>
      <c r="P438" t="s">
        <v>222</v>
      </c>
      <c r="Q438">
        <v>1</v>
      </c>
      <c r="W438">
        <v>0</v>
      </c>
      <c r="X438">
        <v>995820444</v>
      </c>
      <c r="Y438">
        <v>10</v>
      </c>
      <c r="AA438">
        <v>1211.6099999999999</v>
      </c>
      <c r="AB438">
        <v>0</v>
      </c>
      <c r="AC438">
        <v>0</v>
      </c>
      <c r="AD438">
        <v>0</v>
      </c>
      <c r="AE438">
        <v>198.3</v>
      </c>
      <c r="AF438">
        <v>0</v>
      </c>
      <c r="AG438">
        <v>0</v>
      </c>
      <c r="AH438">
        <v>0</v>
      </c>
      <c r="AI438">
        <v>6.11</v>
      </c>
      <c r="AJ438">
        <v>1</v>
      </c>
      <c r="AK438">
        <v>1</v>
      </c>
      <c r="AL438">
        <v>1</v>
      </c>
      <c r="AN438">
        <v>0</v>
      </c>
      <c r="AO438">
        <v>0</v>
      </c>
      <c r="AP438">
        <v>0</v>
      </c>
      <c r="AQ438">
        <v>0</v>
      </c>
      <c r="AR438">
        <v>0</v>
      </c>
      <c r="AS438" t="s">
        <v>6</v>
      </c>
      <c r="AT438">
        <v>10</v>
      </c>
      <c r="AU438" t="s">
        <v>6</v>
      </c>
      <c r="AV438">
        <v>0</v>
      </c>
      <c r="AW438">
        <v>1</v>
      </c>
      <c r="AX438">
        <v>-1</v>
      </c>
      <c r="AY438">
        <v>0</v>
      </c>
      <c r="AZ438">
        <v>0</v>
      </c>
      <c r="BA438" t="s">
        <v>6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Y438*Source!I141</f>
        <v>4</v>
      </c>
      <c r="CY438">
        <f t="shared" si="73"/>
        <v>1211.6099999999999</v>
      </c>
      <c r="CZ438">
        <f t="shared" si="74"/>
        <v>198.3</v>
      </c>
      <c r="DA438">
        <f t="shared" si="75"/>
        <v>6.11</v>
      </c>
      <c r="DB438">
        <f t="shared" si="76"/>
        <v>1983</v>
      </c>
      <c r="DC438">
        <f t="shared" si="77"/>
        <v>0</v>
      </c>
    </row>
    <row r="439" spans="1:107" x14ac:dyDescent="0.2">
      <c r="A439">
        <f>ROW(Source!A148)</f>
        <v>148</v>
      </c>
      <c r="B439">
        <v>16784195</v>
      </c>
      <c r="C439">
        <v>16785012</v>
      </c>
      <c r="D439">
        <v>15436556</v>
      </c>
      <c r="E439">
        <v>1</v>
      </c>
      <c r="F439">
        <v>1</v>
      </c>
      <c r="G439">
        <v>1</v>
      </c>
      <c r="H439">
        <v>1</v>
      </c>
      <c r="I439" t="s">
        <v>621</v>
      </c>
      <c r="J439" t="s">
        <v>6</v>
      </c>
      <c r="K439" t="s">
        <v>622</v>
      </c>
      <c r="L439">
        <v>1191</v>
      </c>
      <c r="N439">
        <v>1013</v>
      </c>
      <c r="O439" t="s">
        <v>495</v>
      </c>
      <c r="P439" t="s">
        <v>495</v>
      </c>
      <c r="Q439">
        <v>1</v>
      </c>
      <c r="W439">
        <v>0</v>
      </c>
      <c r="X439">
        <v>1069510174</v>
      </c>
      <c r="Y439">
        <v>34.787499999999994</v>
      </c>
      <c r="AA439">
        <v>0</v>
      </c>
      <c r="AB439">
        <v>0</v>
      </c>
      <c r="AC439">
        <v>0</v>
      </c>
      <c r="AD439">
        <v>9.6199999999999992</v>
      </c>
      <c r="AE439">
        <v>0</v>
      </c>
      <c r="AF439">
        <v>0</v>
      </c>
      <c r="AG439">
        <v>0</v>
      </c>
      <c r="AH439">
        <v>9.6199999999999992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6</v>
      </c>
      <c r="AT439">
        <v>30.25</v>
      </c>
      <c r="AU439" t="s">
        <v>28</v>
      </c>
      <c r="AV439">
        <v>1</v>
      </c>
      <c r="AW439">
        <v>2</v>
      </c>
      <c r="AX439">
        <v>16785013</v>
      </c>
      <c r="AY439">
        <v>1</v>
      </c>
      <c r="AZ439">
        <v>0</v>
      </c>
      <c r="BA439">
        <v>455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Y439*Source!I148</f>
        <v>3.4787499999999998</v>
      </c>
      <c r="CY439">
        <f>AD439</f>
        <v>9.6199999999999992</v>
      </c>
      <c r="CZ439">
        <f>AH439</f>
        <v>9.6199999999999992</v>
      </c>
      <c r="DA439">
        <f>AL439</f>
        <v>1</v>
      </c>
      <c r="DB439">
        <f>ROUND((ROUND(AT439*CZ439,2)*1.15),2)</f>
        <v>334.66</v>
      </c>
      <c r="DC439">
        <f>ROUND((ROUND(AT439*AG439,2)*1.15),2)</f>
        <v>0</v>
      </c>
    </row>
    <row r="440" spans="1:107" x14ac:dyDescent="0.2">
      <c r="A440">
        <f>ROW(Source!A148)</f>
        <v>148</v>
      </c>
      <c r="B440">
        <v>16784195</v>
      </c>
      <c r="C440">
        <v>16785012</v>
      </c>
      <c r="D440">
        <v>15430395</v>
      </c>
      <c r="E440">
        <v>1</v>
      </c>
      <c r="F440">
        <v>1</v>
      </c>
      <c r="G440">
        <v>1</v>
      </c>
      <c r="H440">
        <v>1</v>
      </c>
      <c r="I440" t="s">
        <v>496</v>
      </c>
      <c r="J440" t="s">
        <v>6</v>
      </c>
      <c r="K440" t="s">
        <v>497</v>
      </c>
      <c r="L440">
        <v>1191</v>
      </c>
      <c r="N440">
        <v>1013</v>
      </c>
      <c r="O440" t="s">
        <v>495</v>
      </c>
      <c r="P440" t="s">
        <v>495</v>
      </c>
      <c r="Q440">
        <v>1</v>
      </c>
      <c r="W440">
        <v>0</v>
      </c>
      <c r="X440">
        <v>-1417349443</v>
      </c>
      <c r="Y440">
        <v>0.46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0.46</v>
      </c>
      <c r="AU440" t="s">
        <v>6</v>
      </c>
      <c r="AV440">
        <v>2</v>
      </c>
      <c r="AW440">
        <v>2</v>
      </c>
      <c r="AX440">
        <v>16785014</v>
      </c>
      <c r="AY440">
        <v>1</v>
      </c>
      <c r="AZ440">
        <v>2048</v>
      </c>
      <c r="BA440">
        <v>456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Y440*Source!I148</f>
        <v>4.6000000000000006E-2</v>
      </c>
      <c r="CY440">
        <f>AD440</f>
        <v>0</v>
      </c>
      <c r="CZ440">
        <f>AH440</f>
        <v>0</v>
      </c>
      <c r="DA440">
        <f>AL440</f>
        <v>1</v>
      </c>
      <c r="DB440">
        <f>ROUND(ROUND(AT440*CZ440,2),2)</f>
        <v>0</v>
      </c>
      <c r="DC440">
        <f>ROUND(ROUND(AT440*AG440,2),2)</f>
        <v>0</v>
      </c>
    </row>
    <row r="441" spans="1:107" x14ac:dyDescent="0.2">
      <c r="A441">
        <f>ROW(Source!A148)</f>
        <v>148</v>
      </c>
      <c r="B441">
        <v>16784195</v>
      </c>
      <c r="C441">
        <v>16785012</v>
      </c>
      <c r="D441">
        <v>15247974</v>
      </c>
      <c r="E441">
        <v>1</v>
      </c>
      <c r="F441">
        <v>1</v>
      </c>
      <c r="G441">
        <v>1</v>
      </c>
      <c r="H441">
        <v>2</v>
      </c>
      <c r="I441" t="s">
        <v>498</v>
      </c>
      <c r="J441" t="s">
        <v>499</v>
      </c>
      <c r="K441" t="s">
        <v>500</v>
      </c>
      <c r="L441">
        <v>1368</v>
      </c>
      <c r="N441">
        <v>1011</v>
      </c>
      <c r="O441" t="s">
        <v>501</v>
      </c>
      <c r="P441" t="s">
        <v>501</v>
      </c>
      <c r="Q441">
        <v>1</v>
      </c>
      <c r="W441">
        <v>0</v>
      </c>
      <c r="X441">
        <v>1188625873</v>
      </c>
      <c r="Y441">
        <v>0.16250000000000001</v>
      </c>
      <c r="AA441">
        <v>0</v>
      </c>
      <c r="AB441">
        <v>31.26</v>
      </c>
      <c r="AC441">
        <v>13.5</v>
      </c>
      <c r="AD441">
        <v>0</v>
      </c>
      <c r="AE441">
        <v>0</v>
      </c>
      <c r="AF441">
        <v>31.26</v>
      </c>
      <c r="AG441">
        <v>13.5</v>
      </c>
      <c r="AH441">
        <v>0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6</v>
      </c>
      <c r="AT441">
        <v>0.13</v>
      </c>
      <c r="AU441" t="s">
        <v>27</v>
      </c>
      <c r="AV441">
        <v>0</v>
      </c>
      <c r="AW441">
        <v>2</v>
      </c>
      <c r="AX441">
        <v>16785015</v>
      </c>
      <c r="AY441">
        <v>1</v>
      </c>
      <c r="AZ441">
        <v>0</v>
      </c>
      <c r="BA441">
        <v>457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Y441*Source!I148</f>
        <v>1.6250000000000001E-2</v>
      </c>
      <c r="CY441">
        <f>AB441</f>
        <v>31.26</v>
      </c>
      <c r="CZ441">
        <f>AF441</f>
        <v>31.26</v>
      </c>
      <c r="DA441">
        <f>AJ441</f>
        <v>1</v>
      </c>
      <c r="DB441">
        <f>ROUND((ROUND(AT441*CZ441,2)*1.25),2)</f>
        <v>5.08</v>
      </c>
      <c r="DC441">
        <f>ROUND((ROUND(AT441*AG441,2)*1.25),2)</f>
        <v>2.2000000000000002</v>
      </c>
    </row>
    <row r="442" spans="1:107" x14ac:dyDescent="0.2">
      <c r="A442">
        <f>ROW(Source!A148)</f>
        <v>148</v>
      </c>
      <c r="B442">
        <v>16784195</v>
      </c>
      <c r="C442">
        <v>16785012</v>
      </c>
      <c r="D442">
        <v>15249073</v>
      </c>
      <c r="E442">
        <v>1</v>
      </c>
      <c r="F442">
        <v>1</v>
      </c>
      <c r="G442">
        <v>1</v>
      </c>
      <c r="H442">
        <v>2</v>
      </c>
      <c r="I442" t="s">
        <v>504</v>
      </c>
      <c r="J442" t="s">
        <v>505</v>
      </c>
      <c r="K442" t="s">
        <v>506</v>
      </c>
      <c r="L442">
        <v>1368</v>
      </c>
      <c r="N442">
        <v>1011</v>
      </c>
      <c r="O442" t="s">
        <v>501</v>
      </c>
      <c r="P442" t="s">
        <v>501</v>
      </c>
      <c r="Q442">
        <v>1</v>
      </c>
      <c r="W442">
        <v>0</v>
      </c>
      <c r="X442">
        <v>1372534845</v>
      </c>
      <c r="Y442">
        <v>0.41250000000000003</v>
      </c>
      <c r="AA442">
        <v>0</v>
      </c>
      <c r="AB442">
        <v>65.709999999999994</v>
      </c>
      <c r="AC442">
        <v>11.6</v>
      </c>
      <c r="AD442">
        <v>0</v>
      </c>
      <c r="AE442">
        <v>0</v>
      </c>
      <c r="AF442">
        <v>65.709999999999994</v>
      </c>
      <c r="AG442">
        <v>11.6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6</v>
      </c>
      <c r="AT442">
        <v>0.33</v>
      </c>
      <c r="AU442" t="s">
        <v>27</v>
      </c>
      <c r="AV442">
        <v>0</v>
      </c>
      <c r="AW442">
        <v>2</v>
      </c>
      <c r="AX442">
        <v>16785016</v>
      </c>
      <c r="AY442">
        <v>1</v>
      </c>
      <c r="AZ442">
        <v>0</v>
      </c>
      <c r="BA442">
        <v>458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Y442*Source!I148</f>
        <v>4.1250000000000009E-2</v>
      </c>
      <c r="CY442">
        <f>AB442</f>
        <v>65.709999999999994</v>
      </c>
      <c r="CZ442">
        <f>AF442</f>
        <v>65.709999999999994</v>
      </c>
      <c r="DA442">
        <f>AJ442</f>
        <v>1</v>
      </c>
      <c r="DB442">
        <f>ROUND((ROUND(AT442*CZ442,2)*1.25),2)</f>
        <v>27.1</v>
      </c>
      <c r="DC442">
        <f>ROUND((ROUND(AT442*AG442,2)*1.25),2)</f>
        <v>4.79</v>
      </c>
    </row>
    <row r="443" spans="1:107" x14ac:dyDescent="0.2">
      <c r="A443">
        <f>ROW(Source!A148)</f>
        <v>148</v>
      </c>
      <c r="B443">
        <v>16784195</v>
      </c>
      <c r="C443">
        <v>16785012</v>
      </c>
      <c r="D443">
        <v>15167955</v>
      </c>
      <c r="E443">
        <v>1</v>
      </c>
      <c r="F443">
        <v>1</v>
      </c>
      <c r="G443">
        <v>1</v>
      </c>
      <c r="H443">
        <v>3</v>
      </c>
      <c r="I443" t="s">
        <v>724</v>
      </c>
      <c r="J443" t="s">
        <v>725</v>
      </c>
      <c r="K443" t="s">
        <v>726</v>
      </c>
      <c r="L443">
        <v>1348</v>
      </c>
      <c r="N443">
        <v>1009</v>
      </c>
      <c r="O443" t="s">
        <v>65</v>
      </c>
      <c r="P443" t="s">
        <v>65</v>
      </c>
      <c r="Q443">
        <v>1000</v>
      </c>
      <c r="W443">
        <v>0</v>
      </c>
      <c r="X443">
        <v>-1699345571</v>
      </c>
      <c r="Y443">
        <v>6.9999999999999999E-4</v>
      </c>
      <c r="AA443">
        <v>30030</v>
      </c>
      <c r="AB443">
        <v>0</v>
      </c>
      <c r="AC443">
        <v>0</v>
      </c>
      <c r="AD443">
        <v>0</v>
      </c>
      <c r="AE443">
        <v>30030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6</v>
      </c>
      <c r="AT443">
        <v>6.9999999999999999E-4</v>
      </c>
      <c r="AU443" t="s">
        <v>6</v>
      </c>
      <c r="AV443">
        <v>0</v>
      </c>
      <c r="AW443">
        <v>2</v>
      </c>
      <c r="AX443">
        <v>16785017</v>
      </c>
      <c r="AY443">
        <v>1</v>
      </c>
      <c r="AZ443">
        <v>0</v>
      </c>
      <c r="BA443">
        <v>459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Y443*Source!I148</f>
        <v>7.0000000000000007E-5</v>
      </c>
      <c r="CY443">
        <f t="shared" ref="CY443:CY449" si="78">AA443</f>
        <v>30030</v>
      </c>
      <c r="CZ443">
        <f t="shared" ref="CZ443:CZ449" si="79">AE443</f>
        <v>30030</v>
      </c>
      <c r="DA443">
        <f t="shared" ref="DA443:DA449" si="80">AI443</f>
        <v>1</v>
      </c>
      <c r="DB443">
        <f t="shared" ref="DB443:DB449" si="81">ROUND(ROUND(AT443*CZ443,2),2)</f>
        <v>21.02</v>
      </c>
      <c r="DC443">
        <f t="shared" ref="DC443:DC449" si="82">ROUND(ROUND(AT443*AG443,2),2)</f>
        <v>0</v>
      </c>
    </row>
    <row r="444" spans="1:107" x14ac:dyDescent="0.2">
      <c r="A444">
        <f>ROW(Source!A148)</f>
        <v>148</v>
      </c>
      <c r="B444">
        <v>16784195</v>
      </c>
      <c r="C444">
        <v>16785012</v>
      </c>
      <c r="D444">
        <v>15167963</v>
      </c>
      <c r="E444">
        <v>1</v>
      </c>
      <c r="F444">
        <v>1</v>
      </c>
      <c r="G444">
        <v>1</v>
      </c>
      <c r="H444">
        <v>3</v>
      </c>
      <c r="I444" t="s">
        <v>727</v>
      </c>
      <c r="J444" t="s">
        <v>728</v>
      </c>
      <c r="K444" t="s">
        <v>729</v>
      </c>
      <c r="L444">
        <v>1346</v>
      </c>
      <c r="N444">
        <v>1009</v>
      </c>
      <c r="O444" t="s">
        <v>60</v>
      </c>
      <c r="P444" t="s">
        <v>60</v>
      </c>
      <c r="Q444">
        <v>1</v>
      </c>
      <c r="W444">
        <v>0</v>
      </c>
      <c r="X444">
        <v>-490687590</v>
      </c>
      <c r="Y444">
        <v>0.12</v>
      </c>
      <c r="AA444">
        <v>37.29</v>
      </c>
      <c r="AB444">
        <v>0</v>
      </c>
      <c r="AC444">
        <v>0</v>
      </c>
      <c r="AD444">
        <v>0</v>
      </c>
      <c r="AE444">
        <v>37.29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0.12</v>
      </c>
      <c r="AU444" t="s">
        <v>6</v>
      </c>
      <c r="AV444">
        <v>0</v>
      </c>
      <c r="AW444">
        <v>2</v>
      </c>
      <c r="AX444">
        <v>16785018</v>
      </c>
      <c r="AY444">
        <v>1</v>
      </c>
      <c r="AZ444">
        <v>0</v>
      </c>
      <c r="BA444">
        <v>460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Y444*Source!I148</f>
        <v>1.2E-2</v>
      </c>
      <c r="CY444">
        <f t="shared" si="78"/>
        <v>37.29</v>
      </c>
      <c r="CZ444">
        <f t="shared" si="79"/>
        <v>37.29</v>
      </c>
      <c r="DA444">
        <f t="shared" si="80"/>
        <v>1</v>
      </c>
      <c r="DB444">
        <f t="shared" si="81"/>
        <v>4.47</v>
      </c>
      <c r="DC444">
        <f t="shared" si="82"/>
        <v>0</v>
      </c>
    </row>
    <row r="445" spans="1:107" x14ac:dyDescent="0.2">
      <c r="A445">
        <f>ROW(Source!A148)</f>
        <v>148</v>
      </c>
      <c r="B445">
        <v>16784195</v>
      </c>
      <c r="C445">
        <v>16785012</v>
      </c>
      <c r="D445">
        <v>15172117</v>
      </c>
      <c r="E445">
        <v>1</v>
      </c>
      <c r="F445">
        <v>1</v>
      </c>
      <c r="G445">
        <v>1</v>
      </c>
      <c r="H445">
        <v>3</v>
      </c>
      <c r="I445" t="s">
        <v>742</v>
      </c>
      <c r="J445" t="s">
        <v>743</v>
      </c>
      <c r="K445" t="s">
        <v>744</v>
      </c>
      <c r="L445">
        <v>1348</v>
      </c>
      <c r="N445">
        <v>1009</v>
      </c>
      <c r="O445" t="s">
        <v>65</v>
      </c>
      <c r="P445" t="s">
        <v>65</v>
      </c>
      <c r="Q445">
        <v>1000</v>
      </c>
      <c r="W445">
        <v>0</v>
      </c>
      <c r="X445">
        <v>1529337430</v>
      </c>
      <c r="Y445">
        <v>2E-3</v>
      </c>
      <c r="AA445">
        <v>1836</v>
      </c>
      <c r="AB445">
        <v>0</v>
      </c>
      <c r="AC445">
        <v>0</v>
      </c>
      <c r="AD445">
        <v>0</v>
      </c>
      <c r="AE445">
        <v>1836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2E-3</v>
      </c>
      <c r="AU445" t="s">
        <v>6</v>
      </c>
      <c r="AV445">
        <v>0</v>
      </c>
      <c r="AW445">
        <v>2</v>
      </c>
      <c r="AX445">
        <v>16785021</v>
      </c>
      <c r="AY445">
        <v>1</v>
      </c>
      <c r="AZ445">
        <v>0</v>
      </c>
      <c r="BA445">
        <v>463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Y445*Source!I148</f>
        <v>2.0000000000000001E-4</v>
      </c>
      <c r="CY445">
        <f t="shared" si="78"/>
        <v>1836</v>
      </c>
      <c r="CZ445">
        <f t="shared" si="79"/>
        <v>1836</v>
      </c>
      <c r="DA445">
        <f t="shared" si="80"/>
        <v>1</v>
      </c>
      <c r="DB445">
        <f t="shared" si="81"/>
        <v>3.67</v>
      </c>
      <c r="DC445">
        <f t="shared" si="82"/>
        <v>0</v>
      </c>
    </row>
    <row r="446" spans="1:107" x14ac:dyDescent="0.2">
      <c r="A446">
        <f>ROW(Source!A148)</f>
        <v>148</v>
      </c>
      <c r="B446">
        <v>16784195</v>
      </c>
      <c r="C446">
        <v>16785012</v>
      </c>
      <c r="D446">
        <v>15203740</v>
      </c>
      <c r="E446">
        <v>1</v>
      </c>
      <c r="F446">
        <v>1</v>
      </c>
      <c r="G446">
        <v>1</v>
      </c>
      <c r="H446">
        <v>3</v>
      </c>
      <c r="I446" t="s">
        <v>739</v>
      </c>
      <c r="J446" t="s">
        <v>740</v>
      </c>
      <c r="K446" t="s">
        <v>741</v>
      </c>
      <c r="L446">
        <v>1348</v>
      </c>
      <c r="N446">
        <v>1009</v>
      </c>
      <c r="O446" t="s">
        <v>65</v>
      </c>
      <c r="P446" t="s">
        <v>65</v>
      </c>
      <c r="Q446">
        <v>1000</v>
      </c>
      <c r="W446">
        <v>0</v>
      </c>
      <c r="X446">
        <v>570223526</v>
      </c>
      <c r="Y446">
        <v>2.4000000000000001E-4</v>
      </c>
      <c r="AA446">
        <v>15119</v>
      </c>
      <c r="AB446">
        <v>0</v>
      </c>
      <c r="AC446">
        <v>0</v>
      </c>
      <c r="AD446">
        <v>0</v>
      </c>
      <c r="AE446">
        <v>15119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2.4000000000000001E-4</v>
      </c>
      <c r="AU446" t="s">
        <v>6</v>
      </c>
      <c r="AV446">
        <v>0</v>
      </c>
      <c r="AW446">
        <v>2</v>
      </c>
      <c r="AX446">
        <v>16785022</v>
      </c>
      <c r="AY446">
        <v>1</v>
      </c>
      <c r="AZ446">
        <v>0</v>
      </c>
      <c r="BA446">
        <v>464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Y446*Source!I148</f>
        <v>2.4000000000000001E-5</v>
      </c>
      <c r="CY446">
        <f t="shared" si="78"/>
        <v>15119</v>
      </c>
      <c r="CZ446">
        <f t="shared" si="79"/>
        <v>15119</v>
      </c>
      <c r="DA446">
        <f t="shared" si="80"/>
        <v>1</v>
      </c>
      <c r="DB446">
        <f t="shared" si="81"/>
        <v>3.63</v>
      </c>
      <c r="DC446">
        <f t="shared" si="82"/>
        <v>0</v>
      </c>
    </row>
    <row r="447" spans="1:107" x14ac:dyDescent="0.2">
      <c r="A447">
        <f>ROW(Source!A148)</f>
        <v>148</v>
      </c>
      <c r="B447">
        <v>16784195</v>
      </c>
      <c r="C447">
        <v>16785012</v>
      </c>
      <c r="D447">
        <v>15204468</v>
      </c>
      <c r="E447">
        <v>1</v>
      </c>
      <c r="F447">
        <v>1</v>
      </c>
      <c r="G447">
        <v>1</v>
      </c>
      <c r="H447">
        <v>3</v>
      </c>
      <c r="I447" t="s">
        <v>659</v>
      </c>
      <c r="J447" t="s">
        <v>660</v>
      </c>
      <c r="K447" t="s">
        <v>661</v>
      </c>
      <c r="L447">
        <v>1348</v>
      </c>
      <c r="N447">
        <v>1009</v>
      </c>
      <c r="O447" t="s">
        <v>65</v>
      </c>
      <c r="P447" t="s">
        <v>65</v>
      </c>
      <c r="Q447">
        <v>1000</v>
      </c>
      <c r="W447">
        <v>0</v>
      </c>
      <c r="X447">
        <v>-909021926</v>
      </c>
      <c r="Y447">
        <v>1.2E-4</v>
      </c>
      <c r="AA447">
        <v>16950</v>
      </c>
      <c r="AB447">
        <v>0</v>
      </c>
      <c r="AC447">
        <v>0</v>
      </c>
      <c r="AD447">
        <v>0</v>
      </c>
      <c r="AE447">
        <v>16950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1.2E-4</v>
      </c>
      <c r="AU447" t="s">
        <v>6</v>
      </c>
      <c r="AV447">
        <v>0</v>
      </c>
      <c r="AW447">
        <v>2</v>
      </c>
      <c r="AX447">
        <v>16785024</v>
      </c>
      <c r="AY447">
        <v>1</v>
      </c>
      <c r="AZ447">
        <v>0</v>
      </c>
      <c r="BA447">
        <v>466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Y447*Source!I148</f>
        <v>1.2E-5</v>
      </c>
      <c r="CY447">
        <f t="shared" si="78"/>
        <v>16950</v>
      </c>
      <c r="CZ447">
        <f t="shared" si="79"/>
        <v>16950</v>
      </c>
      <c r="DA447">
        <f t="shared" si="80"/>
        <v>1</v>
      </c>
      <c r="DB447">
        <f t="shared" si="81"/>
        <v>2.0299999999999998</v>
      </c>
      <c r="DC447">
        <f t="shared" si="82"/>
        <v>0</v>
      </c>
    </row>
    <row r="448" spans="1:107" x14ac:dyDescent="0.2">
      <c r="A448">
        <f>ROW(Source!A148)</f>
        <v>148</v>
      </c>
      <c r="B448">
        <v>16784195</v>
      </c>
      <c r="C448">
        <v>16785012</v>
      </c>
      <c r="D448">
        <v>15211486</v>
      </c>
      <c r="E448">
        <v>1</v>
      </c>
      <c r="F448">
        <v>1</v>
      </c>
      <c r="G448">
        <v>1</v>
      </c>
      <c r="H448">
        <v>3</v>
      </c>
      <c r="I448" t="s">
        <v>328</v>
      </c>
      <c r="J448" t="s">
        <v>330</v>
      </c>
      <c r="K448" t="s">
        <v>329</v>
      </c>
      <c r="L448">
        <v>1035</v>
      </c>
      <c r="N448">
        <v>1013</v>
      </c>
      <c r="O448" t="s">
        <v>222</v>
      </c>
      <c r="P448" t="s">
        <v>222</v>
      </c>
      <c r="Q448">
        <v>1</v>
      </c>
      <c r="W448">
        <v>0</v>
      </c>
      <c r="X448">
        <v>278766583</v>
      </c>
      <c r="Y448">
        <v>10</v>
      </c>
      <c r="AA448">
        <v>692.34</v>
      </c>
      <c r="AB448">
        <v>0</v>
      </c>
      <c r="AC448">
        <v>0</v>
      </c>
      <c r="AD448">
        <v>0</v>
      </c>
      <c r="AE448">
        <v>692.34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0</v>
      </c>
      <c r="AP448">
        <v>0</v>
      </c>
      <c r="AQ448">
        <v>0</v>
      </c>
      <c r="AR448">
        <v>0</v>
      </c>
      <c r="AS448" t="s">
        <v>6</v>
      </c>
      <c r="AT448">
        <v>10</v>
      </c>
      <c r="AU448" t="s">
        <v>6</v>
      </c>
      <c r="AV448">
        <v>0</v>
      </c>
      <c r="AW448">
        <v>1</v>
      </c>
      <c r="AX448">
        <v>-1</v>
      </c>
      <c r="AY448">
        <v>0</v>
      </c>
      <c r="AZ448">
        <v>0</v>
      </c>
      <c r="BA448" t="s">
        <v>6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Y448*Source!I148</f>
        <v>1</v>
      </c>
      <c r="CY448">
        <f t="shared" si="78"/>
        <v>692.34</v>
      </c>
      <c r="CZ448">
        <f t="shared" si="79"/>
        <v>692.34</v>
      </c>
      <c r="DA448">
        <f t="shared" si="80"/>
        <v>1</v>
      </c>
      <c r="DB448">
        <f t="shared" si="81"/>
        <v>6923.4</v>
      </c>
      <c r="DC448">
        <f t="shared" si="82"/>
        <v>0</v>
      </c>
    </row>
    <row r="449" spans="1:107" x14ac:dyDescent="0.2">
      <c r="A449">
        <f>ROW(Source!A148)</f>
        <v>148</v>
      </c>
      <c r="B449">
        <v>16784195</v>
      </c>
      <c r="C449">
        <v>16785012</v>
      </c>
      <c r="D449">
        <v>15163189</v>
      </c>
      <c r="E449">
        <v>17</v>
      </c>
      <c r="F449">
        <v>1</v>
      </c>
      <c r="G449">
        <v>1</v>
      </c>
      <c r="H449">
        <v>3</v>
      </c>
      <c r="I449" t="s">
        <v>332</v>
      </c>
      <c r="J449" t="s">
        <v>6</v>
      </c>
      <c r="K449" t="s">
        <v>333</v>
      </c>
      <c r="L449">
        <v>1035</v>
      </c>
      <c r="N449">
        <v>1013</v>
      </c>
      <c r="O449" t="s">
        <v>222</v>
      </c>
      <c r="P449" t="s">
        <v>222</v>
      </c>
      <c r="Q449">
        <v>1</v>
      </c>
      <c r="W449">
        <v>0</v>
      </c>
      <c r="X449">
        <v>195171381</v>
      </c>
      <c r="Y449">
        <v>10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0</v>
      </c>
      <c r="AP449">
        <v>0</v>
      </c>
      <c r="AQ449">
        <v>0</v>
      </c>
      <c r="AR449">
        <v>0</v>
      </c>
      <c r="AS449" t="s">
        <v>6</v>
      </c>
      <c r="AT449">
        <v>10</v>
      </c>
      <c r="AU449" t="s">
        <v>6</v>
      </c>
      <c r="AV449">
        <v>0</v>
      </c>
      <c r="AW449">
        <v>2</v>
      </c>
      <c r="AX449">
        <v>16785025</v>
      </c>
      <c r="AY449">
        <v>1</v>
      </c>
      <c r="AZ449">
        <v>0</v>
      </c>
      <c r="BA449">
        <v>467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Y449*Source!I148</f>
        <v>1</v>
      </c>
      <c r="CY449">
        <f t="shared" si="78"/>
        <v>0</v>
      </c>
      <c r="CZ449">
        <f t="shared" si="79"/>
        <v>0</v>
      </c>
      <c r="DA449">
        <f t="shared" si="80"/>
        <v>1</v>
      </c>
      <c r="DB449">
        <f t="shared" si="81"/>
        <v>0</v>
      </c>
      <c r="DC449">
        <f t="shared" si="82"/>
        <v>0</v>
      </c>
    </row>
    <row r="450" spans="1:107" x14ac:dyDescent="0.2">
      <c r="A450">
        <f>ROW(Source!A149)</f>
        <v>149</v>
      </c>
      <c r="B450">
        <v>16784196</v>
      </c>
      <c r="C450">
        <v>16785012</v>
      </c>
      <c r="D450">
        <v>15436556</v>
      </c>
      <c r="E450">
        <v>1</v>
      </c>
      <c r="F450">
        <v>1</v>
      </c>
      <c r="G450">
        <v>1</v>
      </c>
      <c r="H450">
        <v>1</v>
      </c>
      <c r="I450" t="s">
        <v>621</v>
      </c>
      <c r="J450" t="s">
        <v>6</v>
      </c>
      <c r="K450" t="s">
        <v>622</v>
      </c>
      <c r="L450">
        <v>1191</v>
      </c>
      <c r="N450">
        <v>1013</v>
      </c>
      <c r="O450" t="s">
        <v>495</v>
      </c>
      <c r="P450" t="s">
        <v>495</v>
      </c>
      <c r="Q450">
        <v>1</v>
      </c>
      <c r="W450">
        <v>0</v>
      </c>
      <c r="X450">
        <v>1069510174</v>
      </c>
      <c r="Y450">
        <v>34.787499999999994</v>
      </c>
      <c r="AA450">
        <v>0</v>
      </c>
      <c r="AB450">
        <v>0</v>
      </c>
      <c r="AC450">
        <v>0</v>
      </c>
      <c r="AD450">
        <v>58.78</v>
      </c>
      <c r="AE450">
        <v>0</v>
      </c>
      <c r="AF450">
        <v>0</v>
      </c>
      <c r="AG450">
        <v>0</v>
      </c>
      <c r="AH450">
        <v>9.6199999999999992</v>
      </c>
      <c r="AI450">
        <v>1</v>
      </c>
      <c r="AJ450">
        <v>1</v>
      </c>
      <c r="AK450">
        <v>1</v>
      </c>
      <c r="AL450">
        <v>6.11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6</v>
      </c>
      <c r="AT450">
        <v>30.25</v>
      </c>
      <c r="AU450" t="s">
        <v>28</v>
      </c>
      <c r="AV450">
        <v>1</v>
      </c>
      <c r="AW450">
        <v>2</v>
      </c>
      <c r="AX450">
        <v>16785013</v>
      </c>
      <c r="AY450">
        <v>1</v>
      </c>
      <c r="AZ450">
        <v>0</v>
      </c>
      <c r="BA450">
        <v>468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Y450*Source!I149</f>
        <v>3.4787499999999998</v>
      </c>
      <c r="CY450">
        <f>AD450</f>
        <v>58.78</v>
      </c>
      <c r="CZ450">
        <f>AH450</f>
        <v>9.6199999999999992</v>
      </c>
      <c r="DA450">
        <f>AL450</f>
        <v>6.11</v>
      </c>
      <c r="DB450">
        <f>ROUND((ROUND(AT450*CZ450,2)*1.15),2)</f>
        <v>334.66</v>
      </c>
      <c r="DC450">
        <f>ROUND((ROUND(AT450*AG450,2)*1.15),2)</f>
        <v>0</v>
      </c>
    </row>
    <row r="451" spans="1:107" x14ac:dyDescent="0.2">
      <c r="A451">
        <f>ROW(Source!A149)</f>
        <v>149</v>
      </c>
      <c r="B451">
        <v>16784196</v>
      </c>
      <c r="C451">
        <v>16785012</v>
      </c>
      <c r="D451">
        <v>15430395</v>
      </c>
      <c r="E451">
        <v>1</v>
      </c>
      <c r="F451">
        <v>1</v>
      </c>
      <c r="G451">
        <v>1</v>
      </c>
      <c r="H451">
        <v>1</v>
      </c>
      <c r="I451" t="s">
        <v>496</v>
      </c>
      <c r="J451" t="s">
        <v>6</v>
      </c>
      <c r="K451" t="s">
        <v>497</v>
      </c>
      <c r="L451">
        <v>1191</v>
      </c>
      <c r="N451">
        <v>1013</v>
      </c>
      <c r="O451" t="s">
        <v>495</v>
      </c>
      <c r="P451" t="s">
        <v>495</v>
      </c>
      <c r="Q451">
        <v>1</v>
      </c>
      <c r="W451">
        <v>0</v>
      </c>
      <c r="X451">
        <v>-1417349443</v>
      </c>
      <c r="Y451">
        <v>0.46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6.11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6</v>
      </c>
      <c r="AT451">
        <v>0.46</v>
      </c>
      <c r="AU451" t="s">
        <v>6</v>
      </c>
      <c r="AV451">
        <v>2</v>
      </c>
      <c r="AW451">
        <v>2</v>
      </c>
      <c r="AX451">
        <v>16785014</v>
      </c>
      <c r="AY451">
        <v>1</v>
      </c>
      <c r="AZ451">
        <v>2048</v>
      </c>
      <c r="BA451">
        <v>469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Y451*Source!I149</f>
        <v>4.6000000000000006E-2</v>
      </c>
      <c r="CY451">
        <f>AD451</f>
        <v>0</v>
      </c>
      <c r="CZ451">
        <f>AH451</f>
        <v>0</v>
      </c>
      <c r="DA451">
        <f>AL451</f>
        <v>1</v>
      </c>
      <c r="DB451">
        <f>ROUND(ROUND(AT451*CZ451,2),2)</f>
        <v>0</v>
      </c>
      <c r="DC451">
        <f>ROUND(ROUND(AT451*AG451,2),2)</f>
        <v>0</v>
      </c>
    </row>
    <row r="452" spans="1:107" x14ac:dyDescent="0.2">
      <c r="A452">
        <f>ROW(Source!A149)</f>
        <v>149</v>
      </c>
      <c r="B452">
        <v>16784196</v>
      </c>
      <c r="C452">
        <v>16785012</v>
      </c>
      <c r="D452">
        <v>15247974</v>
      </c>
      <c r="E452">
        <v>1</v>
      </c>
      <c r="F452">
        <v>1</v>
      </c>
      <c r="G452">
        <v>1</v>
      </c>
      <c r="H452">
        <v>2</v>
      </c>
      <c r="I452" t="s">
        <v>498</v>
      </c>
      <c r="J452" t="s">
        <v>499</v>
      </c>
      <c r="K452" t="s">
        <v>500</v>
      </c>
      <c r="L452">
        <v>1368</v>
      </c>
      <c r="N452">
        <v>1011</v>
      </c>
      <c r="O452" t="s">
        <v>501</v>
      </c>
      <c r="P452" t="s">
        <v>501</v>
      </c>
      <c r="Q452">
        <v>1</v>
      </c>
      <c r="W452">
        <v>0</v>
      </c>
      <c r="X452">
        <v>1188625873</v>
      </c>
      <c r="Y452">
        <v>0.16250000000000001</v>
      </c>
      <c r="AA452">
        <v>0</v>
      </c>
      <c r="AB452">
        <v>191</v>
      </c>
      <c r="AC452">
        <v>13.5</v>
      </c>
      <c r="AD452">
        <v>0</v>
      </c>
      <c r="AE452">
        <v>0</v>
      </c>
      <c r="AF452">
        <v>31.26</v>
      </c>
      <c r="AG452">
        <v>13.5</v>
      </c>
      <c r="AH452">
        <v>0</v>
      </c>
      <c r="AI452">
        <v>1</v>
      </c>
      <c r="AJ452">
        <v>6.11</v>
      </c>
      <c r="AK452">
        <v>1</v>
      </c>
      <c r="AL452">
        <v>1</v>
      </c>
      <c r="AN452">
        <v>0</v>
      </c>
      <c r="AO452">
        <v>1</v>
      </c>
      <c r="AP452">
        <v>1</v>
      </c>
      <c r="AQ452">
        <v>0</v>
      </c>
      <c r="AR452">
        <v>0</v>
      </c>
      <c r="AS452" t="s">
        <v>6</v>
      </c>
      <c r="AT452">
        <v>0.13</v>
      </c>
      <c r="AU452" t="s">
        <v>27</v>
      </c>
      <c r="AV452">
        <v>0</v>
      </c>
      <c r="AW452">
        <v>2</v>
      </c>
      <c r="AX452">
        <v>16785015</v>
      </c>
      <c r="AY452">
        <v>1</v>
      </c>
      <c r="AZ452">
        <v>0</v>
      </c>
      <c r="BA452">
        <v>470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Y452*Source!I149</f>
        <v>1.6250000000000001E-2</v>
      </c>
      <c r="CY452">
        <f>AB452</f>
        <v>191</v>
      </c>
      <c r="CZ452">
        <f>AF452</f>
        <v>31.26</v>
      </c>
      <c r="DA452">
        <f>AJ452</f>
        <v>6.11</v>
      </c>
      <c r="DB452">
        <f>ROUND((ROUND(AT452*CZ452,2)*1.25),2)</f>
        <v>5.08</v>
      </c>
      <c r="DC452">
        <f>ROUND((ROUND(AT452*AG452,2)*1.25),2)</f>
        <v>2.2000000000000002</v>
      </c>
    </row>
    <row r="453" spans="1:107" x14ac:dyDescent="0.2">
      <c r="A453">
        <f>ROW(Source!A149)</f>
        <v>149</v>
      </c>
      <c r="B453">
        <v>16784196</v>
      </c>
      <c r="C453">
        <v>16785012</v>
      </c>
      <c r="D453">
        <v>15249073</v>
      </c>
      <c r="E453">
        <v>1</v>
      </c>
      <c r="F453">
        <v>1</v>
      </c>
      <c r="G453">
        <v>1</v>
      </c>
      <c r="H453">
        <v>2</v>
      </c>
      <c r="I453" t="s">
        <v>504</v>
      </c>
      <c r="J453" t="s">
        <v>505</v>
      </c>
      <c r="K453" t="s">
        <v>506</v>
      </c>
      <c r="L453">
        <v>1368</v>
      </c>
      <c r="N453">
        <v>1011</v>
      </c>
      <c r="O453" t="s">
        <v>501</v>
      </c>
      <c r="P453" t="s">
        <v>501</v>
      </c>
      <c r="Q453">
        <v>1</v>
      </c>
      <c r="W453">
        <v>0</v>
      </c>
      <c r="X453">
        <v>1372534845</v>
      </c>
      <c r="Y453">
        <v>0.41250000000000003</v>
      </c>
      <c r="AA453">
        <v>0</v>
      </c>
      <c r="AB453">
        <v>401.49</v>
      </c>
      <c r="AC453">
        <v>11.6</v>
      </c>
      <c r="AD453">
        <v>0</v>
      </c>
      <c r="AE453">
        <v>0</v>
      </c>
      <c r="AF453">
        <v>65.709999999999994</v>
      </c>
      <c r="AG453">
        <v>11.6</v>
      </c>
      <c r="AH453">
        <v>0</v>
      </c>
      <c r="AI453">
        <v>1</v>
      </c>
      <c r="AJ453">
        <v>6.11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0.33</v>
      </c>
      <c r="AU453" t="s">
        <v>27</v>
      </c>
      <c r="AV453">
        <v>0</v>
      </c>
      <c r="AW453">
        <v>2</v>
      </c>
      <c r="AX453">
        <v>16785016</v>
      </c>
      <c r="AY453">
        <v>1</v>
      </c>
      <c r="AZ453">
        <v>0</v>
      </c>
      <c r="BA453">
        <v>471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Y453*Source!I149</f>
        <v>4.1250000000000009E-2</v>
      </c>
      <c r="CY453">
        <f>AB453</f>
        <v>401.49</v>
      </c>
      <c r="CZ453">
        <f>AF453</f>
        <v>65.709999999999994</v>
      </c>
      <c r="DA453">
        <f>AJ453</f>
        <v>6.11</v>
      </c>
      <c r="DB453">
        <f>ROUND((ROUND(AT453*CZ453,2)*1.25),2)</f>
        <v>27.1</v>
      </c>
      <c r="DC453">
        <f>ROUND((ROUND(AT453*AG453,2)*1.25),2)</f>
        <v>4.79</v>
      </c>
    </row>
    <row r="454" spans="1:107" x14ac:dyDescent="0.2">
      <c r="A454">
        <f>ROW(Source!A149)</f>
        <v>149</v>
      </c>
      <c r="B454">
        <v>16784196</v>
      </c>
      <c r="C454">
        <v>16785012</v>
      </c>
      <c r="D454">
        <v>15167955</v>
      </c>
      <c r="E454">
        <v>1</v>
      </c>
      <c r="F454">
        <v>1</v>
      </c>
      <c r="G454">
        <v>1</v>
      </c>
      <c r="H454">
        <v>3</v>
      </c>
      <c r="I454" t="s">
        <v>724</v>
      </c>
      <c r="J454" t="s">
        <v>725</v>
      </c>
      <c r="K454" t="s">
        <v>726</v>
      </c>
      <c r="L454">
        <v>1348</v>
      </c>
      <c r="N454">
        <v>1009</v>
      </c>
      <c r="O454" t="s">
        <v>65</v>
      </c>
      <c r="P454" t="s">
        <v>65</v>
      </c>
      <c r="Q454">
        <v>1000</v>
      </c>
      <c r="W454">
        <v>0</v>
      </c>
      <c r="X454">
        <v>-1699345571</v>
      </c>
      <c r="Y454">
        <v>6.9999999999999999E-4</v>
      </c>
      <c r="AA454">
        <v>183483.3</v>
      </c>
      <c r="AB454">
        <v>0</v>
      </c>
      <c r="AC454">
        <v>0</v>
      </c>
      <c r="AD454">
        <v>0</v>
      </c>
      <c r="AE454">
        <v>30030</v>
      </c>
      <c r="AF454">
        <v>0</v>
      </c>
      <c r="AG454">
        <v>0</v>
      </c>
      <c r="AH454">
        <v>0</v>
      </c>
      <c r="AI454">
        <v>6.11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6</v>
      </c>
      <c r="AT454">
        <v>6.9999999999999999E-4</v>
      </c>
      <c r="AU454" t="s">
        <v>6</v>
      </c>
      <c r="AV454">
        <v>0</v>
      </c>
      <c r="AW454">
        <v>2</v>
      </c>
      <c r="AX454">
        <v>16785017</v>
      </c>
      <c r="AY454">
        <v>1</v>
      </c>
      <c r="AZ454">
        <v>0</v>
      </c>
      <c r="BA454">
        <v>472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Y454*Source!I149</f>
        <v>7.0000000000000007E-5</v>
      </c>
      <c r="CY454">
        <f t="shared" ref="CY454:CY460" si="83">AA454</f>
        <v>183483.3</v>
      </c>
      <c r="CZ454">
        <f t="shared" ref="CZ454:CZ460" si="84">AE454</f>
        <v>30030</v>
      </c>
      <c r="DA454">
        <f t="shared" ref="DA454:DA460" si="85">AI454</f>
        <v>6.11</v>
      </c>
      <c r="DB454">
        <f t="shared" ref="DB454:DB460" si="86">ROUND(ROUND(AT454*CZ454,2),2)</f>
        <v>21.02</v>
      </c>
      <c r="DC454">
        <f t="shared" ref="DC454:DC460" si="87">ROUND(ROUND(AT454*AG454,2),2)</f>
        <v>0</v>
      </c>
    </row>
    <row r="455" spans="1:107" x14ac:dyDescent="0.2">
      <c r="A455">
        <f>ROW(Source!A149)</f>
        <v>149</v>
      </c>
      <c r="B455">
        <v>16784196</v>
      </c>
      <c r="C455">
        <v>16785012</v>
      </c>
      <c r="D455">
        <v>15167963</v>
      </c>
      <c r="E455">
        <v>1</v>
      </c>
      <c r="F455">
        <v>1</v>
      </c>
      <c r="G455">
        <v>1</v>
      </c>
      <c r="H455">
        <v>3</v>
      </c>
      <c r="I455" t="s">
        <v>727</v>
      </c>
      <c r="J455" t="s">
        <v>728</v>
      </c>
      <c r="K455" t="s">
        <v>729</v>
      </c>
      <c r="L455">
        <v>1346</v>
      </c>
      <c r="N455">
        <v>1009</v>
      </c>
      <c r="O455" t="s">
        <v>60</v>
      </c>
      <c r="P455" t="s">
        <v>60</v>
      </c>
      <c r="Q455">
        <v>1</v>
      </c>
      <c r="W455">
        <v>0</v>
      </c>
      <c r="X455">
        <v>-490687590</v>
      </c>
      <c r="Y455">
        <v>0.12</v>
      </c>
      <c r="AA455">
        <v>227.84</v>
      </c>
      <c r="AB455">
        <v>0</v>
      </c>
      <c r="AC455">
        <v>0</v>
      </c>
      <c r="AD455">
        <v>0</v>
      </c>
      <c r="AE455">
        <v>37.29</v>
      </c>
      <c r="AF455">
        <v>0</v>
      </c>
      <c r="AG455">
        <v>0</v>
      </c>
      <c r="AH455">
        <v>0</v>
      </c>
      <c r="AI455">
        <v>6.11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6</v>
      </c>
      <c r="AT455">
        <v>0.12</v>
      </c>
      <c r="AU455" t="s">
        <v>6</v>
      </c>
      <c r="AV455">
        <v>0</v>
      </c>
      <c r="AW455">
        <v>2</v>
      </c>
      <c r="AX455">
        <v>16785018</v>
      </c>
      <c r="AY455">
        <v>1</v>
      </c>
      <c r="AZ455">
        <v>0</v>
      </c>
      <c r="BA455">
        <v>473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Y455*Source!I149</f>
        <v>1.2E-2</v>
      </c>
      <c r="CY455">
        <f t="shared" si="83"/>
        <v>227.84</v>
      </c>
      <c r="CZ455">
        <f t="shared" si="84"/>
        <v>37.29</v>
      </c>
      <c r="DA455">
        <f t="shared" si="85"/>
        <v>6.11</v>
      </c>
      <c r="DB455">
        <f t="shared" si="86"/>
        <v>4.47</v>
      </c>
      <c r="DC455">
        <f t="shared" si="87"/>
        <v>0</v>
      </c>
    </row>
    <row r="456" spans="1:107" x14ac:dyDescent="0.2">
      <c r="A456">
        <f>ROW(Source!A149)</f>
        <v>149</v>
      </c>
      <c r="B456">
        <v>16784196</v>
      </c>
      <c r="C456">
        <v>16785012</v>
      </c>
      <c r="D456">
        <v>15172117</v>
      </c>
      <c r="E456">
        <v>1</v>
      </c>
      <c r="F456">
        <v>1</v>
      </c>
      <c r="G456">
        <v>1</v>
      </c>
      <c r="H456">
        <v>3</v>
      </c>
      <c r="I456" t="s">
        <v>742</v>
      </c>
      <c r="J456" t="s">
        <v>743</v>
      </c>
      <c r="K456" t="s">
        <v>744</v>
      </c>
      <c r="L456">
        <v>1348</v>
      </c>
      <c r="N456">
        <v>1009</v>
      </c>
      <c r="O456" t="s">
        <v>65</v>
      </c>
      <c r="P456" t="s">
        <v>65</v>
      </c>
      <c r="Q456">
        <v>1000</v>
      </c>
      <c r="W456">
        <v>0</v>
      </c>
      <c r="X456">
        <v>1529337430</v>
      </c>
      <c r="Y456">
        <v>2E-3</v>
      </c>
      <c r="AA456">
        <v>11217.96</v>
      </c>
      <c r="AB456">
        <v>0</v>
      </c>
      <c r="AC456">
        <v>0</v>
      </c>
      <c r="AD456">
        <v>0</v>
      </c>
      <c r="AE456">
        <v>1836</v>
      </c>
      <c r="AF456">
        <v>0</v>
      </c>
      <c r="AG456">
        <v>0</v>
      </c>
      <c r="AH456">
        <v>0</v>
      </c>
      <c r="AI456">
        <v>6.11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2E-3</v>
      </c>
      <c r="AU456" t="s">
        <v>6</v>
      </c>
      <c r="AV456">
        <v>0</v>
      </c>
      <c r="AW456">
        <v>2</v>
      </c>
      <c r="AX456">
        <v>16785021</v>
      </c>
      <c r="AY456">
        <v>1</v>
      </c>
      <c r="AZ456">
        <v>0</v>
      </c>
      <c r="BA456">
        <v>476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Y456*Source!I149</f>
        <v>2.0000000000000001E-4</v>
      </c>
      <c r="CY456">
        <f t="shared" si="83"/>
        <v>11217.96</v>
      </c>
      <c r="CZ456">
        <f t="shared" si="84"/>
        <v>1836</v>
      </c>
      <c r="DA456">
        <f t="shared" si="85"/>
        <v>6.11</v>
      </c>
      <c r="DB456">
        <f t="shared" si="86"/>
        <v>3.67</v>
      </c>
      <c r="DC456">
        <f t="shared" si="87"/>
        <v>0</v>
      </c>
    </row>
    <row r="457" spans="1:107" x14ac:dyDescent="0.2">
      <c r="A457">
        <f>ROW(Source!A149)</f>
        <v>149</v>
      </c>
      <c r="B457">
        <v>16784196</v>
      </c>
      <c r="C457">
        <v>16785012</v>
      </c>
      <c r="D457">
        <v>15203740</v>
      </c>
      <c r="E457">
        <v>1</v>
      </c>
      <c r="F457">
        <v>1</v>
      </c>
      <c r="G457">
        <v>1</v>
      </c>
      <c r="H457">
        <v>3</v>
      </c>
      <c r="I457" t="s">
        <v>739</v>
      </c>
      <c r="J457" t="s">
        <v>740</v>
      </c>
      <c r="K457" t="s">
        <v>741</v>
      </c>
      <c r="L457">
        <v>1348</v>
      </c>
      <c r="N457">
        <v>1009</v>
      </c>
      <c r="O457" t="s">
        <v>65</v>
      </c>
      <c r="P457" t="s">
        <v>65</v>
      </c>
      <c r="Q457">
        <v>1000</v>
      </c>
      <c r="W457">
        <v>0</v>
      </c>
      <c r="X457">
        <v>570223526</v>
      </c>
      <c r="Y457">
        <v>2.4000000000000001E-4</v>
      </c>
      <c r="AA457">
        <v>92377.09</v>
      </c>
      <c r="AB457">
        <v>0</v>
      </c>
      <c r="AC457">
        <v>0</v>
      </c>
      <c r="AD457">
        <v>0</v>
      </c>
      <c r="AE457">
        <v>15119</v>
      </c>
      <c r="AF457">
        <v>0</v>
      </c>
      <c r="AG457">
        <v>0</v>
      </c>
      <c r="AH457">
        <v>0</v>
      </c>
      <c r="AI457">
        <v>6.11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6</v>
      </c>
      <c r="AT457">
        <v>2.4000000000000001E-4</v>
      </c>
      <c r="AU457" t="s">
        <v>6</v>
      </c>
      <c r="AV457">
        <v>0</v>
      </c>
      <c r="AW457">
        <v>2</v>
      </c>
      <c r="AX457">
        <v>16785022</v>
      </c>
      <c r="AY457">
        <v>1</v>
      </c>
      <c r="AZ457">
        <v>0</v>
      </c>
      <c r="BA457">
        <v>477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Y457*Source!I149</f>
        <v>2.4000000000000001E-5</v>
      </c>
      <c r="CY457">
        <f t="shared" si="83"/>
        <v>92377.09</v>
      </c>
      <c r="CZ457">
        <f t="shared" si="84"/>
        <v>15119</v>
      </c>
      <c r="DA457">
        <f t="shared" si="85"/>
        <v>6.11</v>
      </c>
      <c r="DB457">
        <f t="shared" si="86"/>
        <v>3.63</v>
      </c>
      <c r="DC457">
        <f t="shared" si="87"/>
        <v>0</v>
      </c>
    </row>
    <row r="458" spans="1:107" x14ac:dyDescent="0.2">
      <c r="A458">
        <f>ROW(Source!A149)</f>
        <v>149</v>
      </c>
      <c r="B458">
        <v>16784196</v>
      </c>
      <c r="C458">
        <v>16785012</v>
      </c>
      <c r="D458">
        <v>15204468</v>
      </c>
      <c r="E458">
        <v>1</v>
      </c>
      <c r="F458">
        <v>1</v>
      </c>
      <c r="G458">
        <v>1</v>
      </c>
      <c r="H458">
        <v>3</v>
      </c>
      <c r="I458" t="s">
        <v>659</v>
      </c>
      <c r="J458" t="s">
        <v>660</v>
      </c>
      <c r="K458" t="s">
        <v>661</v>
      </c>
      <c r="L458">
        <v>1348</v>
      </c>
      <c r="N458">
        <v>1009</v>
      </c>
      <c r="O458" t="s">
        <v>65</v>
      </c>
      <c r="P458" t="s">
        <v>65</v>
      </c>
      <c r="Q458">
        <v>1000</v>
      </c>
      <c r="W458">
        <v>0</v>
      </c>
      <c r="X458">
        <v>-909021926</v>
      </c>
      <c r="Y458">
        <v>1.2E-4</v>
      </c>
      <c r="AA458">
        <v>103564.5</v>
      </c>
      <c r="AB458">
        <v>0</v>
      </c>
      <c r="AC458">
        <v>0</v>
      </c>
      <c r="AD458">
        <v>0</v>
      </c>
      <c r="AE458">
        <v>16950</v>
      </c>
      <c r="AF458">
        <v>0</v>
      </c>
      <c r="AG458">
        <v>0</v>
      </c>
      <c r="AH458">
        <v>0</v>
      </c>
      <c r="AI458">
        <v>6.11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1.2E-4</v>
      </c>
      <c r="AU458" t="s">
        <v>6</v>
      </c>
      <c r="AV458">
        <v>0</v>
      </c>
      <c r="AW458">
        <v>2</v>
      </c>
      <c r="AX458">
        <v>16785024</v>
      </c>
      <c r="AY458">
        <v>1</v>
      </c>
      <c r="AZ458">
        <v>0</v>
      </c>
      <c r="BA458">
        <v>479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Y458*Source!I149</f>
        <v>1.2E-5</v>
      </c>
      <c r="CY458">
        <f t="shared" si="83"/>
        <v>103564.5</v>
      </c>
      <c r="CZ458">
        <f t="shared" si="84"/>
        <v>16950</v>
      </c>
      <c r="DA458">
        <f t="shared" si="85"/>
        <v>6.11</v>
      </c>
      <c r="DB458">
        <f t="shared" si="86"/>
        <v>2.0299999999999998</v>
      </c>
      <c r="DC458">
        <f t="shared" si="87"/>
        <v>0</v>
      </c>
    </row>
    <row r="459" spans="1:107" x14ac:dyDescent="0.2">
      <c r="A459">
        <f>ROW(Source!A149)</f>
        <v>149</v>
      </c>
      <c r="B459">
        <v>16784196</v>
      </c>
      <c r="C459">
        <v>16785012</v>
      </c>
      <c r="D459">
        <v>15211486</v>
      </c>
      <c r="E459">
        <v>1</v>
      </c>
      <c r="F459">
        <v>1</v>
      </c>
      <c r="G459">
        <v>1</v>
      </c>
      <c r="H459">
        <v>3</v>
      </c>
      <c r="I459" t="s">
        <v>328</v>
      </c>
      <c r="J459" t="s">
        <v>330</v>
      </c>
      <c r="K459" t="s">
        <v>329</v>
      </c>
      <c r="L459">
        <v>1035</v>
      </c>
      <c r="N459">
        <v>1013</v>
      </c>
      <c r="O459" t="s">
        <v>222</v>
      </c>
      <c r="P459" t="s">
        <v>222</v>
      </c>
      <c r="Q459">
        <v>1</v>
      </c>
      <c r="W459">
        <v>0</v>
      </c>
      <c r="X459">
        <v>278766583</v>
      </c>
      <c r="Y459">
        <v>10</v>
      </c>
      <c r="AA459">
        <v>4230.2</v>
      </c>
      <c r="AB459">
        <v>0</v>
      </c>
      <c r="AC459">
        <v>0</v>
      </c>
      <c r="AD459">
        <v>0</v>
      </c>
      <c r="AE459">
        <v>692.34</v>
      </c>
      <c r="AF459">
        <v>0</v>
      </c>
      <c r="AG459">
        <v>0</v>
      </c>
      <c r="AH459">
        <v>0</v>
      </c>
      <c r="AI459">
        <v>6.11</v>
      </c>
      <c r="AJ459">
        <v>1</v>
      </c>
      <c r="AK459">
        <v>1</v>
      </c>
      <c r="AL459">
        <v>1</v>
      </c>
      <c r="AN459">
        <v>0</v>
      </c>
      <c r="AO459">
        <v>0</v>
      </c>
      <c r="AP459">
        <v>0</v>
      </c>
      <c r="AQ459">
        <v>0</v>
      </c>
      <c r="AR459">
        <v>0</v>
      </c>
      <c r="AS459" t="s">
        <v>6</v>
      </c>
      <c r="AT459">
        <v>10</v>
      </c>
      <c r="AU459" t="s">
        <v>6</v>
      </c>
      <c r="AV459">
        <v>0</v>
      </c>
      <c r="AW459">
        <v>1</v>
      </c>
      <c r="AX459">
        <v>-1</v>
      </c>
      <c r="AY459">
        <v>0</v>
      </c>
      <c r="AZ459">
        <v>0</v>
      </c>
      <c r="BA459" t="s">
        <v>6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Y459*Source!I149</f>
        <v>1</v>
      </c>
      <c r="CY459">
        <f t="shared" si="83"/>
        <v>4230.2</v>
      </c>
      <c r="CZ459">
        <f t="shared" si="84"/>
        <v>692.34</v>
      </c>
      <c r="DA459">
        <f t="shared" si="85"/>
        <v>6.11</v>
      </c>
      <c r="DB459">
        <f t="shared" si="86"/>
        <v>6923.4</v>
      </c>
      <c r="DC459">
        <f t="shared" si="87"/>
        <v>0</v>
      </c>
    </row>
    <row r="460" spans="1:107" x14ac:dyDescent="0.2">
      <c r="A460">
        <f>ROW(Source!A149)</f>
        <v>149</v>
      </c>
      <c r="B460">
        <v>16784196</v>
      </c>
      <c r="C460">
        <v>16785012</v>
      </c>
      <c r="D460">
        <v>15163189</v>
      </c>
      <c r="E460">
        <v>17</v>
      </c>
      <c r="F460">
        <v>1</v>
      </c>
      <c r="G460">
        <v>1</v>
      </c>
      <c r="H460">
        <v>3</v>
      </c>
      <c r="I460" t="s">
        <v>332</v>
      </c>
      <c r="J460" t="s">
        <v>6</v>
      </c>
      <c r="K460" t="s">
        <v>333</v>
      </c>
      <c r="L460">
        <v>1035</v>
      </c>
      <c r="N460">
        <v>1013</v>
      </c>
      <c r="O460" t="s">
        <v>222</v>
      </c>
      <c r="P460" t="s">
        <v>222</v>
      </c>
      <c r="Q460">
        <v>1</v>
      </c>
      <c r="W460">
        <v>0</v>
      </c>
      <c r="X460">
        <v>195171381</v>
      </c>
      <c r="Y460">
        <v>10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6.11</v>
      </c>
      <c r="AJ460">
        <v>1</v>
      </c>
      <c r="AK460">
        <v>1</v>
      </c>
      <c r="AL460">
        <v>1</v>
      </c>
      <c r="AN460">
        <v>0</v>
      </c>
      <c r="AO460">
        <v>0</v>
      </c>
      <c r="AP460">
        <v>0</v>
      </c>
      <c r="AQ460">
        <v>0</v>
      </c>
      <c r="AR460">
        <v>0</v>
      </c>
      <c r="AS460" t="s">
        <v>6</v>
      </c>
      <c r="AT460">
        <v>10</v>
      </c>
      <c r="AU460" t="s">
        <v>6</v>
      </c>
      <c r="AV460">
        <v>0</v>
      </c>
      <c r="AW460">
        <v>2</v>
      </c>
      <c r="AX460">
        <v>16785025</v>
      </c>
      <c r="AY460">
        <v>1</v>
      </c>
      <c r="AZ460">
        <v>0</v>
      </c>
      <c r="BA460">
        <v>480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Y460*Source!I149</f>
        <v>1</v>
      </c>
      <c r="CY460">
        <f t="shared" si="83"/>
        <v>0</v>
      </c>
      <c r="CZ460">
        <f t="shared" si="84"/>
        <v>0</v>
      </c>
      <c r="DA460">
        <f t="shared" si="85"/>
        <v>6.11</v>
      </c>
      <c r="DB460">
        <f t="shared" si="86"/>
        <v>0</v>
      </c>
      <c r="DC460">
        <f t="shared" si="87"/>
        <v>0</v>
      </c>
    </row>
    <row r="461" spans="1:107" x14ac:dyDescent="0.2">
      <c r="A461">
        <f>ROW(Source!A154)</f>
        <v>154</v>
      </c>
      <c r="B461">
        <v>16784195</v>
      </c>
      <c r="C461">
        <v>16785030</v>
      </c>
      <c r="D461">
        <v>15436556</v>
      </c>
      <c r="E461">
        <v>1</v>
      </c>
      <c r="F461">
        <v>1</v>
      </c>
      <c r="G461">
        <v>1</v>
      </c>
      <c r="H461">
        <v>1</v>
      </c>
      <c r="I461" t="s">
        <v>621</v>
      </c>
      <c r="J461" t="s">
        <v>6</v>
      </c>
      <c r="K461" t="s">
        <v>622</v>
      </c>
      <c r="L461">
        <v>1191</v>
      </c>
      <c r="N461">
        <v>1013</v>
      </c>
      <c r="O461" t="s">
        <v>495</v>
      </c>
      <c r="P461" t="s">
        <v>495</v>
      </c>
      <c r="Q461">
        <v>1</v>
      </c>
      <c r="W461">
        <v>0</v>
      </c>
      <c r="X461">
        <v>1069510174</v>
      </c>
      <c r="Y461">
        <v>24.897499999999997</v>
      </c>
      <c r="AA461">
        <v>0</v>
      </c>
      <c r="AB461">
        <v>0</v>
      </c>
      <c r="AC461">
        <v>0</v>
      </c>
      <c r="AD461">
        <v>9.6199999999999992</v>
      </c>
      <c r="AE461">
        <v>0</v>
      </c>
      <c r="AF461">
        <v>0</v>
      </c>
      <c r="AG461">
        <v>0</v>
      </c>
      <c r="AH461">
        <v>9.6199999999999992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6</v>
      </c>
      <c r="AT461">
        <v>21.65</v>
      </c>
      <c r="AU461" t="s">
        <v>28</v>
      </c>
      <c r="AV461">
        <v>1</v>
      </c>
      <c r="AW461">
        <v>2</v>
      </c>
      <c r="AX461">
        <v>16785031</v>
      </c>
      <c r="AY461">
        <v>1</v>
      </c>
      <c r="AZ461">
        <v>0</v>
      </c>
      <c r="BA461">
        <v>481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Y461*Source!I154</f>
        <v>2.4897499999999999</v>
      </c>
      <c r="CY461">
        <f>AD461</f>
        <v>9.6199999999999992</v>
      </c>
      <c r="CZ461">
        <f>AH461</f>
        <v>9.6199999999999992</v>
      </c>
      <c r="DA461">
        <f>AL461</f>
        <v>1</v>
      </c>
      <c r="DB461">
        <f>ROUND((ROUND(AT461*CZ461,2)*1.15),2)</f>
        <v>239.51</v>
      </c>
      <c r="DC461">
        <f>ROUND((ROUND(AT461*AG461,2)*1.15),2)</f>
        <v>0</v>
      </c>
    </row>
    <row r="462" spans="1:107" x14ac:dyDescent="0.2">
      <c r="A462">
        <f>ROW(Source!A154)</f>
        <v>154</v>
      </c>
      <c r="B462">
        <v>16784195</v>
      </c>
      <c r="C462">
        <v>16785030</v>
      </c>
      <c r="D462">
        <v>15430395</v>
      </c>
      <c r="E462">
        <v>1</v>
      </c>
      <c r="F462">
        <v>1</v>
      </c>
      <c r="G462">
        <v>1</v>
      </c>
      <c r="H462">
        <v>1</v>
      </c>
      <c r="I462" t="s">
        <v>496</v>
      </c>
      <c r="J462" t="s">
        <v>6</v>
      </c>
      <c r="K462" t="s">
        <v>497</v>
      </c>
      <c r="L462">
        <v>1191</v>
      </c>
      <c r="N462">
        <v>1013</v>
      </c>
      <c r="O462" t="s">
        <v>495</v>
      </c>
      <c r="P462" t="s">
        <v>495</v>
      </c>
      <c r="Q462">
        <v>1</v>
      </c>
      <c r="W462">
        <v>0</v>
      </c>
      <c r="X462">
        <v>-1417349443</v>
      </c>
      <c r="Y462">
        <v>0.35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0.35</v>
      </c>
      <c r="AU462" t="s">
        <v>6</v>
      </c>
      <c r="AV462">
        <v>2</v>
      </c>
      <c r="AW462">
        <v>2</v>
      </c>
      <c r="AX462">
        <v>16785032</v>
      </c>
      <c r="AY462">
        <v>1</v>
      </c>
      <c r="AZ462">
        <v>2048</v>
      </c>
      <c r="BA462">
        <v>482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Y462*Source!I154</f>
        <v>3.4999999999999996E-2</v>
      </c>
      <c r="CY462">
        <f>AD462</f>
        <v>0</v>
      </c>
      <c r="CZ462">
        <f>AH462</f>
        <v>0</v>
      </c>
      <c r="DA462">
        <f>AL462</f>
        <v>1</v>
      </c>
      <c r="DB462">
        <f>ROUND(ROUND(AT462*CZ462,2),2)</f>
        <v>0</v>
      </c>
      <c r="DC462">
        <f>ROUND(ROUND(AT462*AG462,2),2)</f>
        <v>0</v>
      </c>
    </row>
    <row r="463" spans="1:107" x14ac:dyDescent="0.2">
      <c r="A463">
        <f>ROW(Source!A154)</f>
        <v>154</v>
      </c>
      <c r="B463">
        <v>16784195</v>
      </c>
      <c r="C463">
        <v>16785030</v>
      </c>
      <c r="D463">
        <v>15247974</v>
      </c>
      <c r="E463">
        <v>1</v>
      </c>
      <c r="F463">
        <v>1</v>
      </c>
      <c r="G463">
        <v>1</v>
      </c>
      <c r="H463">
        <v>2</v>
      </c>
      <c r="I463" t="s">
        <v>498</v>
      </c>
      <c r="J463" t="s">
        <v>499</v>
      </c>
      <c r="K463" t="s">
        <v>500</v>
      </c>
      <c r="L463">
        <v>1368</v>
      </c>
      <c r="N463">
        <v>1011</v>
      </c>
      <c r="O463" t="s">
        <v>501</v>
      </c>
      <c r="P463" t="s">
        <v>501</v>
      </c>
      <c r="Q463">
        <v>1</v>
      </c>
      <c r="W463">
        <v>0</v>
      </c>
      <c r="X463">
        <v>1188625873</v>
      </c>
      <c r="Y463">
        <v>0.16250000000000001</v>
      </c>
      <c r="AA463">
        <v>0</v>
      </c>
      <c r="AB463">
        <v>31.26</v>
      </c>
      <c r="AC463">
        <v>13.5</v>
      </c>
      <c r="AD463">
        <v>0</v>
      </c>
      <c r="AE463">
        <v>0</v>
      </c>
      <c r="AF463">
        <v>31.26</v>
      </c>
      <c r="AG463">
        <v>13.5</v>
      </c>
      <c r="AH463">
        <v>0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6</v>
      </c>
      <c r="AT463">
        <v>0.13</v>
      </c>
      <c r="AU463" t="s">
        <v>27</v>
      </c>
      <c r="AV463">
        <v>0</v>
      </c>
      <c r="AW463">
        <v>2</v>
      </c>
      <c r="AX463">
        <v>16785033</v>
      </c>
      <c r="AY463">
        <v>1</v>
      </c>
      <c r="AZ463">
        <v>0</v>
      </c>
      <c r="BA463">
        <v>483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Y463*Source!I154</f>
        <v>1.6250000000000001E-2</v>
      </c>
      <c r="CY463">
        <f>AB463</f>
        <v>31.26</v>
      </c>
      <c r="CZ463">
        <f>AF463</f>
        <v>31.26</v>
      </c>
      <c r="DA463">
        <f>AJ463</f>
        <v>1</v>
      </c>
      <c r="DB463">
        <f>ROUND((ROUND(AT463*CZ463,2)*1.25),2)</f>
        <v>5.08</v>
      </c>
      <c r="DC463">
        <f>ROUND((ROUND(AT463*AG463,2)*1.25),2)</f>
        <v>2.2000000000000002</v>
      </c>
    </row>
    <row r="464" spans="1:107" x14ac:dyDescent="0.2">
      <c r="A464">
        <f>ROW(Source!A154)</f>
        <v>154</v>
      </c>
      <c r="B464">
        <v>16784195</v>
      </c>
      <c r="C464">
        <v>16785030</v>
      </c>
      <c r="D464">
        <v>15249073</v>
      </c>
      <c r="E464">
        <v>1</v>
      </c>
      <c r="F464">
        <v>1</v>
      </c>
      <c r="G464">
        <v>1</v>
      </c>
      <c r="H464">
        <v>2</v>
      </c>
      <c r="I464" t="s">
        <v>504</v>
      </c>
      <c r="J464" t="s">
        <v>505</v>
      </c>
      <c r="K464" t="s">
        <v>506</v>
      </c>
      <c r="L464">
        <v>1368</v>
      </c>
      <c r="N464">
        <v>1011</v>
      </c>
      <c r="O464" t="s">
        <v>501</v>
      </c>
      <c r="P464" t="s">
        <v>501</v>
      </c>
      <c r="Q464">
        <v>1</v>
      </c>
      <c r="W464">
        <v>0</v>
      </c>
      <c r="X464">
        <v>1372534845</v>
      </c>
      <c r="Y464">
        <v>0.27500000000000002</v>
      </c>
      <c r="AA464">
        <v>0</v>
      </c>
      <c r="AB464">
        <v>65.709999999999994</v>
      </c>
      <c r="AC464">
        <v>11.6</v>
      </c>
      <c r="AD464">
        <v>0</v>
      </c>
      <c r="AE464">
        <v>0</v>
      </c>
      <c r="AF464">
        <v>65.709999999999994</v>
      </c>
      <c r="AG464">
        <v>11.6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6</v>
      </c>
      <c r="AT464">
        <v>0.22</v>
      </c>
      <c r="AU464" t="s">
        <v>27</v>
      </c>
      <c r="AV464">
        <v>0</v>
      </c>
      <c r="AW464">
        <v>2</v>
      </c>
      <c r="AX464">
        <v>16785034</v>
      </c>
      <c r="AY464">
        <v>1</v>
      </c>
      <c r="AZ464">
        <v>0</v>
      </c>
      <c r="BA464">
        <v>484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Y464*Source!I154</f>
        <v>2.7500000000000004E-2</v>
      </c>
      <c r="CY464">
        <f>AB464</f>
        <v>65.709999999999994</v>
      </c>
      <c r="CZ464">
        <f>AF464</f>
        <v>65.709999999999994</v>
      </c>
      <c r="DA464">
        <f>AJ464</f>
        <v>1</v>
      </c>
      <c r="DB464">
        <f>ROUND((ROUND(AT464*CZ464,2)*1.25),2)</f>
        <v>18.079999999999998</v>
      </c>
      <c r="DC464">
        <f>ROUND((ROUND(AT464*AG464,2)*1.25),2)</f>
        <v>3.19</v>
      </c>
    </row>
    <row r="465" spans="1:107" x14ac:dyDescent="0.2">
      <c r="A465">
        <f>ROW(Source!A154)</f>
        <v>154</v>
      </c>
      <c r="B465">
        <v>16784195</v>
      </c>
      <c r="C465">
        <v>16785030</v>
      </c>
      <c r="D465">
        <v>15167963</v>
      </c>
      <c r="E465">
        <v>1</v>
      </c>
      <c r="F465">
        <v>1</v>
      </c>
      <c r="G465">
        <v>1</v>
      </c>
      <c r="H465">
        <v>3</v>
      </c>
      <c r="I465" t="s">
        <v>727</v>
      </c>
      <c r="J465" t="s">
        <v>728</v>
      </c>
      <c r="K465" t="s">
        <v>729</v>
      </c>
      <c r="L465">
        <v>1346</v>
      </c>
      <c r="N465">
        <v>1009</v>
      </c>
      <c r="O465" t="s">
        <v>60</v>
      </c>
      <c r="P465" t="s">
        <v>60</v>
      </c>
      <c r="Q465">
        <v>1</v>
      </c>
      <c r="W465">
        <v>0</v>
      </c>
      <c r="X465">
        <v>-490687590</v>
      </c>
      <c r="Y465">
        <v>0.3</v>
      </c>
      <c r="AA465">
        <v>37.29</v>
      </c>
      <c r="AB465">
        <v>0</v>
      </c>
      <c r="AC465">
        <v>0</v>
      </c>
      <c r="AD465">
        <v>0</v>
      </c>
      <c r="AE465">
        <v>37.29</v>
      </c>
      <c r="AF465">
        <v>0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6</v>
      </c>
      <c r="AT465">
        <v>0.3</v>
      </c>
      <c r="AU465" t="s">
        <v>6</v>
      </c>
      <c r="AV465">
        <v>0</v>
      </c>
      <c r="AW465">
        <v>2</v>
      </c>
      <c r="AX465">
        <v>16785035</v>
      </c>
      <c r="AY465">
        <v>1</v>
      </c>
      <c r="AZ465">
        <v>0</v>
      </c>
      <c r="BA465">
        <v>485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Y465*Source!I154</f>
        <v>0.03</v>
      </c>
      <c r="CY465">
        <f t="shared" ref="CY465:CY470" si="88">AA465</f>
        <v>37.29</v>
      </c>
      <c r="CZ465">
        <f t="shared" ref="CZ465:CZ470" si="89">AE465</f>
        <v>37.29</v>
      </c>
      <c r="DA465">
        <f t="shared" ref="DA465:DA470" si="90">AI465</f>
        <v>1</v>
      </c>
      <c r="DB465">
        <f t="shared" ref="DB465:DB470" si="91">ROUND(ROUND(AT465*CZ465,2),2)</f>
        <v>11.19</v>
      </c>
      <c r="DC465">
        <f t="shared" ref="DC465:DC470" si="92">ROUND(ROUND(AT465*AG465,2),2)</f>
        <v>0</v>
      </c>
    </row>
    <row r="466" spans="1:107" x14ac:dyDescent="0.2">
      <c r="A466">
        <f>ROW(Source!A154)</f>
        <v>154</v>
      </c>
      <c r="B466">
        <v>16784195</v>
      </c>
      <c r="C466">
        <v>16785030</v>
      </c>
      <c r="D466">
        <v>15189796</v>
      </c>
      <c r="E466">
        <v>1</v>
      </c>
      <c r="F466">
        <v>1</v>
      </c>
      <c r="G466">
        <v>1</v>
      </c>
      <c r="H466">
        <v>3</v>
      </c>
      <c r="I466" t="s">
        <v>745</v>
      </c>
      <c r="J466" t="s">
        <v>746</v>
      </c>
      <c r="K466" t="s">
        <v>747</v>
      </c>
      <c r="L466">
        <v>1348</v>
      </c>
      <c r="N466">
        <v>1009</v>
      </c>
      <c r="O466" t="s">
        <v>65</v>
      </c>
      <c r="P466" t="s">
        <v>65</v>
      </c>
      <c r="Q466">
        <v>1000</v>
      </c>
      <c r="W466">
        <v>0</v>
      </c>
      <c r="X466">
        <v>-1756095795</v>
      </c>
      <c r="Y466">
        <v>3.5999999999999999E-3</v>
      </c>
      <c r="AA466">
        <v>5989</v>
      </c>
      <c r="AB466">
        <v>0</v>
      </c>
      <c r="AC466">
        <v>0</v>
      </c>
      <c r="AD466">
        <v>0</v>
      </c>
      <c r="AE466">
        <v>5989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3.5999999999999999E-3</v>
      </c>
      <c r="AU466" t="s">
        <v>6</v>
      </c>
      <c r="AV466">
        <v>0</v>
      </c>
      <c r="AW466">
        <v>2</v>
      </c>
      <c r="AX466">
        <v>16785038</v>
      </c>
      <c r="AY466">
        <v>1</v>
      </c>
      <c r="AZ466">
        <v>0</v>
      </c>
      <c r="BA466">
        <v>488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Y466*Source!I154</f>
        <v>3.6000000000000002E-4</v>
      </c>
      <c r="CY466">
        <f t="shared" si="88"/>
        <v>5989</v>
      </c>
      <c r="CZ466">
        <f t="shared" si="89"/>
        <v>5989</v>
      </c>
      <c r="DA466">
        <f t="shared" si="90"/>
        <v>1</v>
      </c>
      <c r="DB466">
        <f t="shared" si="91"/>
        <v>21.56</v>
      </c>
      <c r="DC466">
        <f t="shared" si="92"/>
        <v>0</v>
      </c>
    </row>
    <row r="467" spans="1:107" x14ac:dyDescent="0.2">
      <c r="A467">
        <f>ROW(Source!A154)</f>
        <v>154</v>
      </c>
      <c r="B467">
        <v>16784195</v>
      </c>
      <c r="C467">
        <v>16785030</v>
      </c>
      <c r="D467">
        <v>15203740</v>
      </c>
      <c r="E467">
        <v>1</v>
      </c>
      <c r="F467">
        <v>1</v>
      </c>
      <c r="G467">
        <v>1</v>
      </c>
      <c r="H467">
        <v>3</v>
      </c>
      <c r="I467" t="s">
        <v>739</v>
      </c>
      <c r="J467" t="s">
        <v>740</v>
      </c>
      <c r="K467" t="s">
        <v>741</v>
      </c>
      <c r="L467">
        <v>1348</v>
      </c>
      <c r="N467">
        <v>1009</v>
      </c>
      <c r="O467" t="s">
        <v>65</v>
      </c>
      <c r="P467" t="s">
        <v>65</v>
      </c>
      <c r="Q467">
        <v>1000</v>
      </c>
      <c r="W467">
        <v>0</v>
      </c>
      <c r="X467">
        <v>570223526</v>
      </c>
      <c r="Y467">
        <v>4.0000000000000002E-4</v>
      </c>
      <c r="AA467">
        <v>15119</v>
      </c>
      <c r="AB467">
        <v>0</v>
      </c>
      <c r="AC467">
        <v>0</v>
      </c>
      <c r="AD467">
        <v>0</v>
      </c>
      <c r="AE467">
        <v>15119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4.0000000000000002E-4</v>
      </c>
      <c r="AU467" t="s">
        <v>6</v>
      </c>
      <c r="AV467">
        <v>0</v>
      </c>
      <c r="AW467">
        <v>2</v>
      </c>
      <c r="AX467">
        <v>16785039</v>
      </c>
      <c r="AY467">
        <v>1</v>
      </c>
      <c r="AZ467">
        <v>0</v>
      </c>
      <c r="BA467">
        <v>489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Y467*Source!I154</f>
        <v>4.0000000000000003E-5</v>
      </c>
      <c r="CY467">
        <f t="shared" si="88"/>
        <v>15119</v>
      </c>
      <c r="CZ467">
        <f t="shared" si="89"/>
        <v>15119</v>
      </c>
      <c r="DA467">
        <f t="shared" si="90"/>
        <v>1</v>
      </c>
      <c r="DB467">
        <f t="shared" si="91"/>
        <v>6.05</v>
      </c>
      <c r="DC467">
        <f t="shared" si="92"/>
        <v>0</v>
      </c>
    </row>
    <row r="468" spans="1:107" x14ac:dyDescent="0.2">
      <c r="A468">
        <f>ROW(Source!A154)</f>
        <v>154</v>
      </c>
      <c r="B468">
        <v>16784195</v>
      </c>
      <c r="C468">
        <v>16785030</v>
      </c>
      <c r="D468">
        <v>15204468</v>
      </c>
      <c r="E468">
        <v>1</v>
      </c>
      <c r="F468">
        <v>1</v>
      </c>
      <c r="G468">
        <v>1</v>
      </c>
      <c r="H468">
        <v>3</v>
      </c>
      <c r="I468" t="s">
        <v>659</v>
      </c>
      <c r="J468" t="s">
        <v>660</v>
      </c>
      <c r="K468" t="s">
        <v>661</v>
      </c>
      <c r="L468">
        <v>1348</v>
      </c>
      <c r="N468">
        <v>1009</v>
      </c>
      <c r="O468" t="s">
        <v>65</v>
      </c>
      <c r="P468" t="s">
        <v>65</v>
      </c>
      <c r="Q468">
        <v>1000</v>
      </c>
      <c r="W468">
        <v>0</v>
      </c>
      <c r="X468">
        <v>-909021926</v>
      </c>
      <c r="Y468">
        <v>2.0000000000000001E-4</v>
      </c>
      <c r="AA468">
        <v>16950</v>
      </c>
      <c r="AB468">
        <v>0</v>
      </c>
      <c r="AC468">
        <v>0</v>
      </c>
      <c r="AD468">
        <v>0</v>
      </c>
      <c r="AE468">
        <v>16950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2.0000000000000001E-4</v>
      </c>
      <c r="AU468" t="s">
        <v>6</v>
      </c>
      <c r="AV468">
        <v>0</v>
      </c>
      <c r="AW468">
        <v>2</v>
      </c>
      <c r="AX468">
        <v>16785041</v>
      </c>
      <c r="AY468">
        <v>1</v>
      </c>
      <c r="AZ468">
        <v>0</v>
      </c>
      <c r="BA468">
        <v>491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Y468*Source!I154</f>
        <v>2.0000000000000002E-5</v>
      </c>
      <c r="CY468">
        <f t="shared" si="88"/>
        <v>16950</v>
      </c>
      <c r="CZ468">
        <f t="shared" si="89"/>
        <v>16950</v>
      </c>
      <c r="DA468">
        <f t="shared" si="90"/>
        <v>1</v>
      </c>
      <c r="DB468">
        <f t="shared" si="91"/>
        <v>3.39</v>
      </c>
      <c r="DC468">
        <f t="shared" si="92"/>
        <v>0</v>
      </c>
    </row>
    <row r="469" spans="1:107" x14ac:dyDescent="0.2">
      <c r="A469">
        <f>ROW(Source!A154)</f>
        <v>154</v>
      </c>
      <c r="B469">
        <v>16784195</v>
      </c>
      <c r="C469">
        <v>16785030</v>
      </c>
      <c r="D469">
        <v>15211518</v>
      </c>
      <c r="E469">
        <v>1</v>
      </c>
      <c r="F469">
        <v>1</v>
      </c>
      <c r="G469">
        <v>1</v>
      </c>
      <c r="H469">
        <v>3</v>
      </c>
      <c r="I469" t="s">
        <v>339</v>
      </c>
      <c r="J469" t="s">
        <v>341</v>
      </c>
      <c r="K469" t="s">
        <v>340</v>
      </c>
      <c r="L469">
        <v>1035</v>
      </c>
      <c r="N469">
        <v>1013</v>
      </c>
      <c r="O469" t="s">
        <v>222</v>
      </c>
      <c r="P469" t="s">
        <v>222</v>
      </c>
      <c r="Q469">
        <v>1</v>
      </c>
      <c r="W469">
        <v>0</v>
      </c>
      <c r="X469">
        <v>-58618839</v>
      </c>
      <c r="Y469">
        <v>10</v>
      </c>
      <c r="AA469">
        <v>246.43</v>
      </c>
      <c r="AB469">
        <v>0</v>
      </c>
      <c r="AC469">
        <v>0</v>
      </c>
      <c r="AD469">
        <v>0</v>
      </c>
      <c r="AE469">
        <v>246.43</v>
      </c>
      <c r="AF469">
        <v>0</v>
      </c>
      <c r="AG469">
        <v>0</v>
      </c>
      <c r="AH469">
        <v>0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0</v>
      </c>
      <c r="AP469">
        <v>0</v>
      </c>
      <c r="AQ469">
        <v>0</v>
      </c>
      <c r="AR469">
        <v>0</v>
      </c>
      <c r="AS469" t="s">
        <v>6</v>
      </c>
      <c r="AT469">
        <v>10</v>
      </c>
      <c r="AU469" t="s">
        <v>6</v>
      </c>
      <c r="AV469">
        <v>0</v>
      </c>
      <c r="AW469">
        <v>1</v>
      </c>
      <c r="AX469">
        <v>-1</v>
      </c>
      <c r="AY469">
        <v>0</v>
      </c>
      <c r="AZ469">
        <v>0</v>
      </c>
      <c r="BA469" t="s">
        <v>6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Y469*Source!I154</f>
        <v>1</v>
      </c>
      <c r="CY469">
        <f t="shared" si="88"/>
        <v>246.43</v>
      </c>
      <c r="CZ469">
        <f t="shared" si="89"/>
        <v>246.43</v>
      </c>
      <c r="DA469">
        <f t="shared" si="90"/>
        <v>1</v>
      </c>
      <c r="DB469">
        <f t="shared" si="91"/>
        <v>2464.3000000000002</v>
      </c>
      <c r="DC469">
        <f t="shared" si="92"/>
        <v>0</v>
      </c>
    </row>
    <row r="470" spans="1:107" x14ac:dyDescent="0.2">
      <c r="A470">
        <f>ROW(Source!A154)</f>
        <v>154</v>
      </c>
      <c r="B470">
        <v>16784195</v>
      </c>
      <c r="C470">
        <v>16785030</v>
      </c>
      <c r="D470">
        <v>15163189</v>
      </c>
      <c r="E470">
        <v>17</v>
      </c>
      <c r="F470">
        <v>1</v>
      </c>
      <c r="G470">
        <v>1</v>
      </c>
      <c r="H470">
        <v>3</v>
      </c>
      <c r="I470" t="s">
        <v>332</v>
      </c>
      <c r="J470" t="s">
        <v>6</v>
      </c>
      <c r="K470" t="s">
        <v>333</v>
      </c>
      <c r="L470">
        <v>1035</v>
      </c>
      <c r="N470">
        <v>1013</v>
      </c>
      <c r="O470" t="s">
        <v>222</v>
      </c>
      <c r="P470" t="s">
        <v>222</v>
      </c>
      <c r="Q470">
        <v>1</v>
      </c>
      <c r="W470">
        <v>0</v>
      </c>
      <c r="X470">
        <v>195171381</v>
      </c>
      <c r="Y470">
        <v>10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0</v>
      </c>
      <c r="AP470">
        <v>0</v>
      </c>
      <c r="AQ470">
        <v>0</v>
      </c>
      <c r="AR470">
        <v>0</v>
      </c>
      <c r="AS470" t="s">
        <v>6</v>
      </c>
      <c r="AT470">
        <v>10</v>
      </c>
      <c r="AU470" t="s">
        <v>6</v>
      </c>
      <c r="AV470">
        <v>0</v>
      </c>
      <c r="AW470">
        <v>2</v>
      </c>
      <c r="AX470">
        <v>16785042</v>
      </c>
      <c r="AY470">
        <v>1</v>
      </c>
      <c r="AZ470">
        <v>0</v>
      </c>
      <c r="BA470">
        <v>492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Y470*Source!I154</f>
        <v>1</v>
      </c>
      <c r="CY470">
        <f t="shared" si="88"/>
        <v>0</v>
      </c>
      <c r="CZ470">
        <f t="shared" si="89"/>
        <v>0</v>
      </c>
      <c r="DA470">
        <f t="shared" si="90"/>
        <v>1</v>
      </c>
      <c r="DB470">
        <f t="shared" si="91"/>
        <v>0</v>
      </c>
      <c r="DC470">
        <f t="shared" si="92"/>
        <v>0</v>
      </c>
    </row>
    <row r="471" spans="1:107" x14ac:dyDescent="0.2">
      <c r="A471">
        <f>ROW(Source!A155)</f>
        <v>155</v>
      </c>
      <c r="B471">
        <v>16784196</v>
      </c>
      <c r="C471">
        <v>16785030</v>
      </c>
      <c r="D471">
        <v>15436556</v>
      </c>
      <c r="E471">
        <v>1</v>
      </c>
      <c r="F471">
        <v>1</v>
      </c>
      <c r="G471">
        <v>1</v>
      </c>
      <c r="H471">
        <v>1</v>
      </c>
      <c r="I471" t="s">
        <v>621</v>
      </c>
      <c r="J471" t="s">
        <v>6</v>
      </c>
      <c r="K471" t="s">
        <v>622</v>
      </c>
      <c r="L471">
        <v>1191</v>
      </c>
      <c r="N471">
        <v>1013</v>
      </c>
      <c r="O471" t="s">
        <v>495</v>
      </c>
      <c r="P471" t="s">
        <v>495</v>
      </c>
      <c r="Q471">
        <v>1</v>
      </c>
      <c r="W471">
        <v>0</v>
      </c>
      <c r="X471">
        <v>1069510174</v>
      </c>
      <c r="Y471">
        <v>24.897499999999997</v>
      </c>
      <c r="AA471">
        <v>0</v>
      </c>
      <c r="AB471">
        <v>0</v>
      </c>
      <c r="AC471">
        <v>0</v>
      </c>
      <c r="AD471">
        <v>58.78</v>
      </c>
      <c r="AE471">
        <v>0</v>
      </c>
      <c r="AF471">
        <v>0</v>
      </c>
      <c r="AG471">
        <v>0</v>
      </c>
      <c r="AH471">
        <v>9.6199999999999992</v>
      </c>
      <c r="AI471">
        <v>1</v>
      </c>
      <c r="AJ471">
        <v>1</v>
      </c>
      <c r="AK471">
        <v>1</v>
      </c>
      <c r="AL471">
        <v>6.11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6</v>
      </c>
      <c r="AT471">
        <v>21.65</v>
      </c>
      <c r="AU471" t="s">
        <v>28</v>
      </c>
      <c r="AV471">
        <v>1</v>
      </c>
      <c r="AW471">
        <v>2</v>
      </c>
      <c r="AX471">
        <v>16785031</v>
      </c>
      <c r="AY471">
        <v>1</v>
      </c>
      <c r="AZ471">
        <v>0</v>
      </c>
      <c r="BA471">
        <v>493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Y471*Source!I155</f>
        <v>2.4897499999999999</v>
      </c>
      <c r="CY471">
        <f>AD471</f>
        <v>58.78</v>
      </c>
      <c r="CZ471">
        <f>AH471</f>
        <v>9.6199999999999992</v>
      </c>
      <c r="DA471">
        <f>AL471</f>
        <v>6.11</v>
      </c>
      <c r="DB471">
        <f>ROUND((ROUND(AT471*CZ471,2)*1.15),2)</f>
        <v>239.51</v>
      </c>
      <c r="DC471">
        <f>ROUND((ROUND(AT471*AG471,2)*1.15),2)</f>
        <v>0</v>
      </c>
    </row>
    <row r="472" spans="1:107" x14ac:dyDescent="0.2">
      <c r="A472">
        <f>ROW(Source!A155)</f>
        <v>155</v>
      </c>
      <c r="B472">
        <v>16784196</v>
      </c>
      <c r="C472">
        <v>16785030</v>
      </c>
      <c r="D472">
        <v>15430395</v>
      </c>
      <c r="E472">
        <v>1</v>
      </c>
      <c r="F472">
        <v>1</v>
      </c>
      <c r="G472">
        <v>1</v>
      </c>
      <c r="H472">
        <v>1</v>
      </c>
      <c r="I472" t="s">
        <v>496</v>
      </c>
      <c r="J472" t="s">
        <v>6</v>
      </c>
      <c r="K472" t="s">
        <v>497</v>
      </c>
      <c r="L472">
        <v>1191</v>
      </c>
      <c r="N472">
        <v>1013</v>
      </c>
      <c r="O472" t="s">
        <v>495</v>
      </c>
      <c r="P472" t="s">
        <v>495</v>
      </c>
      <c r="Q472">
        <v>1</v>
      </c>
      <c r="W472">
        <v>0</v>
      </c>
      <c r="X472">
        <v>-1417349443</v>
      </c>
      <c r="Y472">
        <v>0.35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1</v>
      </c>
      <c r="AJ472">
        <v>1</v>
      </c>
      <c r="AK472">
        <v>6.11</v>
      </c>
      <c r="AL472">
        <v>1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6</v>
      </c>
      <c r="AT472">
        <v>0.35</v>
      </c>
      <c r="AU472" t="s">
        <v>6</v>
      </c>
      <c r="AV472">
        <v>2</v>
      </c>
      <c r="AW472">
        <v>2</v>
      </c>
      <c r="AX472">
        <v>16785032</v>
      </c>
      <c r="AY472">
        <v>1</v>
      </c>
      <c r="AZ472">
        <v>2048</v>
      </c>
      <c r="BA472">
        <v>494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Y472*Source!I155</f>
        <v>3.4999999999999996E-2</v>
      </c>
      <c r="CY472">
        <f>AD472</f>
        <v>0</v>
      </c>
      <c r="CZ472">
        <f>AH472</f>
        <v>0</v>
      </c>
      <c r="DA472">
        <f>AL472</f>
        <v>1</v>
      </c>
      <c r="DB472">
        <f>ROUND(ROUND(AT472*CZ472,2),2)</f>
        <v>0</v>
      </c>
      <c r="DC472">
        <f>ROUND(ROUND(AT472*AG472,2),2)</f>
        <v>0</v>
      </c>
    </row>
    <row r="473" spans="1:107" x14ac:dyDescent="0.2">
      <c r="A473">
        <f>ROW(Source!A155)</f>
        <v>155</v>
      </c>
      <c r="B473">
        <v>16784196</v>
      </c>
      <c r="C473">
        <v>16785030</v>
      </c>
      <c r="D473">
        <v>15247974</v>
      </c>
      <c r="E473">
        <v>1</v>
      </c>
      <c r="F473">
        <v>1</v>
      </c>
      <c r="G473">
        <v>1</v>
      </c>
      <c r="H473">
        <v>2</v>
      </c>
      <c r="I473" t="s">
        <v>498</v>
      </c>
      <c r="J473" t="s">
        <v>499</v>
      </c>
      <c r="K473" t="s">
        <v>500</v>
      </c>
      <c r="L473">
        <v>1368</v>
      </c>
      <c r="N473">
        <v>1011</v>
      </c>
      <c r="O473" t="s">
        <v>501</v>
      </c>
      <c r="P473" t="s">
        <v>501</v>
      </c>
      <c r="Q473">
        <v>1</v>
      </c>
      <c r="W473">
        <v>0</v>
      </c>
      <c r="X473">
        <v>1188625873</v>
      </c>
      <c r="Y473">
        <v>0.16250000000000001</v>
      </c>
      <c r="AA473">
        <v>0</v>
      </c>
      <c r="AB473">
        <v>191</v>
      </c>
      <c r="AC473">
        <v>13.5</v>
      </c>
      <c r="AD473">
        <v>0</v>
      </c>
      <c r="AE473">
        <v>0</v>
      </c>
      <c r="AF473">
        <v>31.26</v>
      </c>
      <c r="AG473">
        <v>13.5</v>
      </c>
      <c r="AH473">
        <v>0</v>
      </c>
      <c r="AI473">
        <v>1</v>
      </c>
      <c r="AJ473">
        <v>6.11</v>
      </c>
      <c r="AK473">
        <v>1</v>
      </c>
      <c r="AL473">
        <v>1</v>
      </c>
      <c r="AN473">
        <v>0</v>
      </c>
      <c r="AO473">
        <v>1</v>
      </c>
      <c r="AP473">
        <v>1</v>
      </c>
      <c r="AQ473">
        <v>0</v>
      </c>
      <c r="AR473">
        <v>0</v>
      </c>
      <c r="AS473" t="s">
        <v>6</v>
      </c>
      <c r="AT473">
        <v>0.13</v>
      </c>
      <c r="AU473" t="s">
        <v>27</v>
      </c>
      <c r="AV473">
        <v>0</v>
      </c>
      <c r="AW473">
        <v>2</v>
      </c>
      <c r="AX473">
        <v>16785033</v>
      </c>
      <c r="AY473">
        <v>1</v>
      </c>
      <c r="AZ473">
        <v>0</v>
      </c>
      <c r="BA473">
        <v>495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Y473*Source!I155</f>
        <v>1.6250000000000001E-2</v>
      </c>
      <c r="CY473">
        <f>AB473</f>
        <v>191</v>
      </c>
      <c r="CZ473">
        <f>AF473</f>
        <v>31.26</v>
      </c>
      <c r="DA473">
        <f>AJ473</f>
        <v>6.11</v>
      </c>
      <c r="DB473">
        <f>ROUND((ROUND(AT473*CZ473,2)*1.25),2)</f>
        <v>5.08</v>
      </c>
      <c r="DC473">
        <f>ROUND((ROUND(AT473*AG473,2)*1.25),2)</f>
        <v>2.2000000000000002</v>
      </c>
    </row>
    <row r="474" spans="1:107" x14ac:dyDescent="0.2">
      <c r="A474">
        <f>ROW(Source!A155)</f>
        <v>155</v>
      </c>
      <c r="B474">
        <v>16784196</v>
      </c>
      <c r="C474">
        <v>16785030</v>
      </c>
      <c r="D474">
        <v>15249073</v>
      </c>
      <c r="E474">
        <v>1</v>
      </c>
      <c r="F474">
        <v>1</v>
      </c>
      <c r="G474">
        <v>1</v>
      </c>
      <c r="H474">
        <v>2</v>
      </c>
      <c r="I474" t="s">
        <v>504</v>
      </c>
      <c r="J474" t="s">
        <v>505</v>
      </c>
      <c r="K474" t="s">
        <v>506</v>
      </c>
      <c r="L474">
        <v>1368</v>
      </c>
      <c r="N474">
        <v>1011</v>
      </c>
      <c r="O474" t="s">
        <v>501</v>
      </c>
      <c r="P474" t="s">
        <v>501</v>
      </c>
      <c r="Q474">
        <v>1</v>
      </c>
      <c r="W474">
        <v>0</v>
      </c>
      <c r="X474">
        <v>1372534845</v>
      </c>
      <c r="Y474">
        <v>0.27500000000000002</v>
      </c>
      <c r="AA474">
        <v>0</v>
      </c>
      <c r="AB474">
        <v>401.49</v>
      </c>
      <c r="AC474">
        <v>11.6</v>
      </c>
      <c r="AD474">
        <v>0</v>
      </c>
      <c r="AE474">
        <v>0</v>
      </c>
      <c r="AF474">
        <v>65.709999999999994</v>
      </c>
      <c r="AG474">
        <v>11.6</v>
      </c>
      <c r="AH474">
        <v>0</v>
      </c>
      <c r="AI474">
        <v>1</v>
      </c>
      <c r="AJ474">
        <v>6.11</v>
      </c>
      <c r="AK474">
        <v>1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6</v>
      </c>
      <c r="AT474">
        <v>0.22</v>
      </c>
      <c r="AU474" t="s">
        <v>27</v>
      </c>
      <c r="AV474">
        <v>0</v>
      </c>
      <c r="AW474">
        <v>2</v>
      </c>
      <c r="AX474">
        <v>16785034</v>
      </c>
      <c r="AY474">
        <v>1</v>
      </c>
      <c r="AZ474">
        <v>0</v>
      </c>
      <c r="BA474">
        <v>496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Y474*Source!I155</f>
        <v>2.7500000000000004E-2</v>
      </c>
      <c r="CY474">
        <f>AB474</f>
        <v>401.49</v>
      </c>
      <c r="CZ474">
        <f>AF474</f>
        <v>65.709999999999994</v>
      </c>
      <c r="DA474">
        <f>AJ474</f>
        <v>6.11</v>
      </c>
      <c r="DB474">
        <f>ROUND((ROUND(AT474*CZ474,2)*1.25),2)</f>
        <v>18.079999999999998</v>
      </c>
      <c r="DC474">
        <f>ROUND((ROUND(AT474*AG474,2)*1.25),2)</f>
        <v>3.19</v>
      </c>
    </row>
    <row r="475" spans="1:107" x14ac:dyDescent="0.2">
      <c r="A475">
        <f>ROW(Source!A155)</f>
        <v>155</v>
      </c>
      <c r="B475">
        <v>16784196</v>
      </c>
      <c r="C475">
        <v>16785030</v>
      </c>
      <c r="D475">
        <v>15167963</v>
      </c>
      <c r="E475">
        <v>1</v>
      </c>
      <c r="F475">
        <v>1</v>
      </c>
      <c r="G475">
        <v>1</v>
      </c>
      <c r="H475">
        <v>3</v>
      </c>
      <c r="I475" t="s">
        <v>727</v>
      </c>
      <c r="J475" t="s">
        <v>728</v>
      </c>
      <c r="K475" t="s">
        <v>729</v>
      </c>
      <c r="L475">
        <v>1346</v>
      </c>
      <c r="N475">
        <v>1009</v>
      </c>
      <c r="O475" t="s">
        <v>60</v>
      </c>
      <c r="P475" t="s">
        <v>60</v>
      </c>
      <c r="Q475">
        <v>1</v>
      </c>
      <c r="W475">
        <v>0</v>
      </c>
      <c r="X475">
        <v>-490687590</v>
      </c>
      <c r="Y475">
        <v>0.3</v>
      </c>
      <c r="AA475">
        <v>227.84</v>
      </c>
      <c r="AB475">
        <v>0</v>
      </c>
      <c r="AC475">
        <v>0</v>
      </c>
      <c r="AD475">
        <v>0</v>
      </c>
      <c r="AE475">
        <v>37.29</v>
      </c>
      <c r="AF475">
        <v>0</v>
      </c>
      <c r="AG475">
        <v>0</v>
      </c>
      <c r="AH475">
        <v>0</v>
      </c>
      <c r="AI475">
        <v>6.11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0.3</v>
      </c>
      <c r="AU475" t="s">
        <v>6</v>
      </c>
      <c r="AV475">
        <v>0</v>
      </c>
      <c r="AW475">
        <v>2</v>
      </c>
      <c r="AX475">
        <v>16785035</v>
      </c>
      <c r="AY475">
        <v>1</v>
      </c>
      <c r="AZ475">
        <v>0</v>
      </c>
      <c r="BA475">
        <v>497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Y475*Source!I155</f>
        <v>0.03</v>
      </c>
      <c r="CY475">
        <f t="shared" ref="CY475:CY480" si="93">AA475</f>
        <v>227.84</v>
      </c>
      <c r="CZ475">
        <f t="shared" ref="CZ475:CZ480" si="94">AE475</f>
        <v>37.29</v>
      </c>
      <c r="DA475">
        <f t="shared" ref="DA475:DA480" si="95">AI475</f>
        <v>6.11</v>
      </c>
      <c r="DB475">
        <f t="shared" ref="DB475:DB480" si="96">ROUND(ROUND(AT475*CZ475,2),2)</f>
        <v>11.19</v>
      </c>
      <c r="DC475">
        <f t="shared" ref="DC475:DC480" si="97">ROUND(ROUND(AT475*AG475,2),2)</f>
        <v>0</v>
      </c>
    </row>
    <row r="476" spans="1:107" x14ac:dyDescent="0.2">
      <c r="A476">
        <f>ROW(Source!A155)</f>
        <v>155</v>
      </c>
      <c r="B476">
        <v>16784196</v>
      </c>
      <c r="C476">
        <v>16785030</v>
      </c>
      <c r="D476">
        <v>15189796</v>
      </c>
      <c r="E476">
        <v>1</v>
      </c>
      <c r="F476">
        <v>1</v>
      </c>
      <c r="G476">
        <v>1</v>
      </c>
      <c r="H476">
        <v>3</v>
      </c>
      <c r="I476" t="s">
        <v>745</v>
      </c>
      <c r="J476" t="s">
        <v>746</v>
      </c>
      <c r="K476" t="s">
        <v>747</v>
      </c>
      <c r="L476">
        <v>1348</v>
      </c>
      <c r="N476">
        <v>1009</v>
      </c>
      <c r="O476" t="s">
        <v>65</v>
      </c>
      <c r="P476" t="s">
        <v>65</v>
      </c>
      <c r="Q476">
        <v>1000</v>
      </c>
      <c r="W476">
        <v>0</v>
      </c>
      <c r="X476">
        <v>-1756095795</v>
      </c>
      <c r="Y476">
        <v>3.5999999999999999E-3</v>
      </c>
      <c r="AA476">
        <v>36592.79</v>
      </c>
      <c r="AB476">
        <v>0</v>
      </c>
      <c r="AC476">
        <v>0</v>
      </c>
      <c r="AD476">
        <v>0</v>
      </c>
      <c r="AE476">
        <v>5989</v>
      </c>
      <c r="AF476">
        <v>0</v>
      </c>
      <c r="AG476">
        <v>0</v>
      </c>
      <c r="AH476">
        <v>0</v>
      </c>
      <c r="AI476">
        <v>6.11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3.5999999999999999E-3</v>
      </c>
      <c r="AU476" t="s">
        <v>6</v>
      </c>
      <c r="AV476">
        <v>0</v>
      </c>
      <c r="AW476">
        <v>2</v>
      </c>
      <c r="AX476">
        <v>16785038</v>
      </c>
      <c r="AY476">
        <v>1</v>
      </c>
      <c r="AZ476">
        <v>0</v>
      </c>
      <c r="BA476">
        <v>500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Y476*Source!I155</f>
        <v>3.6000000000000002E-4</v>
      </c>
      <c r="CY476">
        <f t="shared" si="93"/>
        <v>36592.79</v>
      </c>
      <c r="CZ476">
        <f t="shared" si="94"/>
        <v>5989</v>
      </c>
      <c r="DA476">
        <f t="shared" si="95"/>
        <v>6.11</v>
      </c>
      <c r="DB476">
        <f t="shared" si="96"/>
        <v>21.56</v>
      </c>
      <c r="DC476">
        <f t="shared" si="97"/>
        <v>0</v>
      </c>
    </row>
    <row r="477" spans="1:107" x14ac:dyDescent="0.2">
      <c r="A477">
        <f>ROW(Source!A155)</f>
        <v>155</v>
      </c>
      <c r="B477">
        <v>16784196</v>
      </c>
      <c r="C477">
        <v>16785030</v>
      </c>
      <c r="D477">
        <v>15203740</v>
      </c>
      <c r="E477">
        <v>1</v>
      </c>
      <c r="F477">
        <v>1</v>
      </c>
      <c r="G477">
        <v>1</v>
      </c>
      <c r="H477">
        <v>3</v>
      </c>
      <c r="I477" t="s">
        <v>739</v>
      </c>
      <c r="J477" t="s">
        <v>740</v>
      </c>
      <c r="K477" t="s">
        <v>741</v>
      </c>
      <c r="L477">
        <v>1348</v>
      </c>
      <c r="N477">
        <v>1009</v>
      </c>
      <c r="O477" t="s">
        <v>65</v>
      </c>
      <c r="P477" t="s">
        <v>65</v>
      </c>
      <c r="Q477">
        <v>1000</v>
      </c>
      <c r="W477">
        <v>0</v>
      </c>
      <c r="X477">
        <v>570223526</v>
      </c>
      <c r="Y477">
        <v>4.0000000000000002E-4</v>
      </c>
      <c r="AA477">
        <v>92377.09</v>
      </c>
      <c r="AB477">
        <v>0</v>
      </c>
      <c r="AC477">
        <v>0</v>
      </c>
      <c r="AD477">
        <v>0</v>
      </c>
      <c r="AE477">
        <v>15119</v>
      </c>
      <c r="AF477">
        <v>0</v>
      </c>
      <c r="AG477">
        <v>0</v>
      </c>
      <c r="AH477">
        <v>0</v>
      </c>
      <c r="AI477">
        <v>6.11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4.0000000000000002E-4</v>
      </c>
      <c r="AU477" t="s">
        <v>6</v>
      </c>
      <c r="AV477">
        <v>0</v>
      </c>
      <c r="AW477">
        <v>2</v>
      </c>
      <c r="AX477">
        <v>16785039</v>
      </c>
      <c r="AY477">
        <v>1</v>
      </c>
      <c r="AZ477">
        <v>0</v>
      </c>
      <c r="BA477">
        <v>501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Y477*Source!I155</f>
        <v>4.0000000000000003E-5</v>
      </c>
      <c r="CY477">
        <f t="shared" si="93"/>
        <v>92377.09</v>
      </c>
      <c r="CZ477">
        <f t="shared" si="94"/>
        <v>15119</v>
      </c>
      <c r="DA477">
        <f t="shared" si="95"/>
        <v>6.11</v>
      </c>
      <c r="DB477">
        <f t="shared" si="96"/>
        <v>6.05</v>
      </c>
      <c r="DC477">
        <f t="shared" si="97"/>
        <v>0</v>
      </c>
    </row>
    <row r="478" spans="1:107" x14ac:dyDescent="0.2">
      <c r="A478">
        <f>ROW(Source!A155)</f>
        <v>155</v>
      </c>
      <c r="B478">
        <v>16784196</v>
      </c>
      <c r="C478">
        <v>16785030</v>
      </c>
      <c r="D478">
        <v>15204468</v>
      </c>
      <c r="E478">
        <v>1</v>
      </c>
      <c r="F478">
        <v>1</v>
      </c>
      <c r="G478">
        <v>1</v>
      </c>
      <c r="H478">
        <v>3</v>
      </c>
      <c r="I478" t="s">
        <v>659</v>
      </c>
      <c r="J478" t="s">
        <v>660</v>
      </c>
      <c r="K478" t="s">
        <v>661</v>
      </c>
      <c r="L478">
        <v>1348</v>
      </c>
      <c r="N478">
        <v>1009</v>
      </c>
      <c r="O478" t="s">
        <v>65</v>
      </c>
      <c r="P478" t="s">
        <v>65</v>
      </c>
      <c r="Q478">
        <v>1000</v>
      </c>
      <c r="W478">
        <v>0</v>
      </c>
      <c r="X478">
        <v>-909021926</v>
      </c>
      <c r="Y478">
        <v>2.0000000000000001E-4</v>
      </c>
      <c r="AA478">
        <v>103564.5</v>
      </c>
      <c r="AB478">
        <v>0</v>
      </c>
      <c r="AC478">
        <v>0</v>
      </c>
      <c r="AD478">
        <v>0</v>
      </c>
      <c r="AE478">
        <v>16950</v>
      </c>
      <c r="AF478">
        <v>0</v>
      </c>
      <c r="AG478">
        <v>0</v>
      </c>
      <c r="AH478">
        <v>0</v>
      </c>
      <c r="AI478">
        <v>6.11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2.0000000000000001E-4</v>
      </c>
      <c r="AU478" t="s">
        <v>6</v>
      </c>
      <c r="AV478">
        <v>0</v>
      </c>
      <c r="AW478">
        <v>2</v>
      </c>
      <c r="AX478">
        <v>16785041</v>
      </c>
      <c r="AY478">
        <v>1</v>
      </c>
      <c r="AZ478">
        <v>0</v>
      </c>
      <c r="BA478">
        <v>503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Y478*Source!I155</f>
        <v>2.0000000000000002E-5</v>
      </c>
      <c r="CY478">
        <f t="shared" si="93"/>
        <v>103564.5</v>
      </c>
      <c r="CZ478">
        <f t="shared" si="94"/>
        <v>16950</v>
      </c>
      <c r="DA478">
        <f t="shared" si="95"/>
        <v>6.11</v>
      </c>
      <c r="DB478">
        <f t="shared" si="96"/>
        <v>3.39</v>
      </c>
      <c r="DC478">
        <f t="shared" si="97"/>
        <v>0</v>
      </c>
    </row>
    <row r="479" spans="1:107" x14ac:dyDescent="0.2">
      <c r="A479">
        <f>ROW(Source!A155)</f>
        <v>155</v>
      </c>
      <c r="B479">
        <v>16784196</v>
      </c>
      <c r="C479">
        <v>16785030</v>
      </c>
      <c r="D479">
        <v>15211518</v>
      </c>
      <c r="E479">
        <v>1</v>
      </c>
      <c r="F479">
        <v>1</v>
      </c>
      <c r="G479">
        <v>1</v>
      </c>
      <c r="H479">
        <v>3</v>
      </c>
      <c r="I479" t="s">
        <v>339</v>
      </c>
      <c r="J479" t="s">
        <v>341</v>
      </c>
      <c r="K479" t="s">
        <v>340</v>
      </c>
      <c r="L479">
        <v>1035</v>
      </c>
      <c r="N479">
        <v>1013</v>
      </c>
      <c r="O479" t="s">
        <v>222</v>
      </c>
      <c r="P479" t="s">
        <v>222</v>
      </c>
      <c r="Q479">
        <v>1</v>
      </c>
      <c r="W479">
        <v>0</v>
      </c>
      <c r="X479">
        <v>-58618839</v>
      </c>
      <c r="Y479">
        <v>10</v>
      </c>
      <c r="AA479">
        <v>1505.69</v>
      </c>
      <c r="AB479">
        <v>0</v>
      </c>
      <c r="AC479">
        <v>0</v>
      </c>
      <c r="AD479">
        <v>0</v>
      </c>
      <c r="AE479">
        <v>246.43</v>
      </c>
      <c r="AF479">
        <v>0</v>
      </c>
      <c r="AG479">
        <v>0</v>
      </c>
      <c r="AH479">
        <v>0</v>
      </c>
      <c r="AI479">
        <v>6.11</v>
      </c>
      <c r="AJ479">
        <v>1</v>
      </c>
      <c r="AK479">
        <v>1</v>
      </c>
      <c r="AL479">
        <v>1</v>
      </c>
      <c r="AN479">
        <v>0</v>
      </c>
      <c r="AO479">
        <v>0</v>
      </c>
      <c r="AP479">
        <v>0</v>
      </c>
      <c r="AQ479">
        <v>0</v>
      </c>
      <c r="AR479">
        <v>0</v>
      </c>
      <c r="AS479" t="s">
        <v>6</v>
      </c>
      <c r="AT479">
        <v>10</v>
      </c>
      <c r="AU479" t="s">
        <v>6</v>
      </c>
      <c r="AV479">
        <v>0</v>
      </c>
      <c r="AW479">
        <v>1</v>
      </c>
      <c r="AX479">
        <v>-1</v>
      </c>
      <c r="AY479">
        <v>0</v>
      </c>
      <c r="AZ479">
        <v>0</v>
      </c>
      <c r="BA479" t="s">
        <v>6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Y479*Source!I155</f>
        <v>1</v>
      </c>
      <c r="CY479">
        <f t="shared" si="93"/>
        <v>1505.69</v>
      </c>
      <c r="CZ479">
        <f t="shared" si="94"/>
        <v>246.43</v>
      </c>
      <c r="DA479">
        <f t="shared" si="95"/>
        <v>6.11</v>
      </c>
      <c r="DB479">
        <f t="shared" si="96"/>
        <v>2464.3000000000002</v>
      </c>
      <c r="DC479">
        <f t="shared" si="97"/>
        <v>0</v>
      </c>
    </row>
    <row r="480" spans="1:107" x14ac:dyDescent="0.2">
      <c r="A480">
        <f>ROW(Source!A155)</f>
        <v>155</v>
      </c>
      <c r="B480">
        <v>16784196</v>
      </c>
      <c r="C480">
        <v>16785030</v>
      </c>
      <c r="D480">
        <v>15163189</v>
      </c>
      <c r="E480">
        <v>17</v>
      </c>
      <c r="F480">
        <v>1</v>
      </c>
      <c r="G480">
        <v>1</v>
      </c>
      <c r="H480">
        <v>3</v>
      </c>
      <c r="I480" t="s">
        <v>332</v>
      </c>
      <c r="J480" t="s">
        <v>6</v>
      </c>
      <c r="K480" t="s">
        <v>333</v>
      </c>
      <c r="L480">
        <v>1035</v>
      </c>
      <c r="N480">
        <v>1013</v>
      </c>
      <c r="O480" t="s">
        <v>222</v>
      </c>
      <c r="P480" t="s">
        <v>222</v>
      </c>
      <c r="Q480">
        <v>1</v>
      </c>
      <c r="W480">
        <v>0</v>
      </c>
      <c r="X480">
        <v>195171381</v>
      </c>
      <c r="Y480">
        <v>10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6.11</v>
      </c>
      <c r="AJ480">
        <v>1</v>
      </c>
      <c r="AK480">
        <v>1</v>
      </c>
      <c r="AL480">
        <v>1</v>
      </c>
      <c r="AN480">
        <v>0</v>
      </c>
      <c r="AO480">
        <v>0</v>
      </c>
      <c r="AP480">
        <v>0</v>
      </c>
      <c r="AQ480">
        <v>0</v>
      </c>
      <c r="AR480">
        <v>0</v>
      </c>
      <c r="AS480" t="s">
        <v>6</v>
      </c>
      <c r="AT480">
        <v>10</v>
      </c>
      <c r="AU480" t="s">
        <v>6</v>
      </c>
      <c r="AV480">
        <v>0</v>
      </c>
      <c r="AW480">
        <v>2</v>
      </c>
      <c r="AX480">
        <v>16785042</v>
      </c>
      <c r="AY480">
        <v>1</v>
      </c>
      <c r="AZ480">
        <v>0</v>
      </c>
      <c r="BA480">
        <v>504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Y480*Source!I155</f>
        <v>1</v>
      </c>
      <c r="CY480">
        <f t="shared" si="93"/>
        <v>0</v>
      </c>
      <c r="CZ480">
        <f t="shared" si="94"/>
        <v>0</v>
      </c>
      <c r="DA480">
        <f t="shared" si="95"/>
        <v>6.11</v>
      </c>
      <c r="DB480">
        <f t="shared" si="96"/>
        <v>0</v>
      </c>
      <c r="DC480">
        <f t="shared" si="97"/>
        <v>0</v>
      </c>
    </row>
    <row r="481" spans="1:107" x14ac:dyDescent="0.2">
      <c r="A481">
        <f>ROW(Source!A160)</f>
        <v>160</v>
      </c>
      <c r="B481">
        <v>16784195</v>
      </c>
      <c r="C481">
        <v>16784745</v>
      </c>
      <c r="D481">
        <v>15432356</v>
      </c>
      <c r="E481">
        <v>1</v>
      </c>
      <c r="F481">
        <v>1</v>
      </c>
      <c r="G481">
        <v>1</v>
      </c>
      <c r="H481">
        <v>1</v>
      </c>
      <c r="I481" t="s">
        <v>748</v>
      </c>
      <c r="J481" t="s">
        <v>6</v>
      </c>
      <c r="K481" t="s">
        <v>749</v>
      </c>
      <c r="L481">
        <v>1191</v>
      </c>
      <c r="N481">
        <v>1013</v>
      </c>
      <c r="O481" t="s">
        <v>495</v>
      </c>
      <c r="P481" t="s">
        <v>495</v>
      </c>
      <c r="Q481">
        <v>1</v>
      </c>
      <c r="W481">
        <v>0</v>
      </c>
      <c r="X481">
        <v>1850719656</v>
      </c>
      <c r="Y481">
        <v>39.858999999999995</v>
      </c>
      <c r="AA481">
        <v>0</v>
      </c>
      <c r="AB481">
        <v>0</v>
      </c>
      <c r="AC481">
        <v>0</v>
      </c>
      <c r="AD481">
        <v>8.31</v>
      </c>
      <c r="AE481">
        <v>0</v>
      </c>
      <c r="AF481">
        <v>0</v>
      </c>
      <c r="AG481">
        <v>0</v>
      </c>
      <c r="AH481">
        <v>8.31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6</v>
      </c>
      <c r="AT481">
        <v>34.659999999999997</v>
      </c>
      <c r="AU481" t="s">
        <v>28</v>
      </c>
      <c r="AV481">
        <v>1</v>
      </c>
      <c r="AW481">
        <v>2</v>
      </c>
      <c r="AX481">
        <v>16784752</v>
      </c>
      <c r="AY481">
        <v>1</v>
      </c>
      <c r="AZ481">
        <v>0</v>
      </c>
      <c r="BA481">
        <v>505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Y481*Source!I160</f>
        <v>2.79013</v>
      </c>
      <c r="CY481">
        <f>AD481</f>
        <v>8.31</v>
      </c>
      <c r="CZ481">
        <f>AH481</f>
        <v>8.31</v>
      </c>
      <c r="DA481">
        <f>AL481</f>
        <v>1</v>
      </c>
      <c r="DB481">
        <f>ROUND((ROUND(AT481*CZ481,2)*1.15),2)</f>
        <v>331.22</v>
      </c>
      <c r="DC481">
        <f>ROUND((ROUND(AT481*AG481,2)*1.15),2)</f>
        <v>0</v>
      </c>
    </row>
    <row r="482" spans="1:107" x14ac:dyDescent="0.2">
      <c r="A482">
        <f>ROW(Source!A160)</f>
        <v>160</v>
      </c>
      <c r="B482">
        <v>16784195</v>
      </c>
      <c r="C482">
        <v>16784745</v>
      </c>
      <c r="D482">
        <v>15430395</v>
      </c>
      <c r="E482">
        <v>1</v>
      </c>
      <c r="F482">
        <v>1</v>
      </c>
      <c r="G482">
        <v>1</v>
      </c>
      <c r="H482">
        <v>1</v>
      </c>
      <c r="I482" t="s">
        <v>496</v>
      </c>
      <c r="J482" t="s">
        <v>6</v>
      </c>
      <c r="K482" t="s">
        <v>497</v>
      </c>
      <c r="L482">
        <v>1191</v>
      </c>
      <c r="N482">
        <v>1013</v>
      </c>
      <c r="O482" t="s">
        <v>495</v>
      </c>
      <c r="P482" t="s">
        <v>495</v>
      </c>
      <c r="Q482">
        <v>1</v>
      </c>
      <c r="W482">
        <v>0</v>
      </c>
      <c r="X482">
        <v>-1417349443</v>
      </c>
      <c r="Y482">
        <v>0.1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0</v>
      </c>
      <c r="AQ482">
        <v>0</v>
      </c>
      <c r="AR482">
        <v>0</v>
      </c>
      <c r="AS482" t="s">
        <v>6</v>
      </c>
      <c r="AT482">
        <v>0.1</v>
      </c>
      <c r="AU482" t="s">
        <v>6</v>
      </c>
      <c r="AV482">
        <v>2</v>
      </c>
      <c r="AW482">
        <v>2</v>
      </c>
      <c r="AX482">
        <v>16784753</v>
      </c>
      <c r="AY482">
        <v>1</v>
      </c>
      <c r="AZ482">
        <v>2048</v>
      </c>
      <c r="BA482">
        <v>506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Y482*Source!I160</f>
        <v>7.000000000000001E-3</v>
      </c>
      <c r="CY482">
        <f>AD482</f>
        <v>0</v>
      </c>
      <c r="CZ482">
        <f>AH482</f>
        <v>0</v>
      </c>
      <c r="DA482">
        <f>AL482</f>
        <v>1</v>
      </c>
      <c r="DB482">
        <f>ROUND(ROUND(AT482*CZ482,2),2)</f>
        <v>0</v>
      </c>
      <c r="DC482">
        <f>ROUND(ROUND(AT482*AG482,2),2)</f>
        <v>0</v>
      </c>
    </row>
    <row r="483" spans="1:107" x14ac:dyDescent="0.2">
      <c r="A483">
        <f>ROW(Source!A160)</f>
        <v>160</v>
      </c>
      <c r="B483">
        <v>16784195</v>
      </c>
      <c r="C483">
        <v>16784745</v>
      </c>
      <c r="D483">
        <v>15247974</v>
      </c>
      <c r="E483">
        <v>1</v>
      </c>
      <c r="F483">
        <v>1</v>
      </c>
      <c r="G483">
        <v>1</v>
      </c>
      <c r="H483">
        <v>2</v>
      </c>
      <c r="I483" t="s">
        <v>498</v>
      </c>
      <c r="J483" t="s">
        <v>499</v>
      </c>
      <c r="K483" t="s">
        <v>500</v>
      </c>
      <c r="L483">
        <v>1368</v>
      </c>
      <c r="N483">
        <v>1011</v>
      </c>
      <c r="O483" t="s">
        <v>501</v>
      </c>
      <c r="P483" t="s">
        <v>501</v>
      </c>
      <c r="Q483">
        <v>1</v>
      </c>
      <c r="W483">
        <v>0</v>
      </c>
      <c r="X483">
        <v>1188625873</v>
      </c>
      <c r="Y483">
        <v>0.11499999999999999</v>
      </c>
      <c r="AA483">
        <v>0</v>
      </c>
      <c r="AB483">
        <v>31.26</v>
      </c>
      <c r="AC483">
        <v>13.5</v>
      </c>
      <c r="AD483">
        <v>0</v>
      </c>
      <c r="AE483">
        <v>0</v>
      </c>
      <c r="AF483">
        <v>31.26</v>
      </c>
      <c r="AG483">
        <v>13.5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6</v>
      </c>
      <c r="AT483">
        <v>0.1</v>
      </c>
      <c r="AU483" t="s">
        <v>28</v>
      </c>
      <c r="AV483">
        <v>0</v>
      </c>
      <c r="AW483">
        <v>2</v>
      </c>
      <c r="AX483">
        <v>16784754</v>
      </c>
      <c r="AY483">
        <v>1</v>
      </c>
      <c r="AZ483">
        <v>0</v>
      </c>
      <c r="BA483">
        <v>507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Y483*Source!I160</f>
        <v>8.0499999999999999E-3</v>
      </c>
      <c r="CY483">
        <f>AB483</f>
        <v>31.26</v>
      </c>
      <c r="CZ483">
        <f>AF483</f>
        <v>31.26</v>
      </c>
      <c r="DA483">
        <f>AJ483</f>
        <v>1</v>
      </c>
      <c r="DB483">
        <f>ROUND((ROUND(AT483*CZ483,2)*1.15),2)</f>
        <v>3.6</v>
      </c>
      <c r="DC483">
        <f>ROUND((ROUND(AT483*AG483,2)*1.15),2)</f>
        <v>1.55</v>
      </c>
    </row>
    <row r="484" spans="1:107" x14ac:dyDescent="0.2">
      <c r="A484">
        <f>ROW(Source!A160)</f>
        <v>160</v>
      </c>
      <c r="B484">
        <v>16784195</v>
      </c>
      <c r="C484">
        <v>16784745</v>
      </c>
      <c r="D484">
        <v>15249308</v>
      </c>
      <c r="E484">
        <v>1</v>
      </c>
      <c r="F484">
        <v>1</v>
      </c>
      <c r="G484">
        <v>1</v>
      </c>
      <c r="H484">
        <v>2</v>
      </c>
      <c r="I484" t="s">
        <v>543</v>
      </c>
      <c r="J484" t="s">
        <v>544</v>
      </c>
      <c r="K484" t="s">
        <v>545</v>
      </c>
      <c r="L484">
        <v>1368</v>
      </c>
      <c r="N484">
        <v>1011</v>
      </c>
      <c r="O484" t="s">
        <v>501</v>
      </c>
      <c r="P484" t="s">
        <v>501</v>
      </c>
      <c r="Q484">
        <v>1</v>
      </c>
      <c r="W484">
        <v>0</v>
      </c>
      <c r="X484">
        <v>792402865</v>
      </c>
      <c r="Y484">
        <v>3.7949999999999995</v>
      </c>
      <c r="AA484">
        <v>0</v>
      </c>
      <c r="AB484">
        <v>1.2</v>
      </c>
      <c r="AC484">
        <v>0</v>
      </c>
      <c r="AD484">
        <v>0</v>
      </c>
      <c r="AE484">
        <v>0</v>
      </c>
      <c r="AF484">
        <v>1.2</v>
      </c>
      <c r="AG484">
        <v>0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1</v>
      </c>
      <c r="AQ484">
        <v>0</v>
      </c>
      <c r="AR484">
        <v>0</v>
      </c>
      <c r="AS484" t="s">
        <v>6</v>
      </c>
      <c r="AT484">
        <v>3.3</v>
      </c>
      <c r="AU484" t="s">
        <v>28</v>
      </c>
      <c r="AV484">
        <v>0</v>
      </c>
      <c r="AW484">
        <v>2</v>
      </c>
      <c r="AX484">
        <v>16784755</v>
      </c>
      <c r="AY484">
        <v>1</v>
      </c>
      <c r="AZ484">
        <v>0</v>
      </c>
      <c r="BA484">
        <v>508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Y484*Source!I160</f>
        <v>0.26565</v>
      </c>
      <c r="CY484">
        <f>AB484</f>
        <v>1.2</v>
      </c>
      <c r="CZ484">
        <f>AF484</f>
        <v>1.2</v>
      </c>
      <c r="DA484">
        <f>AJ484</f>
        <v>1</v>
      </c>
      <c r="DB484">
        <f>ROUND((ROUND(AT484*CZ484,2)*1.15),2)</f>
        <v>4.55</v>
      </c>
      <c r="DC484">
        <f>ROUND((ROUND(AT484*AG484,2)*1.15),2)</f>
        <v>0</v>
      </c>
    </row>
    <row r="485" spans="1:107" x14ac:dyDescent="0.2">
      <c r="A485">
        <f>ROW(Source!A160)</f>
        <v>160</v>
      </c>
      <c r="B485">
        <v>16784195</v>
      </c>
      <c r="C485">
        <v>16784745</v>
      </c>
      <c r="D485">
        <v>15165634</v>
      </c>
      <c r="E485">
        <v>1</v>
      </c>
      <c r="F485">
        <v>1</v>
      </c>
      <c r="G485">
        <v>1</v>
      </c>
      <c r="H485">
        <v>3</v>
      </c>
      <c r="I485" t="s">
        <v>750</v>
      </c>
      <c r="J485" t="s">
        <v>751</v>
      </c>
      <c r="K485" t="s">
        <v>752</v>
      </c>
      <c r="L485">
        <v>1339</v>
      </c>
      <c r="N485">
        <v>1007</v>
      </c>
      <c r="O485" t="s">
        <v>128</v>
      </c>
      <c r="P485" t="s">
        <v>128</v>
      </c>
      <c r="Q485">
        <v>1</v>
      </c>
      <c r="W485">
        <v>0</v>
      </c>
      <c r="X485">
        <v>1706747518</v>
      </c>
      <c r="Y485">
        <v>0.43</v>
      </c>
      <c r="AA485">
        <v>38.51</v>
      </c>
      <c r="AB485">
        <v>0</v>
      </c>
      <c r="AC485">
        <v>0</v>
      </c>
      <c r="AD485">
        <v>0</v>
      </c>
      <c r="AE485">
        <v>38.51</v>
      </c>
      <c r="AF485">
        <v>0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1</v>
      </c>
      <c r="AQ485">
        <v>0</v>
      </c>
      <c r="AR485">
        <v>0</v>
      </c>
      <c r="AS485" t="s">
        <v>6</v>
      </c>
      <c r="AT485">
        <v>0.43</v>
      </c>
      <c r="AU485" t="s">
        <v>6</v>
      </c>
      <c r="AV485">
        <v>0</v>
      </c>
      <c r="AW485">
        <v>2</v>
      </c>
      <c r="AX485">
        <v>16784756</v>
      </c>
      <c r="AY485">
        <v>1</v>
      </c>
      <c r="AZ485">
        <v>0</v>
      </c>
      <c r="BA485">
        <v>509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Y485*Source!I160</f>
        <v>3.0100000000000002E-2</v>
      </c>
      <c r="CY485">
        <f>AA485</f>
        <v>38.51</v>
      </c>
      <c r="CZ485">
        <f>AE485</f>
        <v>38.51</v>
      </c>
      <c r="DA485">
        <f>AI485</f>
        <v>1</v>
      </c>
      <c r="DB485">
        <f>ROUND(ROUND(AT485*CZ485,2),2)</f>
        <v>16.559999999999999</v>
      </c>
      <c r="DC485">
        <f>ROUND(ROUND(AT485*AG485,2),2)</f>
        <v>0</v>
      </c>
    </row>
    <row r="486" spans="1:107" x14ac:dyDescent="0.2">
      <c r="A486">
        <f>ROW(Source!A160)</f>
        <v>160</v>
      </c>
      <c r="B486">
        <v>16784195</v>
      </c>
      <c r="C486">
        <v>16784745</v>
      </c>
      <c r="D486">
        <v>15165653</v>
      </c>
      <c r="E486">
        <v>1</v>
      </c>
      <c r="F486">
        <v>1</v>
      </c>
      <c r="G486">
        <v>1</v>
      </c>
      <c r="H486">
        <v>3</v>
      </c>
      <c r="I486" t="s">
        <v>549</v>
      </c>
      <c r="J486" t="s">
        <v>550</v>
      </c>
      <c r="K486" t="s">
        <v>551</v>
      </c>
      <c r="L486">
        <v>1339</v>
      </c>
      <c r="N486">
        <v>1007</v>
      </c>
      <c r="O486" t="s">
        <v>128</v>
      </c>
      <c r="P486" t="s">
        <v>128</v>
      </c>
      <c r="Q486">
        <v>1</v>
      </c>
      <c r="W486">
        <v>0</v>
      </c>
      <c r="X486">
        <v>1262771840</v>
      </c>
      <c r="Y486">
        <v>2.74</v>
      </c>
      <c r="AA486">
        <v>6.22</v>
      </c>
      <c r="AB486">
        <v>0</v>
      </c>
      <c r="AC486">
        <v>0</v>
      </c>
      <c r="AD486">
        <v>0</v>
      </c>
      <c r="AE486">
        <v>6.22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6</v>
      </c>
      <c r="AT486">
        <v>2.74</v>
      </c>
      <c r="AU486" t="s">
        <v>6</v>
      </c>
      <c r="AV486">
        <v>0</v>
      </c>
      <c r="AW486">
        <v>2</v>
      </c>
      <c r="AX486">
        <v>16784757</v>
      </c>
      <c r="AY486">
        <v>1</v>
      </c>
      <c r="AZ486">
        <v>0</v>
      </c>
      <c r="BA486">
        <v>510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Y486*Source!I160</f>
        <v>0.19180000000000003</v>
      </c>
      <c r="CY486">
        <f>AA486</f>
        <v>6.22</v>
      </c>
      <c r="CZ486">
        <f>AE486</f>
        <v>6.22</v>
      </c>
      <c r="DA486">
        <f>AI486</f>
        <v>1</v>
      </c>
      <c r="DB486">
        <f>ROUND(ROUND(AT486*CZ486,2),2)</f>
        <v>17.04</v>
      </c>
      <c r="DC486">
        <f>ROUND(ROUND(AT486*AG486,2),2)</f>
        <v>0</v>
      </c>
    </row>
    <row r="487" spans="1:107" x14ac:dyDescent="0.2">
      <c r="A487">
        <f>ROW(Source!A161)</f>
        <v>161</v>
      </c>
      <c r="B487">
        <v>16784196</v>
      </c>
      <c r="C487">
        <v>16784745</v>
      </c>
      <c r="D487">
        <v>15432356</v>
      </c>
      <c r="E487">
        <v>1</v>
      </c>
      <c r="F487">
        <v>1</v>
      </c>
      <c r="G487">
        <v>1</v>
      </c>
      <c r="H487">
        <v>1</v>
      </c>
      <c r="I487" t="s">
        <v>748</v>
      </c>
      <c r="J487" t="s">
        <v>6</v>
      </c>
      <c r="K487" t="s">
        <v>749</v>
      </c>
      <c r="L487">
        <v>1191</v>
      </c>
      <c r="N487">
        <v>1013</v>
      </c>
      <c r="O487" t="s">
        <v>495</v>
      </c>
      <c r="P487" t="s">
        <v>495</v>
      </c>
      <c r="Q487">
        <v>1</v>
      </c>
      <c r="W487">
        <v>0</v>
      </c>
      <c r="X487">
        <v>1850719656</v>
      </c>
      <c r="Y487">
        <v>39.858999999999995</v>
      </c>
      <c r="AA487">
        <v>0</v>
      </c>
      <c r="AB487">
        <v>0</v>
      </c>
      <c r="AC487">
        <v>0</v>
      </c>
      <c r="AD487">
        <v>50.77</v>
      </c>
      <c r="AE487">
        <v>0</v>
      </c>
      <c r="AF487">
        <v>0</v>
      </c>
      <c r="AG487">
        <v>0</v>
      </c>
      <c r="AH487">
        <v>8.31</v>
      </c>
      <c r="AI487">
        <v>1</v>
      </c>
      <c r="AJ487">
        <v>1</v>
      </c>
      <c r="AK487">
        <v>1</v>
      </c>
      <c r="AL487">
        <v>6.11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6</v>
      </c>
      <c r="AT487">
        <v>34.659999999999997</v>
      </c>
      <c r="AU487" t="s">
        <v>28</v>
      </c>
      <c r="AV487">
        <v>1</v>
      </c>
      <c r="AW487">
        <v>2</v>
      </c>
      <c r="AX487">
        <v>16784752</v>
      </c>
      <c r="AY487">
        <v>1</v>
      </c>
      <c r="AZ487">
        <v>0</v>
      </c>
      <c r="BA487">
        <v>512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Y487*Source!I161</f>
        <v>2.79013</v>
      </c>
      <c r="CY487">
        <f>AD487</f>
        <v>50.77</v>
      </c>
      <c r="CZ487">
        <f>AH487</f>
        <v>8.31</v>
      </c>
      <c r="DA487">
        <f>AL487</f>
        <v>6.11</v>
      </c>
      <c r="DB487">
        <f>ROUND((ROUND(AT487*CZ487,2)*1.15),2)</f>
        <v>331.22</v>
      </c>
      <c r="DC487">
        <f>ROUND((ROUND(AT487*AG487,2)*1.15),2)</f>
        <v>0</v>
      </c>
    </row>
    <row r="488" spans="1:107" x14ac:dyDescent="0.2">
      <c r="A488">
        <f>ROW(Source!A161)</f>
        <v>161</v>
      </c>
      <c r="B488">
        <v>16784196</v>
      </c>
      <c r="C488">
        <v>16784745</v>
      </c>
      <c r="D488">
        <v>15430395</v>
      </c>
      <c r="E488">
        <v>1</v>
      </c>
      <c r="F488">
        <v>1</v>
      </c>
      <c r="G488">
        <v>1</v>
      </c>
      <c r="H488">
        <v>1</v>
      </c>
      <c r="I488" t="s">
        <v>496</v>
      </c>
      <c r="J488" t="s">
        <v>6</v>
      </c>
      <c r="K488" t="s">
        <v>497</v>
      </c>
      <c r="L488">
        <v>1191</v>
      </c>
      <c r="N488">
        <v>1013</v>
      </c>
      <c r="O488" t="s">
        <v>495</v>
      </c>
      <c r="P488" t="s">
        <v>495</v>
      </c>
      <c r="Q488">
        <v>1</v>
      </c>
      <c r="W488">
        <v>0</v>
      </c>
      <c r="X488">
        <v>-1417349443</v>
      </c>
      <c r="Y488">
        <v>0.1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6.11</v>
      </c>
      <c r="AL488">
        <v>1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6</v>
      </c>
      <c r="AT488">
        <v>0.1</v>
      </c>
      <c r="AU488" t="s">
        <v>6</v>
      </c>
      <c r="AV488">
        <v>2</v>
      </c>
      <c r="AW488">
        <v>2</v>
      </c>
      <c r="AX488">
        <v>16784753</v>
      </c>
      <c r="AY488">
        <v>1</v>
      </c>
      <c r="AZ488">
        <v>2048</v>
      </c>
      <c r="BA488">
        <v>513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Y488*Source!I161</f>
        <v>7.000000000000001E-3</v>
      </c>
      <c r="CY488">
        <f>AD488</f>
        <v>0</v>
      </c>
      <c r="CZ488">
        <f>AH488</f>
        <v>0</v>
      </c>
      <c r="DA488">
        <f>AL488</f>
        <v>1</v>
      </c>
      <c r="DB488">
        <f>ROUND(ROUND(AT488*CZ488,2),2)</f>
        <v>0</v>
      </c>
      <c r="DC488">
        <f>ROUND(ROUND(AT488*AG488,2),2)</f>
        <v>0</v>
      </c>
    </row>
    <row r="489" spans="1:107" x14ac:dyDescent="0.2">
      <c r="A489">
        <f>ROW(Source!A161)</f>
        <v>161</v>
      </c>
      <c r="B489">
        <v>16784196</v>
      </c>
      <c r="C489">
        <v>16784745</v>
      </c>
      <c r="D489">
        <v>15247974</v>
      </c>
      <c r="E489">
        <v>1</v>
      </c>
      <c r="F489">
        <v>1</v>
      </c>
      <c r="G489">
        <v>1</v>
      </c>
      <c r="H489">
        <v>2</v>
      </c>
      <c r="I489" t="s">
        <v>498</v>
      </c>
      <c r="J489" t="s">
        <v>499</v>
      </c>
      <c r="K489" t="s">
        <v>500</v>
      </c>
      <c r="L489">
        <v>1368</v>
      </c>
      <c r="N489">
        <v>1011</v>
      </c>
      <c r="O489" t="s">
        <v>501</v>
      </c>
      <c r="P489" t="s">
        <v>501</v>
      </c>
      <c r="Q489">
        <v>1</v>
      </c>
      <c r="W489">
        <v>0</v>
      </c>
      <c r="X489">
        <v>1188625873</v>
      </c>
      <c r="Y489">
        <v>0.11499999999999999</v>
      </c>
      <c r="AA489">
        <v>0</v>
      </c>
      <c r="AB489">
        <v>191</v>
      </c>
      <c r="AC489">
        <v>13.5</v>
      </c>
      <c r="AD489">
        <v>0</v>
      </c>
      <c r="AE489">
        <v>0</v>
      </c>
      <c r="AF489">
        <v>31.26</v>
      </c>
      <c r="AG489">
        <v>13.5</v>
      </c>
      <c r="AH489">
        <v>0</v>
      </c>
      <c r="AI489">
        <v>1</v>
      </c>
      <c r="AJ489">
        <v>6.11</v>
      </c>
      <c r="AK489">
        <v>1</v>
      </c>
      <c r="AL489">
        <v>1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6</v>
      </c>
      <c r="AT489">
        <v>0.1</v>
      </c>
      <c r="AU489" t="s">
        <v>28</v>
      </c>
      <c r="AV489">
        <v>0</v>
      </c>
      <c r="AW489">
        <v>2</v>
      </c>
      <c r="AX489">
        <v>16784754</v>
      </c>
      <c r="AY489">
        <v>1</v>
      </c>
      <c r="AZ489">
        <v>0</v>
      </c>
      <c r="BA489">
        <v>514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Y489*Source!I161</f>
        <v>8.0499999999999999E-3</v>
      </c>
      <c r="CY489">
        <f>AB489</f>
        <v>191</v>
      </c>
      <c r="CZ489">
        <f>AF489</f>
        <v>31.26</v>
      </c>
      <c r="DA489">
        <f>AJ489</f>
        <v>6.11</v>
      </c>
      <c r="DB489">
        <f>ROUND((ROUND(AT489*CZ489,2)*1.15),2)</f>
        <v>3.6</v>
      </c>
      <c r="DC489">
        <f>ROUND((ROUND(AT489*AG489,2)*1.15),2)</f>
        <v>1.55</v>
      </c>
    </row>
    <row r="490" spans="1:107" x14ac:dyDescent="0.2">
      <c r="A490">
        <f>ROW(Source!A161)</f>
        <v>161</v>
      </c>
      <c r="B490">
        <v>16784196</v>
      </c>
      <c r="C490">
        <v>16784745</v>
      </c>
      <c r="D490">
        <v>15249308</v>
      </c>
      <c r="E490">
        <v>1</v>
      </c>
      <c r="F490">
        <v>1</v>
      </c>
      <c r="G490">
        <v>1</v>
      </c>
      <c r="H490">
        <v>2</v>
      </c>
      <c r="I490" t="s">
        <v>543</v>
      </c>
      <c r="J490" t="s">
        <v>544</v>
      </c>
      <c r="K490" t="s">
        <v>545</v>
      </c>
      <c r="L490">
        <v>1368</v>
      </c>
      <c r="N490">
        <v>1011</v>
      </c>
      <c r="O490" t="s">
        <v>501</v>
      </c>
      <c r="P490" t="s">
        <v>501</v>
      </c>
      <c r="Q490">
        <v>1</v>
      </c>
      <c r="W490">
        <v>0</v>
      </c>
      <c r="X490">
        <v>792402865</v>
      </c>
      <c r="Y490">
        <v>3.7949999999999995</v>
      </c>
      <c r="AA490">
        <v>0</v>
      </c>
      <c r="AB490">
        <v>7.33</v>
      </c>
      <c r="AC490">
        <v>0</v>
      </c>
      <c r="AD490">
        <v>0</v>
      </c>
      <c r="AE490">
        <v>0</v>
      </c>
      <c r="AF490">
        <v>1.2</v>
      </c>
      <c r="AG490">
        <v>0</v>
      </c>
      <c r="AH490">
        <v>0</v>
      </c>
      <c r="AI490">
        <v>1</v>
      </c>
      <c r="AJ490">
        <v>6.11</v>
      </c>
      <c r="AK490">
        <v>1</v>
      </c>
      <c r="AL490">
        <v>1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6</v>
      </c>
      <c r="AT490">
        <v>3.3</v>
      </c>
      <c r="AU490" t="s">
        <v>28</v>
      </c>
      <c r="AV490">
        <v>0</v>
      </c>
      <c r="AW490">
        <v>2</v>
      </c>
      <c r="AX490">
        <v>16784755</v>
      </c>
      <c r="AY490">
        <v>1</v>
      </c>
      <c r="AZ490">
        <v>0</v>
      </c>
      <c r="BA490">
        <v>515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Y490*Source!I161</f>
        <v>0.26565</v>
      </c>
      <c r="CY490">
        <f>AB490</f>
        <v>7.33</v>
      </c>
      <c r="CZ490">
        <f>AF490</f>
        <v>1.2</v>
      </c>
      <c r="DA490">
        <f>AJ490</f>
        <v>6.11</v>
      </c>
      <c r="DB490">
        <f>ROUND((ROUND(AT490*CZ490,2)*1.15),2)</f>
        <v>4.55</v>
      </c>
      <c r="DC490">
        <f>ROUND((ROUND(AT490*AG490,2)*1.15),2)</f>
        <v>0</v>
      </c>
    </row>
    <row r="491" spans="1:107" x14ac:dyDescent="0.2">
      <c r="A491">
        <f>ROW(Source!A161)</f>
        <v>161</v>
      </c>
      <c r="B491">
        <v>16784196</v>
      </c>
      <c r="C491">
        <v>16784745</v>
      </c>
      <c r="D491">
        <v>15165634</v>
      </c>
      <c r="E491">
        <v>1</v>
      </c>
      <c r="F491">
        <v>1</v>
      </c>
      <c r="G491">
        <v>1</v>
      </c>
      <c r="H491">
        <v>3</v>
      </c>
      <c r="I491" t="s">
        <v>750</v>
      </c>
      <c r="J491" t="s">
        <v>751</v>
      </c>
      <c r="K491" t="s">
        <v>752</v>
      </c>
      <c r="L491">
        <v>1339</v>
      </c>
      <c r="N491">
        <v>1007</v>
      </c>
      <c r="O491" t="s">
        <v>128</v>
      </c>
      <c r="P491" t="s">
        <v>128</v>
      </c>
      <c r="Q491">
        <v>1</v>
      </c>
      <c r="W491">
        <v>0</v>
      </c>
      <c r="X491">
        <v>1706747518</v>
      </c>
      <c r="Y491">
        <v>0.43</v>
      </c>
      <c r="AA491">
        <v>235.3</v>
      </c>
      <c r="AB491">
        <v>0</v>
      </c>
      <c r="AC491">
        <v>0</v>
      </c>
      <c r="AD491">
        <v>0</v>
      </c>
      <c r="AE491">
        <v>38.51</v>
      </c>
      <c r="AF491">
        <v>0</v>
      </c>
      <c r="AG491">
        <v>0</v>
      </c>
      <c r="AH491">
        <v>0</v>
      </c>
      <c r="AI491">
        <v>6.11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6</v>
      </c>
      <c r="AT491">
        <v>0.43</v>
      </c>
      <c r="AU491" t="s">
        <v>6</v>
      </c>
      <c r="AV491">
        <v>0</v>
      </c>
      <c r="AW491">
        <v>2</v>
      </c>
      <c r="AX491">
        <v>16784756</v>
      </c>
      <c r="AY491">
        <v>1</v>
      </c>
      <c r="AZ491">
        <v>0</v>
      </c>
      <c r="BA491">
        <v>516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Y491*Source!I161</f>
        <v>3.0100000000000002E-2</v>
      </c>
      <c r="CY491">
        <f>AA491</f>
        <v>235.3</v>
      </c>
      <c r="CZ491">
        <f>AE491</f>
        <v>38.51</v>
      </c>
      <c r="DA491">
        <f>AI491</f>
        <v>6.11</v>
      </c>
      <c r="DB491">
        <f>ROUND(ROUND(AT491*CZ491,2),2)</f>
        <v>16.559999999999999</v>
      </c>
      <c r="DC491">
        <f>ROUND(ROUND(AT491*AG491,2),2)</f>
        <v>0</v>
      </c>
    </row>
    <row r="492" spans="1:107" x14ac:dyDescent="0.2">
      <c r="A492">
        <f>ROW(Source!A161)</f>
        <v>161</v>
      </c>
      <c r="B492">
        <v>16784196</v>
      </c>
      <c r="C492">
        <v>16784745</v>
      </c>
      <c r="D492">
        <v>15165653</v>
      </c>
      <c r="E492">
        <v>1</v>
      </c>
      <c r="F492">
        <v>1</v>
      </c>
      <c r="G492">
        <v>1</v>
      </c>
      <c r="H492">
        <v>3</v>
      </c>
      <c r="I492" t="s">
        <v>549</v>
      </c>
      <c r="J492" t="s">
        <v>550</v>
      </c>
      <c r="K492" t="s">
        <v>551</v>
      </c>
      <c r="L492">
        <v>1339</v>
      </c>
      <c r="N492">
        <v>1007</v>
      </c>
      <c r="O492" t="s">
        <v>128</v>
      </c>
      <c r="P492" t="s">
        <v>128</v>
      </c>
      <c r="Q492">
        <v>1</v>
      </c>
      <c r="W492">
        <v>0</v>
      </c>
      <c r="X492">
        <v>1262771840</v>
      </c>
      <c r="Y492">
        <v>2.74</v>
      </c>
      <c r="AA492">
        <v>38</v>
      </c>
      <c r="AB492">
        <v>0</v>
      </c>
      <c r="AC492">
        <v>0</v>
      </c>
      <c r="AD492">
        <v>0</v>
      </c>
      <c r="AE492">
        <v>6.22</v>
      </c>
      <c r="AF492">
        <v>0</v>
      </c>
      <c r="AG492">
        <v>0</v>
      </c>
      <c r="AH492">
        <v>0</v>
      </c>
      <c r="AI492">
        <v>6.11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1</v>
      </c>
      <c r="AQ492">
        <v>0</v>
      </c>
      <c r="AR492">
        <v>0</v>
      </c>
      <c r="AS492" t="s">
        <v>6</v>
      </c>
      <c r="AT492">
        <v>2.74</v>
      </c>
      <c r="AU492" t="s">
        <v>6</v>
      </c>
      <c r="AV492">
        <v>0</v>
      </c>
      <c r="AW492">
        <v>2</v>
      </c>
      <c r="AX492">
        <v>16784757</v>
      </c>
      <c r="AY492">
        <v>1</v>
      </c>
      <c r="AZ492">
        <v>0</v>
      </c>
      <c r="BA492">
        <v>517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Y492*Source!I161</f>
        <v>0.19180000000000003</v>
      </c>
      <c r="CY492">
        <f>AA492</f>
        <v>38</v>
      </c>
      <c r="CZ492">
        <f>AE492</f>
        <v>6.22</v>
      </c>
      <c r="DA492">
        <f>AI492</f>
        <v>6.11</v>
      </c>
      <c r="DB492">
        <f>ROUND(ROUND(AT492*CZ492,2),2)</f>
        <v>17.04</v>
      </c>
      <c r="DC492">
        <f>ROUND(ROUND(AT492*AG492,2),2)</f>
        <v>0</v>
      </c>
    </row>
    <row r="493" spans="1:107" x14ac:dyDescent="0.2">
      <c r="A493">
        <f>ROW(Source!A162)</f>
        <v>162</v>
      </c>
      <c r="B493">
        <v>16784195</v>
      </c>
      <c r="C493">
        <v>16784759</v>
      </c>
      <c r="D493">
        <v>15435721</v>
      </c>
      <c r="E493">
        <v>1</v>
      </c>
      <c r="F493">
        <v>1</v>
      </c>
      <c r="G493">
        <v>1</v>
      </c>
      <c r="H493">
        <v>1</v>
      </c>
      <c r="I493" t="s">
        <v>722</v>
      </c>
      <c r="J493" t="s">
        <v>6</v>
      </c>
      <c r="K493" t="s">
        <v>723</v>
      </c>
      <c r="L493">
        <v>1191</v>
      </c>
      <c r="N493">
        <v>1013</v>
      </c>
      <c r="O493" t="s">
        <v>495</v>
      </c>
      <c r="P493" t="s">
        <v>495</v>
      </c>
      <c r="Q493">
        <v>1</v>
      </c>
      <c r="W493">
        <v>0</v>
      </c>
      <c r="X493">
        <v>1983201532</v>
      </c>
      <c r="Y493">
        <v>111.49249999999999</v>
      </c>
      <c r="AA493">
        <v>0</v>
      </c>
      <c r="AB493">
        <v>0</v>
      </c>
      <c r="AC493">
        <v>0</v>
      </c>
      <c r="AD493">
        <v>9.51</v>
      </c>
      <c r="AE493">
        <v>0</v>
      </c>
      <c r="AF493">
        <v>0</v>
      </c>
      <c r="AG493">
        <v>0</v>
      </c>
      <c r="AH493">
        <v>9.51</v>
      </c>
      <c r="AI493">
        <v>1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6</v>
      </c>
      <c r="AT493">
        <v>96.95</v>
      </c>
      <c r="AU493" t="s">
        <v>28</v>
      </c>
      <c r="AV493">
        <v>1</v>
      </c>
      <c r="AW493">
        <v>2</v>
      </c>
      <c r="AX493">
        <v>16784772</v>
      </c>
      <c r="AY493">
        <v>1</v>
      </c>
      <c r="AZ493">
        <v>0</v>
      </c>
      <c r="BA493">
        <v>519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Y493*Source!I162</f>
        <v>22.298500000000001</v>
      </c>
      <c r="CY493">
        <f>AD493</f>
        <v>9.51</v>
      </c>
      <c r="CZ493">
        <f>AH493</f>
        <v>9.51</v>
      </c>
      <c r="DA493">
        <f>AL493</f>
        <v>1</v>
      </c>
      <c r="DB493">
        <f>ROUND((ROUND(AT493*CZ493,2)*1.15),2)</f>
        <v>1060.29</v>
      </c>
      <c r="DC493">
        <f>ROUND((ROUND(AT493*AG493,2)*1.15),2)</f>
        <v>0</v>
      </c>
    </row>
    <row r="494" spans="1:107" x14ac:dyDescent="0.2">
      <c r="A494">
        <f>ROW(Source!A162)</f>
        <v>162</v>
      </c>
      <c r="B494">
        <v>16784195</v>
      </c>
      <c r="C494">
        <v>16784759</v>
      </c>
      <c r="D494">
        <v>15430395</v>
      </c>
      <c r="E494">
        <v>1</v>
      </c>
      <c r="F494">
        <v>1</v>
      </c>
      <c r="G494">
        <v>1</v>
      </c>
      <c r="H494">
        <v>1</v>
      </c>
      <c r="I494" t="s">
        <v>496</v>
      </c>
      <c r="J494" t="s">
        <v>6</v>
      </c>
      <c r="K494" t="s">
        <v>497</v>
      </c>
      <c r="L494">
        <v>1191</v>
      </c>
      <c r="N494">
        <v>1013</v>
      </c>
      <c r="O494" t="s">
        <v>495</v>
      </c>
      <c r="P494" t="s">
        <v>495</v>
      </c>
      <c r="Q494">
        <v>1</v>
      </c>
      <c r="W494">
        <v>0</v>
      </c>
      <c r="X494">
        <v>-1417349443</v>
      </c>
      <c r="Y494">
        <v>0.01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1</v>
      </c>
      <c r="AL494">
        <v>1</v>
      </c>
      <c r="AN494">
        <v>0</v>
      </c>
      <c r="AO494">
        <v>1</v>
      </c>
      <c r="AP494">
        <v>0</v>
      </c>
      <c r="AQ494">
        <v>0</v>
      </c>
      <c r="AR494">
        <v>0</v>
      </c>
      <c r="AS494" t="s">
        <v>6</v>
      </c>
      <c r="AT494">
        <v>0.01</v>
      </c>
      <c r="AU494" t="s">
        <v>6</v>
      </c>
      <c r="AV494">
        <v>2</v>
      </c>
      <c r="AW494">
        <v>2</v>
      </c>
      <c r="AX494">
        <v>16784773</v>
      </c>
      <c r="AY494">
        <v>1</v>
      </c>
      <c r="AZ494">
        <v>2048</v>
      </c>
      <c r="BA494">
        <v>520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Y494*Source!I162</f>
        <v>2E-3</v>
      </c>
      <c r="CY494">
        <f>AD494</f>
        <v>0</v>
      </c>
      <c r="CZ494">
        <f>AH494</f>
        <v>0</v>
      </c>
      <c r="DA494">
        <f>AL494</f>
        <v>1</v>
      </c>
      <c r="DB494">
        <f>ROUND(ROUND(AT494*CZ494,2),2)</f>
        <v>0</v>
      </c>
      <c r="DC494">
        <f>ROUND(ROUND(AT494*AG494,2),2)</f>
        <v>0</v>
      </c>
    </row>
    <row r="495" spans="1:107" x14ac:dyDescent="0.2">
      <c r="A495">
        <f>ROW(Source!A162)</f>
        <v>162</v>
      </c>
      <c r="B495">
        <v>16784195</v>
      </c>
      <c r="C495">
        <v>16784759</v>
      </c>
      <c r="D495">
        <v>15247576</v>
      </c>
      <c r="E495">
        <v>1</v>
      </c>
      <c r="F495">
        <v>1</v>
      </c>
      <c r="G495">
        <v>1</v>
      </c>
      <c r="H495">
        <v>2</v>
      </c>
      <c r="I495" t="s">
        <v>606</v>
      </c>
      <c r="J495" t="s">
        <v>607</v>
      </c>
      <c r="K495" t="s">
        <v>608</v>
      </c>
      <c r="L495">
        <v>1368</v>
      </c>
      <c r="N495">
        <v>1011</v>
      </c>
      <c r="O495" t="s">
        <v>501</v>
      </c>
      <c r="P495" t="s">
        <v>501</v>
      </c>
      <c r="Q495">
        <v>1</v>
      </c>
      <c r="W495">
        <v>0</v>
      </c>
      <c r="X495">
        <v>257150282</v>
      </c>
      <c r="Y495">
        <v>3.7499999999999999E-3</v>
      </c>
      <c r="AA495">
        <v>0</v>
      </c>
      <c r="AB495">
        <v>83.43</v>
      </c>
      <c r="AC495">
        <v>13.5</v>
      </c>
      <c r="AD495">
        <v>0</v>
      </c>
      <c r="AE495">
        <v>0</v>
      </c>
      <c r="AF495">
        <v>83.43</v>
      </c>
      <c r="AG495">
        <v>13.5</v>
      </c>
      <c r="AH495">
        <v>0</v>
      </c>
      <c r="AI495">
        <v>1</v>
      </c>
      <c r="AJ495">
        <v>1</v>
      </c>
      <c r="AK495">
        <v>1</v>
      </c>
      <c r="AL495">
        <v>1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6</v>
      </c>
      <c r="AT495">
        <v>3.0000000000000001E-3</v>
      </c>
      <c r="AU495" t="s">
        <v>27</v>
      </c>
      <c r="AV495">
        <v>0</v>
      </c>
      <c r="AW495">
        <v>2</v>
      </c>
      <c r="AX495">
        <v>16784774</v>
      </c>
      <c r="AY495">
        <v>1</v>
      </c>
      <c r="AZ495">
        <v>0</v>
      </c>
      <c r="BA495">
        <v>521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Y495*Source!I162</f>
        <v>7.5000000000000002E-4</v>
      </c>
      <c r="CY495">
        <f>AB495</f>
        <v>83.43</v>
      </c>
      <c r="CZ495">
        <f>AF495</f>
        <v>83.43</v>
      </c>
      <c r="DA495">
        <f>AJ495</f>
        <v>1</v>
      </c>
      <c r="DB495">
        <f>ROUND((ROUND(AT495*CZ495,2)*1.25),2)</f>
        <v>0.31</v>
      </c>
      <c r="DC495">
        <f>ROUND((ROUND(AT495*AG495,2)*1.25),2)</f>
        <v>0.05</v>
      </c>
    </row>
    <row r="496" spans="1:107" x14ac:dyDescent="0.2">
      <c r="A496">
        <f>ROW(Source!A162)</f>
        <v>162</v>
      </c>
      <c r="B496">
        <v>16784195</v>
      </c>
      <c r="C496">
        <v>16784759</v>
      </c>
      <c r="D496">
        <v>15247678</v>
      </c>
      <c r="E496">
        <v>1</v>
      </c>
      <c r="F496">
        <v>1</v>
      </c>
      <c r="G496">
        <v>1</v>
      </c>
      <c r="H496">
        <v>2</v>
      </c>
      <c r="I496" t="s">
        <v>609</v>
      </c>
      <c r="J496" t="s">
        <v>610</v>
      </c>
      <c r="K496" t="s">
        <v>611</v>
      </c>
      <c r="L496">
        <v>1368</v>
      </c>
      <c r="N496">
        <v>1011</v>
      </c>
      <c r="O496" t="s">
        <v>501</v>
      </c>
      <c r="P496" t="s">
        <v>501</v>
      </c>
      <c r="Q496">
        <v>1</v>
      </c>
      <c r="W496">
        <v>0</v>
      </c>
      <c r="X496">
        <v>1330025190</v>
      </c>
      <c r="Y496">
        <v>5.0000000000000001E-3</v>
      </c>
      <c r="AA496">
        <v>0</v>
      </c>
      <c r="AB496">
        <v>88.01</v>
      </c>
      <c r="AC496">
        <v>11.6</v>
      </c>
      <c r="AD496">
        <v>0</v>
      </c>
      <c r="AE496">
        <v>0</v>
      </c>
      <c r="AF496">
        <v>88.01</v>
      </c>
      <c r="AG496">
        <v>11.6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1</v>
      </c>
      <c r="AQ496">
        <v>0</v>
      </c>
      <c r="AR496">
        <v>0</v>
      </c>
      <c r="AS496" t="s">
        <v>6</v>
      </c>
      <c r="AT496">
        <v>4.0000000000000001E-3</v>
      </c>
      <c r="AU496" t="s">
        <v>27</v>
      </c>
      <c r="AV496">
        <v>0</v>
      </c>
      <c r="AW496">
        <v>2</v>
      </c>
      <c r="AX496">
        <v>16784775</v>
      </c>
      <c r="AY496">
        <v>1</v>
      </c>
      <c r="AZ496">
        <v>0</v>
      </c>
      <c r="BA496">
        <v>522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Y496*Source!I162</f>
        <v>1E-3</v>
      </c>
      <c r="CY496">
        <f>AB496</f>
        <v>88.01</v>
      </c>
      <c r="CZ496">
        <f>AF496</f>
        <v>88.01</v>
      </c>
      <c r="DA496">
        <f>AJ496</f>
        <v>1</v>
      </c>
      <c r="DB496">
        <f>ROUND((ROUND(AT496*CZ496,2)*1.25),2)</f>
        <v>0.44</v>
      </c>
      <c r="DC496">
        <f>ROUND((ROUND(AT496*AG496,2)*1.25),2)</f>
        <v>0.06</v>
      </c>
    </row>
    <row r="497" spans="1:107" x14ac:dyDescent="0.2">
      <c r="A497">
        <f>ROW(Source!A162)</f>
        <v>162</v>
      </c>
      <c r="B497">
        <v>16784195</v>
      </c>
      <c r="C497">
        <v>16784759</v>
      </c>
      <c r="D497">
        <v>15248793</v>
      </c>
      <c r="E497">
        <v>1</v>
      </c>
      <c r="F497">
        <v>1</v>
      </c>
      <c r="G497">
        <v>1</v>
      </c>
      <c r="H497">
        <v>2</v>
      </c>
      <c r="I497" t="s">
        <v>753</v>
      </c>
      <c r="J497" t="s">
        <v>754</v>
      </c>
      <c r="K497" t="s">
        <v>755</v>
      </c>
      <c r="L497">
        <v>1368</v>
      </c>
      <c r="N497">
        <v>1011</v>
      </c>
      <c r="O497" t="s">
        <v>501</v>
      </c>
      <c r="P497" t="s">
        <v>501</v>
      </c>
      <c r="Q497">
        <v>1</v>
      </c>
      <c r="W497">
        <v>0</v>
      </c>
      <c r="X497">
        <v>-1347092713</v>
      </c>
      <c r="Y497">
        <v>1.5874999999999999</v>
      </c>
      <c r="AA497">
        <v>0</v>
      </c>
      <c r="AB497">
        <v>29.67</v>
      </c>
      <c r="AC497">
        <v>0</v>
      </c>
      <c r="AD497">
        <v>0</v>
      </c>
      <c r="AE497">
        <v>0</v>
      </c>
      <c r="AF497">
        <v>29.67</v>
      </c>
      <c r="AG497">
        <v>0</v>
      </c>
      <c r="AH497">
        <v>0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6</v>
      </c>
      <c r="AT497">
        <v>1.27</v>
      </c>
      <c r="AU497" t="s">
        <v>27</v>
      </c>
      <c r="AV497">
        <v>0</v>
      </c>
      <c r="AW497">
        <v>2</v>
      </c>
      <c r="AX497">
        <v>16784776</v>
      </c>
      <c r="AY497">
        <v>1</v>
      </c>
      <c r="AZ497">
        <v>0</v>
      </c>
      <c r="BA497">
        <v>523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Y497*Source!I162</f>
        <v>0.3175</v>
      </c>
      <c r="CY497">
        <f>AB497</f>
        <v>29.67</v>
      </c>
      <c r="CZ497">
        <f>AF497</f>
        <v>29.67</v>
      </c>
      <c r="DA497">
        <f>AJ497</f>
        <v>1</v>
      </c>
      <c r="DB497">
        <f>ROUND((ROUND(AT497*CZ497,2)*1.25),2)</f>
        <v>47.1</v>
      </c>
      <c r="DC497">
        <f>ROUND((ROUND(AT497*AG497,2)*1.25),2)</f>
        <v>0</v>
      </c>
    </row>
    <row r="498" spans="1:107" x14ac:dyDescent="0.2">
      <c r="A498">
        <f>ROW(Source!A162)</f>
        <v>162</v>
      </c>
      <c r="B498">
        <v>16784195</v>
      </c>
      <c r="C498">
        <v>16784759</v>
      </c>
      <c r="D498">
        <v>15249310</v>
      </c>
      <c r="E498">
        <v>1</v>
      </c>
      <c r="F498">
        <v>1</v>
      </c>
      <c r="G498">
        <v>1</v>
      </c>
      <c r="H498">
        <v>2</v>
      </c>
      <c r="I498" t="s">
        <v>756</v>
      </c>
      <c r="J498" t="s">
        <v>757</v>
      </c>
      <c r="K498" t="s">
        <v>758</v>
      </c>
      <c r="L498">
        <v>1368</v>
      </c>
      <c r="N498">
        <v>1011</v>
      </c>
      <c r="O498" t="s">
        <v>501</v>
      </c>
      <c r="P498" t="s">
        <v>501</v>
      </c>
      <c r="Q498">
        <v>1</v>
      </c>
      <c r="W498">
        <v>0</v>
      </c>
      <c r="X498">
        <v>1489131384</v>
      </c>
      <c r="Y498">
        <v>20.474999999999998</v>
      </c>
      <c r="AA498">
        <v>0</v>
      </c>
      <c r="AB498">
        <v>26.25</v>
      </c>
      <c r="AC498">
        <v>0</v>
      </c>
      <c r="AD498">
        <v>0</v>
      </c>
      <c r="AE498">
        <v>0</v>
      </c>
      <c r="AF498">
        <v>26.25</v>
      </c>
      <c r="AG498">
        <v>0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6</v>
      </c>
      <c r="AT498">
        <v>16.38</v>
      </c>
      <c r="AU498" t="s">
        <v>27</v>
      </c>
      <c r="AV498">
        <v>0</v>
      </c>
      <c r="AW498">
        <v>2</v>
      </c>
      <c r="AX498">
        <v>16784777</v>
      </c>
      <c r="AY498">
        <v>1</v>
      </c>
      <c r="AZ498">
        <v>0</v>
      </c>
      <c r="BA498">
        <v>524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Y498*Source!I162</f>
        <v>4.0949999999999998</v>
      </c>
      <c r="CY498">
        <f>AB498</f>
        <v>26.25</v>
      </c>
      <c r="CZ498">
        <f>AF498</f>
        <v>26.25</v>
      </c>
      <c r="DA498">
        <f>AJ498</f>
        <v>1</v>
      </c>
      <c r="DB498">
        <f>ROUND((ROUND(AT498*CZ498,2)*1.25),2)</f>
        <v>537.48</v>
      </c>
      <c r="DC498">
        <f>ROUND((ROUND(AT498*AG498,2)*1.25),2)</f>
        <v>0</v>
      </c>
    </row>
    <row r="499" spans="1:107" x14ac:dyDescent="0.2">
      <c r="A499">
        <f>ROW(Source!A162)</f>
        <v>162</v>
      </c>
      <c r="B499">
        <v>16784195</v>
      </c>
      <c r="C499">
        <v>16784759</v>
      </c>
      <c r="D499">
        <v>15167286</v>
      </c>
      <c r="E499">
        <v>1</v>
      </c>
      <c r="F499">
        <v>1</v>
      </c>
      <c r="G499">
        <v>1</v>
      </c>
      <c r="H499">
        <v>3</v>
      </c>
      <c r="I499" t="s">
        <v>597</v>
      </c>
      <c r="J499" t="s">
        <v>598</v>
      </c>
      <c r="K499" t="s">
        <v>599</v>
      </c>
      <c r="L499">
        <v>1339</v>
      </c>
      <c r="N499">
        <v>1007</v>
      </c>
      <c r="O499" t="s">
        <v>128</v>
      </c>
      <c r="P499" t="s">
        <v>128</v>
      </c>
      <c r="Q499">
        <v>1</v>
      </c>
      <c r="W499">
        <v>0</v>
      </c>
      <c r="X499">
        <v>-1660354250</v>
      </c>
      <c r="Y499">
        <v>0.14399999999999999</v>
      </c>
      <c r="AA499">
        <v>2.44</v>
      </c>
      <c r="AB499">
        <v>0</v>
      </c>
      <c r="AC499">
        <v>0</v>
      </c>
      <c r="AD499">
        <v>0</v>
      </c>
      <c r="AE499">
        <v>2.44</v>
      </c>
      <c r="AF499">
        <v>0</v>
      </c>
      <c r="AG499">
        <v>0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6</v>
      </c>
      <c r="AT499">
        <v>0.14399999999999999</v>
      </c>
      <c r="AU499" t="s">
        <v>6</v>
      </c>
      <c r="AV499">
        <v>0</v>
      </c>
      <c r="AW499">
        <v>2</v>
      </c>
      <c r="AX499">
        <v>16784778</v>
      </c>
      <c r="AY499">
        <v>1</v>
      </c>
      <c r="AZ499">
        <v>0</v>
      </c>
      <c r="BA499">
        <v>525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Y499*Source!I162</f>
        <v>2.8799999999999999E-2</v>
      </c>
      <c r="CY499">
        <f t="shared" ref="CY499:CY504" si="98">AA499</f>
        <v>2.44</v>
      </c>
      <c r="CZ499">
        <f t="shared" ref="CZ499:CZ504" si="99">AE499</f>
        <v>2.44</v>
      </c>
      <c r="DA499">
        <f t="shared" ref="DA499:DA504" si="100">AI499</f>
        <v>1</v>
      </c>
      <c r="DB499">
        <f t="shared" ref="DB499:DB504" si="101">ROUND(ROUND(AT499*CZ499,2),2)</f>
        <v>0.35</v>
      </c>
      <c r="DC499">
        <f t="shared" ref="DC499:DC504" si="102">ROUND(ROUND(AT499*AG499,2),2)</f>
        <v>0</v>
      </c>
    </row>
    <row r="500" spans="1:107" x14ac:dyDescent="0.2">
      <c r="A500">
        <f>ROW(Source!A162)</f>
        <v>162</v>
      </c>
      <c r="B500">
        <v>16784195</v>
      </c>
      <c r="C500">
        <v>16784759</v>
      </c>
      <c r="D500">
        <v>15169957</v>
      </c>
      <c r="E500">
        <v>1</v>
      </c>
      <c r="F500">
        <v>1</v>
      </c>
      <c r="G500">
        <v>1</v>
      </c>
      <c r="H500">
        <v>3</v>
      </c>
      <c r="I500" t="s">
        <v>759</v>
      </c>
      <c r="J500" t="s">
        <v>760</v>
      </c>
      <c r="K500" t="s">
        <v>761</v>
      </c>
      <c r="L500">
        <v>1348</v>
      </c>
      <c r="N500">
        <v>1009</v>
      </c>
      <c r="O500" t="s">
        <v>65</v>
      </c>
      <c r="P500" t="s">
        <v>65</v>
      </c>
      <c r="Q500">
        <v>1000</v>
      </c>
      <c r="W500">
        <v>0</v>
      </c>
      <c r="X500">
        <v>-172112227</v>
      </c>
      <c r="Y500">
        <v>8.9999999999999998E-4</v>
      </c>
      <c r="AA500">
        <v>13186.74</v>
      </c>
      <c r="AB500">
        <v>0</v>
      </c>
      <c r="AC500">
        <v>0</v>
      </c>
      <c r="AD500">
        <v>0</v>
      </c>
      <c r="AE500">
        <v>13186.74</v>
      </c>
      <c r="AF500">
        <v>0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1</v>
      </c>
      <c r="AP500">
        <v>1</v>
      </c>
      <c r="AQ500">
        <v>0</v>
      </c>
      <c r="AR500">
        <v>0</v>
      </c>
      <c r="AS500" t="s">
        <v>6</v>
      </c>
      <c r="AT500">
        <v>8.9999999999999998E-4</v>
      </c>
      <c r="AU500" t="s">
        <v>6</v>
      </c>
      <c r="AV500">
        <v>0</v>
      </c>
      <c r="AW500">
        <v>2</v>
      </c>
      <c r="AX500">
        <v>16784779</v>
      </c>
      <c r="AY500">
        <v>1</v>
      </c>
      <c r="AZ500">
        <v>0</v>
      </c>
      <c r="BA500">
        <v>526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Y500*Source!I162</f>
        <v>1.8000000000000001E-4</v>
      </c>
      <c r="CY500">
        <f t="shared" si="98"/>
        <v>13186.74</v>
      </c>
      <c r="CZ500">
        <f t="shared" si="99"/>
        <v>13186.74</v>
      </c>
      <c r="DA500">
        <f t="shared" si="100"/>
        <v>1</v>
      </c>
      <c r="DB500">
        <f t="shared" si="101"/>
        <v>11.87</v>
      </c>
      <c r="DC500">
        <f t="shared" si="102"/>
        <v>0</v>
      </c>
    </row>
    <row r="501" spans="1:107" x14ac:dyDescent="0.2">
      <c r="A501">
        <f>ROW(Source!A162)</f>
        <v>162</v>
      </c>
      <c r="B501">
        <v>16784195</v>
      </c>
      <c r="C501">
        <v>16784759</v>
      </c>
      <c r="D501">
        <v>15170076</v>
      </c>
      <c r="E501">
        <v>1</v>
      </c>
      <c r="F501">
        <v>1</v>
      </c>
      <c r="G501">
        <v>1</v>
      </c>
      <c r="H501">
        <v>3</v>
      </c>
      <c r="I501" t="s">
        <v>762</v>
      </c>
      <c r="J501" t="s">
        <v>763</v>
      </c>
      <c r="K501" t="s">
        <v>764</v>
      </c>
      <c r="L501">
        <v>1356</v>
      </c>
      <c r="N501">
        <v>1010</v>
      </c>
      <c r="O501" t="s">
        <v>765</v>
      </c>
      <c r="P501" t="s">
        <v>765</v>
      </c>
      <c r="Q501">
        <v>1000</v>
      </c>
      <c r="W501">
        <v>0</v>
      </c>
      <c r="X501">
        <v>1975348994</v>
      </c>
      <c r="Y501">
        <v>0.14299999999999999</v>
      </c>
      <c r="AA501">
        <v>180</v>
      </c>
      <c r="AB501">
        <v>0</v>
      </c>
      <c r="AC501">
        <v>0</v>
      </c>
      <c r="AD501">
        <v>0</v>
      </c>
      <c r="AE501">
        <v>180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1</v>
      </c>
      <c r="AP501">
        <v>1</v>
      </c>
      <c r="AQ501">
        <v>0</v>
      </c>
      <c r="AR501">
        <v>0</v>
      </c>
      <c r="AS501" t="s">
        <v>6</v>
      </c>
      <c r="AT501">
        <v>0.14299999999999999</v>
      </c>
      <c r="AU501" t="s">
        <v>6</v>
      </c>
      <c r="AV501">
        <v>0</v>
      </c>
      <c r="AW501">
        <v>2</v>
      </c>
      <c r="AX501">
        <v>16784780</v>
      </c>
      <c r="AY501">
        <v>1</v>
      </c>
      <c r="AZ501">
        <v>0</v>
      </c>
      <c r="BA501">
        <v>527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Y501*Source!I162</f>
        <v>2.86E-2</v>
      </c>
      <c r="CY501">
        <f t="shared" si="98"/>
        <v>180</v>
      </c>
      <c r="CZ501">
        <f t="shared" si="99"/>
        <v>180</v>
      </c>
      <c r="DA501">
        <f t="shared" si="100"/>
        <v>1</v>
      </c>
      <c r="DB501">
        <f t="shared" si="101"/>
        <v>25.74</v>
      </c>
      <c r="DC501">
        <f t="shared" si="102"/>
        <v>0</v>
      </c>
    </row>
    <row r="502" spans="1:107" x14ac:dyDescent="0.2">
      <c r="A502">
        <f>ROW(Source!A162)</f>
        <v>162</v>
      </c>
      <c r="B502">
        <v>16784195</v>
      </c>
      <c r="C502">
        <v>16784759</v>
      </c>
      <c r="D502">
        <v>15172018</v>
      </c>
      <c r="E502">
        <v>1</v>
      </c>
      <c r="F502">
        <v>1</v>
      </c>
      <c r="G502">
        <v>1</v>
      </c>
      <c r="H502">
        <v>3</v>
      </c>
      <c r="I502" t="s">
        <v>766</v>
      </c>
      <c r="J502" t="s">
        <v>767</v>
      </c>
      <c r="K502" t="s">
        <v>768</v>
      </c>
      <c r="L502">
        <v>1346</v>
      </c>
      <c r="N502">
        <v>1009</v>
      </c>
      <c r="O502" t="s">
        <v>60</v>
      </c>
      <c r="P502" t="s">
        <v>60</v>
      </c>
      <c r="Q502">
        <v>1</v>
      </c>
      <c r="W502">
        <v>0</v>
      </c>
      <c r="X502">
        <v>450790165</v>
      </c>
      <c r="Y502">
        <v>1.6000000000000001E-3</v>
      </c>
      <c r="AA502">
        <v>2.15</v>
      </c>
      <c r="AB502">
        <v>0</v>
      </c>
      <c r="AC502">
        <v>0</v>
      </c>
      <c r="AD502">
        <v>0</v>
      </c>
      <c r="AE502">
        <v>2.15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1</v>
      </c>
      <c r="AQ502">
        <v>0</v>
      </c>
      <c r="AR502">
        <v>0</v>
      </c>
      <c r="AS502" t="s">
        <v>6</v>
      </c>
      <c r="AT502">
        <v>1.6000000000000001E-3</v>
      </c>
      <c r="AU502" t="s">
        <v>6</v>
      </c>
      <c r="AV502">
        <v>0</v>
      </c>
      <c r="AW502">
        <v>2</v>
      </c>
      <c r="AX502">
        <v>16784781</v>
      </c>
      <c r="AY502">
        <v>1</v>
      </c>
      <c r="AZ502">
        <v>0</v>
      </c>
      <c r="BA502">
        <v>528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Y502*Source!I162</f>
        <v>3.2000000000000003E-4</v>
      </c>
      <c r="CY502">
        <f t="shared" si="98"/>
        <v>2.15</v>
      </c>
      <c r="CZ502">
        <f t="shared" si="99"/>
        <v>2.15</v>
      </c>
      <c r="DA502">
        <f t="shared" si="100"/>
        <v>1</v>
      </c>
      <c r="DB502">
        <f t="shared" si="101"/>
        <v>0</v>
      </c>
      <c r="DC502">
        <f t="shared" si="102"/>
        <v>0</v>
      </c>
    </row>
    <row r="503" spans="1:107" x14ac:dyDescent="0.2">
      <c r="A503">
        <f>ROW(Source!A162)</f>
        <v>162</v>
      </c>
      <c r="B503">
        <v>16784195</v>
      </c>
      <c r="C503">
        <v>16784759</v>
      </c>
      <c r="D503">
        <v>15232882</v>
      </c>
      <c r="E503">
        <v>1</v>
      </c>
      <c r="F503">
        <v>1</v>
      </c>
      <c r="G503">
        <v>1</v>
      </c>
      <c r="H503">
        <v>3</v>
      </c>
      <c r="I503" t="s">
        <v>353</v>
      </c>
      <c r="J503" t="s">
        <v>355</v>
      </c>
      <c r="K503" t="s">
        <v>354</v>
      </c>
      <c r="L503">
        <v>1354</v>
      </c>
      <c r="N503">
        <v>1010</v>
      </c>
      <c r="O503" t="s">
        <v>277</v>
      </c>
      <c r="P503" t="s">
        <v>277</v>
      </c>
      <c r="Q503">
        <v>1</v>
      </c>
      <c r="W503">
        <v>0</v>
      </c>
      <c r="X503">
        <v>-697268462</v>
      </c>
      <c r="Y503">
        <v>140</v>
      </c>
      <c r="AA503">
        <v>8.09</v>
      </c>
      <c r="AB503">
        <v>0</v>
      </c>
      <c r="AC503">
        <v>0</v>
      </c>
      <c r="AD503">
        <v>0</v>
      </c>
      <c r="AE503">
        <v>8.09</v>
      </c>
      <c r="AF503">
        <v>0</v>
      </c>
      <c r="AG503">
        <v>0</v>
      </c>
      <c r="AH503">
        <v>0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0</v>
      </c>
      <c r="AP503">
        <v>0</v>
      </c>
      <c r="AQ503">
        <v>0</v>
      </c>
      <c r="AR503">
        <v>0</v>
      </c>
      <c r="AS503" t="s">
        <v>6</v>
      </c>
      <c r="AT503">
        <v>140</v>
      </c>
      <c r="AU503" t="s">
        <v>6</v>
      </c>
      <c r="AV503">
        <v>0</v>
      </c>
      <c r="AW503">
        <v>1</v>
      </c>
      <c r="AX503">
        <v>-1</v>
      </c>
      <c r="AY503">
        <v>0</v>
      </c>
      <c r="AZ503">
        <v>0</v>
      </c>
      <c r="BA503" t="s">
        <v>6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Y503*Source!I162</f>
        <v>28</v>
      </c>
      <c r="CY503">
        <f t="shared" si="98"/>
        <v>8.09</v>
      </c>
      <c r="CZ503">
        <f t="shared" si="99"/>
        <v>8.09</v>
      </c>
      <c r="DA503">
        <f t="shared" si="100"/>
        <v>1</v>
      </c>
      <c r="DB503">
        <f t="shared" si="101"/>
        <v>1132.5999999999999</v>
      </c>
      <c r="DC503">
        <f t="shared" si="102"/>
        <v>0</v>
      </c>
    </row>
    <row r="504" spans="1:107" x14ac:dyDescent="0.2">
      <c r="A504">
        <f>ROW(Source!A162)</f>
        <v>162</v>
      </c>
      <c r="B504">
        <v>16784195</v>
      </c>
      <c r="C504">
        <v>16784759</v>
      </c>
      <c r="D504">
        <v>15233484</v>
      </c>
      <c r="E504">
        <v>1</v>
      </c>
      <c r="F504">
        <v>1</v>
      </c>
      <c r="G504">
        <v>1</v>
      </c>
      <c r="H504">
        <v>3</v>
      </c>
      <c r="I504" t="s">
        <v>357</v>
      </c>
      <c r="J504" t="s">
        <v>359</v>
      </c>
      <c r="K504" t="s">
        <v>358</v>
      </c>
      <c r="L504">
        <v>1301</v>
      </c>
      <c r="N504">
        <v>1003</v>
      </c>
      <c r="O504" t="s">
        <v>45</v>
      </c>
      <c r="P504" t="s">
        <v>45</v>
      </c>
      <c r="Q504">
        <v>1</v>
      </c>
      <c r="W504">
        <v>0</v>
      </c>
      <c r="X504">
        <v>-2002545417</v>
      </c>
      <c r="Y504">
        <v>100.5</v>
      </c>
      <c r="AA504">
        <v>4.5999999999999996</v>
      </c>
      <c r="AB504">
        <v>0</v>
      </c>
      <c r="AC504">
        <v>0</v>
      </c>
      <c r="AD504">
        <v>0</v>
      </c>
      <c r="AE504">
        <v>4.5999999999999996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0</v>
      </c>
      <c r="AP504">
        <v>0</v>
      </c>
      <c r="AQ504">
        <v>0</v>
      </c>
      <c r="AR504">
        <v>0</v>
      </c>
      <c r="AS504" t="s">
        <v>6</v>
      </c>
      <c r="AT504">
        <v>100.5</v>
      </c>
      <c r="AU504" t="s">
        <v>6</v>
      </c>
      <c r="AV504">
        <v>0</v>
      </c>
      <c r="AW504">
        <v>1</v>
      </c>
      <c r="AX504">
        <v>-1</v>
      </c>
      <c r="AY504">
        <v>0</v>
      </c>
      <c r="AZ504">
        <v>0</v>
      </c>
      <c r="BA504" t="s">
        <v>6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Y504*Source!I162</f>
        <v>20.100000000000001</v>
      </c>
      <c r="CY504">
        <f t="shared" si="98"/>
        <v>4.5999999999999996</v>
      </c>
      <c r="CZ504">
        <f t="shared" si="99"/>
        <v>4.5999999999999996</v>
      </c>
      <c r="DA504">
        <f t="shared" si="100"/>
        <v>1</v>
      </c>
      <c r="DB504">
        <f t="shared" si="101"/>
        <v>462.3</v>
      </c>
      <c r="DC504">
        <f t="shared" si="102"/>
        <v>0</v>
      </c>
    </row>
    <row r="505" spans="1:107" x14ac:dyDescent="0.2">
      <c r="A505">
        <f>ROW(Source!A163)</f>
        <v>163</v>
      </c>
      <c r="B505">
        <v>16784196</v>
      </c>
      <c r="C505">
        <v>16784759</v>
      </c>
      <c r="D505">
        <v>15435721</v>
      </c>
      <c r="E505">
        <v>1</v>
      </c>
      <c r="F505">
        <v>1</v>
      </c>
      <c r="G505">
        <v>1</v>
      </c>
      <c r="H505">
        <v>1</v>
      </c>
      <c r="I505" t="s">
        <v>722</v>
      </c>
      <c r="J505" t="s">
        <v>6</v>
      </c>
      <c r="K505" t="s">
        <v>723</v>
      </c>
      <c r="L505">
        <v>1191</v>
      </c>
      <c r="N505">
        <v>1013</v>
      </c>
      <c r="O505" t="s">
        <v>495</v>
      </c>
      <c r="P505" t="s">
        <v>495</v>
      </c>
      <c r="Q505">
        <v>1</v>
      </c>
      <c r="W505">
        <v>0</v>
      </c>
      <c r="X505">
        <v>1983201532</v>
      </c>
      <c r="Y505">
        <v>111.49249999999999</v>
      </c>
      <c r="AA505">
        <v>0</v>
      </c>
      <c r="AB505">
        <v>0</v>
      </c>
      <c r="AC505">
        <v>0</v>
      </c>
      <c r="AD505">
        <v>58.11</v>
      </c>
      <c r="AE505">
        <v>0</v>
      </c>
      <c r="AF505">
        <v>0</v>
      </c>
      <c r="AG505">
        <v>0</v>
      </c>
      <c r="AH505">
        <v>9.51</v>
      </c>
      <c r="AI505">
        <v>1</v>
      </c>
      <c r="AJ505">
        <v>1</v>
      </c>
      <c r="AK505">
        <v>1</v>
      </c>
      <c r="AL505">
        <v>6.11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6</v>
      </c>
      <c r="AT505">
        <v>96.95</v>
      </c>
      <c r="AU505" t="s">
        <v>28</v>
      </c>
      <c r="AV505">
        <v>1</v>
      </c>
      <c r="AW505">
        <v>2</v>
      </c>
      <c r="AX505">
        <v>16784772</v>
      </c>
      <c r="AY505">
        <v>1</v>
      </c>
      <c r="AZ505">
        <v>0</v>
      </c>
      <c r="BA505">
        <v>533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Y505*Source!I163</f>
        <v>22.298500000000001</v>
      </c>
      <c r="CY505">
        <f>AD505</f>
        <v>58.11</v>
      </c>
      <c r="CZ505">
        <f>AH505</f>
        <v>9.51</v>
      </c>
      <c r="DA505">
        <f>AL505</f>
        <v>6.11</v>
      </c>
      <c r="DB505">
        <f>ROUND((ROUND(AT505*CZ505,2)*1.15),2)</f>
        <v>1060.29</v>
      </c>
      <c r="DC505">
        <f>ROUND((ROUND(AT505*AG505,2)*1.15),2)</f>
        <v>0</v>
      </c>
    </row>
    <row r="506" spans="1:107" x14ac:dyDescent="0.2">
      <c r="A506">
        <f>ROW(Source!A163)</f>
        <v>163</v>
      </c>
      <c r="B506">
        <v>16784196</v>
      </c>
      <c r="C506">
        <v>16784759</v>
      </c>
      <c r="D506">
        <v>15430395</v>
      </c>
      <c r="E506">
        <v>1</v>
      </c>
      <c r="F506">
        <v>1</v>
      </c>
      <c r="G506">
        <v>1</v>
      </c>
      <c r="H506">
        <v>1</v>
      </c>
      <c r="I506" t="s">
        <v>496</v>
      </c>
      <c r="J506" t="s">
        <v>6</v>
      </c>
      <c r="K506" t="s">
        <v>497</v>
      </c>
      <c r="L506">
        <v>1191</v>
      </c>
      <c r="N506">
        <v>1013</v>
      </c>
      <c r="O506" t="s">
        <v>495</v>
      </c>
      <c r="P506" t="s">
        <v>495</v>
      </c>
      <c r="Q506">
        <v>1</v>
      </c>
      <c r="W506">
        <v>0</v>
      </c>
      <c r="X506">
        <v>-1417349443</v>
      </c>
      <c r="Y506">
        <v>0.01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1</v>
      </c>
      <c r="AJ506">
        <v>1</v>
      </c>
      <c r="AK506">
        <v>6.11</v>
      </c>
      <c r="AL506">
        <v>1</v>
      </c>
      <c r="AN506">
        <v>0</v>
      </c>
      <c r="AO506">
        <v>1</v>
      </c>
      <c r="AP506">
        <v>0</v>
      </c>
      <c r="AQ506">
        <v>0</v>
      </c>
      <c r="AR506">
        <v>0</v>
      </c>
      <c r="AS506" t="s">
        <v>6</v>
      </c>
      <c r="AT506">
        <v>0.01</v>
      </c>
      <c r="AU506" t="s">
        <v>6</v>
      </c>
      <c r="AV506">
        <v>2</v>
      </c>
      <c r="AW506">
        <v>2</v>
      </c>
      <c r="AX506">
        <v>16784773</v>
      </c>
      <c r="AY506">
        <v>1</v>
      </c>
      <c r="AZ506">
        <v>2048</v>
      </c>
      <c r="BA506">
        <v>534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Y506*Source!I163</f>
        <v>2E-3</v>
      </c>
      <c r="CY506">
        <f>AD506</f>
        <v>0</v>
      </c>
      <c r="CZ506">
        <f>AH506</f>
        <v>0</v>
      </c>
      <c r="DA506">
        <f>AL506</f>
        <v>1</v>
      </c>
      <c r="DB506">
        <f>ROUND(ROUND(AT506*CZ506,2),2)</f>
        <v>0</v>
      </c>
      <c r="DC506">
        <f>ROUND(ROUND(AT506*AG506,2),2)</f>
        <v>0</v>
      </c>
    </row>
    <row r="507" spans="1:107" x14ac:dyDescent="0.2">
      <c r="A507">
        <f>ROW(Source!A163)</f>
        <v>163</v>
      </c>
      <c r="B507">
        <v>16784196</v>
      </c>
      <c r="C507">
        <v>16784759</v>
      </c>
      <c r="D507">
        <v>15247576</v>
      </c>
      <c r="E507">
        <v>1</v>
      </c>
      <c r="F507">
        <v>1</v>
      </c>
      <c r="G507">
        <v>1</v>
      </c>
      <c r="H507">
        <v>2</v>
      </c>
      <c r="I507" t="s">
        <v>606</v>
      </c>
      <c r="J507" t="s">
        <v>607</v>
      </c>
      <c r="K507" t="s">
        <v>608</v>
      </c>
      <c r="L507">
        <v>1368</v>
      </c>
      <c r="N507">
        <v>1011</v>
      </c>
      <c r="O507" t="s">
        <v>501</v>
      </c>
      <c r="P507" t="s">
        <v>501</v>
      </c>
      <c r="Q507">
        <v>1</v>
      </c>
      <c r="W507">
        <v>0</v>
      </c>
      <c r="X507">
        <v>257150282</v>
      </c>
      <c r="Y507">
        <v>3.7499999999999999E-3</v>
      </c>
      <c r="AA507">
        <v>0</v>
      </c>
      <c r="AB507">
        <v>509.76</v>
      </c>
      <c r="AC507">
        <v>13.5</v>
      </c>
      <c r="AD507">
        <v>0</v>
      </c>
      <c r="AE507">
        <v>0</v>
      </c>
      <c r="AF507">
        <v>83.43</v>
      </c>
      <c r="AG507">
        <v>13.5</v>
      </c>
      <c r="AH507">
        <v>0</v>
      </c>
      <c r="AI507">
        <v>1</v>
      </c>
      <c r="AJ507">
        <v>6.11</v>
      </c>
      <c r="AK507">
        <v>1</v>
      </c>
      <c r="AL507">
        <v>1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6</v>
      </c>
      <c r="AT507">
        <v>3.0000000000000001E-3</v>
      </c>
      <c r="AU507" t="s">
        <v>27</v>
      </c>
      <c r="AV507">
        <v>0</v>
      </c>
      <c r="AW507">
        <v>2</v>
      </c>
      <c r="AX507">
        <v>16784774</v>
      </c>
      <c r="AY507">
        <v>1</v>
      </c>
      <c r="AZ507">
        <v>0</v>
      </c>
      <c r="BA507">
        <v>535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Y507*Source!I163</f>
        <v>7.5000000000000002E-4</v>
      </c>
      <c r="CY507">
        <f>AB507</f>
        <v>509.76</v>
      </c>
      <c r="CZ507">
        <f>AF507</f>
        <v>83.43</v>
      </c>
      <c r="DA507">
        <f>AJ507</f>
        <v>6.11</v>
      </c>
      <c r="DB507">
        <f>ROUND((ROUND(AT507*CZ507,2)*1.25),2)</f>
        <v>0.31</v>
      </c>
      <c r="DC507">
        <f>ROUND((ROUND(AT507*AG507,2)*1.25),2)</f>
        <v>0.05</v>
      </c>
    </row>
    <row r="508" spans="1:107" x14ac:dyDescent="0.2">
      <c r="A508">
        <f>ROW(Source!A163)</f>
        <v>163</v>
      </c>
      <c r="B508">
        <v>16784196</v>
      </c>
      <c r="C508">
        <v>16784759</v>
      </c>
      <c r="D508">
        <v>15247678</v>
      </c>
      <c r="E508">
        <v>1</v>
      </c>
      <c r="F508">
        <v>1</v>
      </c>
      <c r="G508">
        <v>1</v>
      </c>
      <c r="H508">
        <v>2</v>
      </c>
      <c r="I508" t="s">
        <v>609</v>
      </c>
      <c r="J508" t="s">
        <v>610</v>
      </c>
      <c r="K508" t="s">
        <v>611</v>
      </c>
      <c r="L508">
        <v>1368</v>
      </c>
      <c r="N508">
        <v>1011</v>
      </c>
      <c r="O508" t="s">
        <v>501</v>
      </c>
      <c r="P508" t="s">
        <v>501</v>
      </c>
      <c r="Q508">
        <v>1</v>
      </c>
      <c r="W508">
        <v>0</v>
      </c>
      <c r="X508">
        <v>1330025190</v>
      </c>
      <c r="Y508">
        <v>5.0000000000000001E-3</v>
      </c>
      <c r="AA508">
        <v>0</v>
      </c>
      <c r="AB508">
        <v>537.74</v>
      </c>
      <c r="AC508">
        <v>11.6</v>
      </c>
      <c r="AD508">
        <v>0</v>
      </c>
      <c r="AE508">
        <v>0</v>
      </c>
      <c r="AF508">
        <v>88.01</v>
      </c>
      <c r="AG508">
        <v>11.6</v>
      </c>
      <c r="AH508">
        <v>0</v>
      </c>
      <c r="AI508">
        <v>1</v>
      </c>
      <c r="AJ508">
        <v>6.11</v>
      </c>
      <c r="AK508">
        <v>1</v>
      </c>
      <c r="AL508">
        <v>1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6</v>
      </c>
      <c r="AT508">
        <v>4.0000000000000001E-3</v>
      </c>
      <c r="AU508" t="s">
        <v>27</v>
      </c>
      <c r="AV508">
        <v>0</v>
      </c>
      <c r="AW508">
        <v>2</v>
      </c>
      <c r="AX508">
        <v>16784775</v>
      </c>
      <c r="AY508">
        <v>1</v>
      </c>
      <c r="AZ508">
        <v>0</v>
      </c>
      <c r="BA508">
        <v>536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Y508*Source!I163</f>
        <v>1E-3</v>
      </c>
      <c r="CY508">
        <f>AB508</f>
        <v>537.74</v>
      </c>
      <c r="CZ508">
        <f>AF508</f>
        <v>88.01</v>
      </c>
      <c r="DA508">
        <f>AJ508</f>
        <v>6.11</v>
      </c>
      <c r="DB508">
        <f>ROUND((ROUND(AT508*CZ508,2)*1.25),2)</f>
        <v>0.44</v>
      </c>
      <c r="DC508">
        <f>ROUND((ROUND(AT508*AG508,2)*1.25),2)</f>
        <v>0.06</v>
      </c>
    </row>
    <row r="509" spans="1:107" x14ac:dyDescent="0.2">
      <c r="A509">
        <f>ROW(Source!A163)</f>
        <v>163</v>
      </c>
      <c r="B509">
        <v>16784196</v>
      </c>
      <c r="C509">
        <v>16784759</v>
      </c>
      <c r="D509">
        <v>15248793</v>
      </c>
      <c r="E509">
        <v>1</v>
      </c>
      <c r="F509">
        <v>1</v>
      </c>
      <c r="G509">
        <v>1</v>
      </c>
      <c r="H509">
        <v>2</v>
      </c>
      <c r="I509" t="s">
        <v>753</v>
      </c>
      <c r="J509" t="s">
        <v>754</v>
      </c>
      <c r="K509" t="s">
        <v>755</v>
      </c>
      <c r="L509">
        <v>1368</v>
      </c>
      <c r="N509">
        <v>1011</v>
      </c>
      <c r="O509" t="s">
        <v>501</v>
      </c>
      <c r="P509" t="s">
        <v>501</v>
      </c>
      <c r="Q509">
        <v>1</v>
      </c>
      <c r="W509">
        <v>0</v>
      </c>
      <c r="X509">
        <v>-1347092713</v>
      </c>
      <c r="Y509">
        <v>1.5874999999999999</v>
      </c>
      <c r="AA509">
        <v>0</v>
      </c>
      <c r="AB509">
        <v>181.28</v>
      </c>
      <c r="AC509">
        <v>0</v>
      </c>
      <c r="AD509">
        <v>0</v>
      </c>
      <c r="AE509">
        <v>0</v>
      </c>
      <c r="AF509">
        <v>29.67</v>
      </c>
      <c r="AG509">
        <v>0</v>
      </c>
      <c r="AH509">
        <v>0</v>
      </c>
      <c r="AI509">
        <v>1</v>
      </c>
      <c r="AJ509">
        <v>6.11</v>
      </c>
      <c r="AK509">
        <v>1</v>
      </c>
      <c r="AL509">
        <v>1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6</v>
      </c>
      <c r="AT509">
        <v>1.27</v>
      </c>
      <c r="AU509" t="s">
        <v>27</v>
      </c>
      <c r="AV509">
        <v>0</v>
      </c>
      <c r="AW509">
        <v>2</v>
      </c>
      <c r="AX509">
        <v>16784776</v>
      </c>
      <c r="AY509">
        <v>1</v>
      </c>
      <c r="AZ509">
        <v>0</v>
      </c>
      <c r="BA509">
        <v>537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Y509*Source!I163</f>
        <v>0.3175</v>
      </c>
      <c r="CY509">
        <f>AB509</f>
        <v>181.28</v>
      </c>
      <c r="CZ509">
        <f>AF509</f>
        <v>29.67</v>
      </c>
      <c r="DA509">
        <f>AJ509</f>
        <v>6.11</v>
      </c>
      <c r="DB509">
        <f>ROUND((ROUND(AT509*CZ509,2)*1.25),2)</f>
        <v>47.1</v>
      </c>
      <c r="DC509">
        <f>ROUND((ROUND(AT509*AG509,2)*1.25),2)</f>
        <v>0</v>
      </c>
    </row>
    <row r="510" spans="1:107" x14ac:dyDescent="0.2">
      <c r="A510">
        <f>ROW(Source!A163)</f>
        <v>163</v>
      </c>
      <c r="B510">
        <v>16784196</v>
      </c>
      <c r="C510">
        <v>16784759</v>
      </c>
      <c r="D510">
        <v>15249310</v>
      </c>
      <c r="E510">
        <v>1</v>
      </c>
      <c r="F510">
        <v>1</v>
      </c>
      <c r="G510">
        <v>1</v>
      </c>
      <c r="H510">
        <v>2</v>
      </c>
      <c r="I510" t="s">
        <v>756</v>
      </c>
      <c r="J510" t="s">
        <v>757</v>
      </c>
      <c r="K510" t="s">
        <v>758</v>
      </c>
      <c r="L510">
        <v>1368</v>
      </c>
      <c r="N510">
        <v>1011</v>
      </c>
      <c r="O510" t="s">
        <v>501</v>
      </c>
      <c r="P510" t="s">
        <v>501</v>
      </c>
      <c r="Q510">
        <v>1</v>
      </c>
      <c r="W510">
        <v>0</v>
      </c>
      <c r="X510">
        <v>1489131384</v>
      </c>
      <c r="Y510">
        <v>20.474999999999998</v>
      </c>
      <c r="AA510">
        <v>0</v>
      </c>
      <c r="AB510">
        <v>160.38999999999999</v>
      </c>
      <c r="AC510">
        <v>0</v>
      </c>
      <c r="AD510">
        <v>0</v>
      </c>
      <c r="AE510">
        <v>0</v>
      </c>
      <c r="AF510">
        <v>26.25</v>
      </c>
      <c r="AG510">
        <v>0</v>
      </c>
      <c r="AH510">
        <v>0</v>
      </c>
      <c r="AI510">
        <v>1</v>
      </c>
      <c r="AJ510">
        <v>6.11</v>
      </c>
      <c r="AK510">
        <v>1</v>
      </c>
      <c r="AL510">
        <v>1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6</v>
      </c>
      <c r="AT510">
        <v>16.38</v>
      </c>
      <c r="AU510" t="s">
        <v>27</v>
      </c>
      <c r="AV510">
        <v>0</v>
      </c>
      <c r="AW510">
        <v>2</v>
      </c>
      <c r="AX510">
        <v>16784777</v>
      </c>
      <c r="AY510">
        <v>1</v>
      </c>
      <c r="AZ510">
        <v>0</v>
      </c>
      <c r="BA510">
        <v>538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Y510*Source!I163</f>
        <v>4.0949999999999998</v>
      </c>
      <c r="CY510">
        <f>AB510</f>
        <v>160.38999999999999</v>
      </c>
      <c r="CZ510">
        <f>AF510</f>
        <v>26.25</v>
      </c>
      <c r="DA510">
        <f>AJ510</f>
        <v>6.11</v>
      </c>
      <c r="DB510">
        <f>ROUND((ROUND(AT510*CZ510,2)*1.25),2)</f>
        <v>537.48</v>
      </c>
      <c r="DC510">
        <f>ROUND((ROUND(AT510*AG510,2)*1.25),2)</f>
        <v>0</v>
      </c>
    </row>
    <row r="511" spans="1:107" x14ac:dyDescent="0.2">
      <c r="A511">
        <f>ROW(Source!A163)</f>
        <v>163</v>
      </c>
      <c r="B511">
        <v>16784196</v>
      </c>
      <c r="C511">
        <v>16784759</v>
      </c>
      <c r="D511">
        <v>15167286</v>
      </c>
      <c r="E511">
        <v>1</v>
      </c>
      <c r="F511">
        <v>1</v>
      </c>
      <c r="G511">
        <v>1</v>
      </c>
      <c r="H511">
        <v>3</v>
      </c>
      <c r="I511" t="s">
        <v>597</v>
      </c>
      <c r="J511" t="s">
        <v>598</v>
      </c>
      <c r="K511" t="s">
        <v>599</v>
      </c>
      <c r="L511">
        <v>1339</v>
      </c>
      <c r="N511">
        <v>1007</v>
      </c>
      <c r="O511" t="s">
        <v>128</v>
      </c>
      <c r="P511" t="s">
        <v>128</v>
      </c>
      <c r="Q511">
        <v>1</v>
      </c>
      <c r="W511">
        <v>0</v>
      </c>
      <c r="X511">
        <v>-1660354250</v>
      </c>
      <c r="Y511">
        <v>0.14399999999999999</v>
      </c>
      <c r="AA511">
        <v>14.91</v>
      </c>
      <c r="AB511">
        <v>0</v>
      </c>
      <c r="AC511">
        <v>0</v>
      </c>
      <c r="AD511">
        <v>0</v>
      </c>
      <c r="AE511">
        <v>2.44</v>
      </c>
      <c r="AF511">
        <v>0</v>
      </c>
      <c r="AG511">
        <v>0</v>
      </c>
      <c r="AH511">
        <v>0</v>
      </c>
      <c r="AI511">
        <v>6.11</v>
      </c>
      <c r="AJ511">
        <v>1</v>
      </c>
      <c r="AK511">
        <v>1</v>
      </c>
      <c r="AL511">
        <v>1</v>
      </c>
      <c r="AN511">
        <v>0</v>
      </c>
      <c r="AO511">
        <v>1</v>
      </c>
      <c r="AP511">
        <v>1</v>
      </c>
      <c r="AQ511">
        <v>0</v>
      </c>
      <c r="AR511">
        <v>0</v>
      </c>
      <c r="AS511" t="s">
        <v>6</v>
      </c>
      <c r="AT511">
        <v>0.14399999999999999</v>
      </c>
      <c r="AU511" t="s">
        <v>6</v>
      </c>
      <c r="AV511">
        <v>0</v>
      </c>
      <c r="AW511">
        <v>2</v>
      </c>
      <c r="AX511">
        <v>16784778</v>
      </c>
      <c r="AY511">
        <v>1</v>
      </c>
      <c r="AZ511">
        <v>0</v>
      </c>
      <c r="BA511">
        <v>539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Y511*Source!I163</f>
        <v>2.8799999999999999E-2</v>
      </c>
      <c r="CY511">
        <f t="shared" ref="CY511:CY516" si="103">AA511</f>
        <v>14.91</v>
      </c>
      <c r="CZ511">
        <f t="shared" ref="CZ511:CZ516" si="104">AE511</f>
        <v>2.44</v>
      </c>
      <c r="DA511">
        <f t="shared" ref="DA511:DA516" si="105">AI511</f>
        <v>6.11</v>
      </c>
      <c r="DB511">
        <f t="shared" ref="DB511:DB516" si="106">ROUND(ROUND(AT511*CZ511,2),2)</f>
        <v>0.35</v>
      </c>
      <c r="DC511">
        <f t="shared" ref="DC511:DC516" si="107">ROUND(ROUND(AT511*AG511,2),2)</f>
        <v>0</v>
      </c>
    </row>
    <row r="512" spans="1:107" x14ac:dyDescent="0.2">
      <c r="A512">
        <f>ROW(Source!A163)</f>
        <v>163</v>
      </c>
      <c r="B512">
        <v>16784196</v>
      </c>
      <c r="C512">
        <v>16784759</v>
      </c>
      <c r="D512">
        <v>15169957</v>
      </c>
      <c r="E512">
        <v>1</v>
      </c>
      <c r="F512">
        <v>1</v>
      </c>
      <c r="G512">
        <v>1</v>
      </c>
      <c r="H512">
        <v>3</v>
      </c>
      <c r="I512" t="s">
        <v>759</v>
      </c>
      <c r="J512" t="s">
        <v>760</v>
      </c>
      <c r="K512" t="s">
        <v>761</v>
      </c>
      <c r="L512">
        <v>1348</v>
      </c>
      <c r="N512">
        <v>1009</v>
      </c>
      <c r="O512" t="s">
        <v>65</v>
      </c>
      <c r="P512" t="s">
        <v>65</v>
      </c>
      <c r="Q512">
        <v>1000</v>
      </c>
      <c r="W512">
        <v>0</v>
      </c>
      <c r="X512">
        <v>-172112227</v>
      </c>
      <c r="Y512">
        <v>8.9999999999999998E-4</v>
      </c>
      <c r="AA512">
        <v>80570.98</v>
      </c>
      <c r="AB512">
        <v>0</v>
      </c>
      <c r="AC512">
        <v>0</v>
      </c>
      <c r="AD512">
        <v>0</v>
      </c>
      <c r="AE512">
        <v>13186.74</v>
      </c>
      <c r="AF512">
        <v>0</v>
      </c>
      <c r="AG512">
        <v>0</v>
      </c>
      <c r="AH512">
        <v>0</v>
      </c>
      <c r="AI512">
        <v>6.11</v>
      </c>
      <c r="AJ512">
        <v>1</v>
      </c>
      <c r="AK512">
        <v>1</v>
      </c>
      <c r="AL512">
        <v>1</v>
      </c>
      <c r="AN512">
        <v>0</v>
      </c>
      <c r="AO512">
        <v>1</v>
      </c>
      <c r="AP512">
        <v>1</v>
      </c>
      <c r="AQ512">
        <v>0</v>
      </c>
      <c r="AR512">
        <v>0</v>
      </c>
      <c r="AS512" t="s">
        <v>6</v>
      </c>
      <c r="AT512">
        <v>8.9999999999999998E-4</v>
      </c>
      <c r="AU512" t="s">
        <v>6</v>
      </c>
      <c r="AV512">
        <v>0</v>
      </c>
      <c r="AW512">
        <v>2</v>
      </c>
      <c r="AX512">
        <v>16784779</v>
      </c>
      <c r="AY512">
        <v>1</v>
      </c>
      <c r="AZ512">
        <v>0</v>
      </c>
      <c r="BA512">
        <v>540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Y512*Source!I163</f>
        <v>1.8000000000000001E-4</v>
      </c>
      <c r="CY512">
        <f t="shared" si="103"/>
        <v>80570.98</v>
      </c>
      <c r="CZ512">
        <f t="shared" si="104"/>
        <v>13186.74</v>
      </c>
      <c r="DA512">
        <f t="shared" si="105"/>
        <v>6.11</v>
      </c>
      <c r="DB512">
        <f t="shared" si="106"/>
        <v>11.87</v>
      </c>
      <c r="DC512">
        <f t="shared" si="107"/>
        <v>0</v>
      </c>
    </row>
    <row r="513" spans="1:107" x14ac:dyDescent="0.2">
      <c r="A513">
        <f>ROW(Source!A163)</f>
        <v>163</v>
      </c>
      <c r="B513">
        <v>16784196</v>
      </c>
      <c r="C513">
        <v>16784759</v>
      </c>
      <c r="D513">
        <v>15170076</v>
      </c>
      <c r="E513">
        <v>1</v>
      </c>
      <c r="F513">
        <v>1</v>
      </c>
      <c r="G513">
        <v>1</v>
      </c>
      <c r="H513">
        <v>3</v>
      </c>
      <c r="I513" t="s">
        <v>762</v>
      </c>
      <c r="J513" t="s">
        <v>763</v>
      </c>
      <c r="K513" t="s">
        <v>764</v>
      </c>
      <c r="L513">
        <v>1356</v>
      </c>
      <c r="N513">
        <v>1010</v>
      </c>
      <c r="O513" t="s">
        <v>765</v>
      </c>
      <c r="P513" t="s">
        <v>765</v>
      </c>
      <c r="Q513">
        <v>1000</v>
      </c>
      <c r="W513">
        <v>0</v>
      </c>
      <c r="X513">
        <v>1975348994</v>
      </c>
      <c r="Y513">
        <v>0.14299999999999999</v>
      </c>
      <c r="AA513">
        <v>1099.8</v>
      </c>
      <c r="AB513">
        <v>0</v>
      </c>
      <c r="AC513">
        <v>0</v>
      </c>
      <c r="AD513">
        <v>0</v>
      </c>
      <c r="AE513">
        <v>180</v>
      </c>
      <c r="AF513">
        <v>0</v>
      </c>
      <c r="AG513">
        <v>0</v>
      </c>
      <c r="AH513">
        <v>0</v>
      </c>
      <c r="AI513">
        <v>6.11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1</v>
      </c>
      <c r="AQ513">
        <v>0</v>
      </c>
      <c r="AR513">
        <v>0</v>
      </c>
      <c r="AS513" t="s">
        <v>6</v>
      </c>
      <c r="AT513">
        <v>0.14299999999999999</v>
      </c>
      <c r="AU513" t="s">
        <v>6</v>
      </c>
      <c r="AV513">
        <v>0</v>
      </c>
      <c r="AW513">
        <v>2</v>
      </c>
      <c r="AX513">
        <v>16784780</v>
      </c>
      <c r="AY513">
        <v>1</v>
      </c>
      <c r="AZ513">
        <v>0</v>
      </c>
      <c r="BA513">
        <v>541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Y513*Source!I163</f>
        <v>2.86E-2</v>
      </c>
      <c r="CY513">
        <f t="shared" si="103"/>
        <v>1099.8</v>
      </c>
      <c r="CZ513">
        <f t="shared" si="104"/>
        <v>180</v>
      </c>
      <c r="DA513">
        <f t="shared" si="105"/>
        <v>6.11</v>
      </c>
      <c r="DB513">
        <f t="shared" si="106"/>
        <v>25.74</v>
      </c>
      <c r="DC513">
        <f t="shared" si="107"/>
        <v>0</v>
      </c>
    </row>
    <row r="514" spans="1:107" x14ac:dyDescent="0.2">
      <c r="A514">
        <f>ROW(Source!A163)</f>
        <v>163</v>
      </c>
      <c r="B514">
        <v>16784196</v>
      </c>
      <c r="C514">
        <v>16784759</v>
      </c>
      <c r="D514">
        <v>15172018</v>
      </c>
      <c r="E514">
        <v>1</v>
      </c>
      <c r="F514">
        <v>1</v>
      </c>
      <c r="G514">
        <v>1</v>
      </c>
      <c r="H514">
        <v>3</v>
      </c>
      <c r="I514" t="s">
        <v>766</v>
      </c>
      <c r="J514" t="s">
        <v>767</v>
      </c>
      <c r="K514" t="s">
        <v>768</v>
      </c>
      <c r="L514">
        <v>1346</v>
      </c>
      <c r="N514">
        <v>1009</v>
      </c>
      <c r="O514" t="s">
        <v>60</v>
      </c>
      <c r="P514" t="s">
        <v>60</v>
      </c>
      <c r="Q514">
        <v>1</v>
      </c>
      <c r="W514">
        <v>0</v>
      </c>
      <c r="X514">
        <v>450790165</v>
      </c>
      <c r="Y514">
        <v>1.6000000000000001E-3</v>
      </c>
      <c r="AA514">
        <v>13.14</v>
      </c>
      <c r="AB514">
        <v>0</v>
      </c>
      <c r="AC514">
        <v>0</v>
      </c>
      <c r="AD514">
        <v>0</v>
      </c>
      <c r="AE514">
        <v>2.15</v>
      </c>
      <c r="AF514">
        <v>0</v>
      </c>
      <c r="AG514">
        <v>0</v>
      </c>
      <c r="AH514">
        <v>0</v>
      </c>
      <c r="AI514">
        <v>6.11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1</v>
      </c>
      <c r="AQ514">
        <v>0</v>
      </c>
      <c r="AR514">
        <v>0</v>
      </c>
      <c r="AS514" t="s">
        <v>6</v>
      </c>
      <c r="AT514">
        <v>1.6000000000000001E-3</v>
      </c>
      <c r="AU514" t="s">
        <v>6</v>
      </c>
      <c r="AV514">
        <v>0</v>
      </c>
      <c r="AW514">
        <v>2</v>
      </c>
      <c r="AX514">
        <v>16784781</v>
      </c>
      <c r="AY514">
        <v>1</v>
      </c>
      <c r="AZ514">
        <v>0</v>
      </c>
      <c r="BA514">
        <v>542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Y514*Source!I163</f>
        <v>3.2000000000000003E-4</v>
      </c>
      <c r="CY514">
        <f t="shared" si="103"/>
        <v>13.14</v>
      </c>
      <c r="CZ514">
        <f t="shared" si="104"/>
        <v>2.15</v>
      </c>
      <c r="DA514">
        <f t="shared" si="105"/>
        <v>6.11</v>
      </c>
      <c r="DB514">
        <f t="shared" si="106"/>
        <v>0</v>
      </c>
      <c r="DC514">
        <f t="shared" si="107"/>
        <v>0</v>
      </c>
    </row>
    <row r="515" spans="1:107" x14ac:dyDescent="0.2">
      <c r="A515">
        <f>ROW(Source!A163)</f>
        <v>163</v>
      </c>
      <c r="B515">
        <v>16784196</v>
      </c>
      <c r="C515">
        <v>16784759</v>
      </c>
      <c r="D515">
        <v>15232882</v>
      </c>
      <c r="E515">
        <v>1</v>
      </c>
      <c r="F515">
        <v>1</v>
      </c>
      <c r="G515">
        <v>1</v>
      </c>
      <c r="H515">
        <v>3</v>
      </c>
      <c r="I515" t="s">
        <v>353</v>
      </c>
      <c r="J515" t="s">
        <v>355</v>
      </c>
      <c r="K515" t="s">
        <v>354</v>
      </c>
      <c r="L515">
        <v>1354</v>
      </c>
      <c r="N515">
        <v>1010</v>
      </c>
      <c r="O515" t="s">
        <v>277</v>
      </c>
      <c r="P515" t="s">
        <v>277</v>
      </c>
      <c r="Q515">
        <v>1</v>
      </c>
      <c r="W515">
        <v>0</v>
      </c>
      <c r="X515">
        <v>-697268462</v>
      </c>
      <c r="Y515">
        <v>140</v>
      </c>
      <c r="AA515">
        <v>49.43</v>
      </c>
      <c r="AB515">
        <v>0</v>
      </c>
      <c r="AC515">
        <v>0</v>
      </c>
      <c r="AD515">
        <v>0</v>
      </c>
      <c r="AE515">
        <v>8.09</v>
      </c>
      <c r="AF515">
        <v>0</v>
      </c>
      <c r="AG515">
        <v>0</v>
      </c>
      <c r="AH515">
        <v>0</v>
      </c>
      <c r="AI515">
        <v>6.11</v>
      </c>
      <c r="AJ515">
        <v>1</v>
      </c>
      <c r="AK515">
        <v>1</v>
      </c>
      <c r="AL515">
        <v>1</v>
      </c>
      <c r="AN515">
        <v>0</v>
      </c>
      <c r="AO515">
        <v>0</v>
      </c>
      <c r="AP515">
        <v>0</v>
      </c>
      <c r="AQ515">
        <v>0</v>
      </c>
      <c r="AR515">
        <v>0</v>
      </c>
      <c r="AS515" t="s">
        <v>6</v>
      </c>
      <c r="AT515">
        <v>140</v>
      </c>
      <c r="AU515" t="s">
        <v>6</v>
      </c>
      <c r="AV515">
        <v>0</v>
      </c>
      <c r="AW515">
        <v>1</v>
      </c>
      <c r="AX515">
        <v>-1</v>
      </c>
      <c r="AY515">
        <v>0</v>
      </c>
      <c r="AZ515">
        <v>0</v>
      </c>
      <c r="BA515" t="s">
        <v>6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Y515*Source!I163</f>
        <v>28</v>
      </c>
      <c r="CY515">
        <f t="shared" si="103"/>
        <v>49.43</v>
      </c>
      <c r="CZ515">
        <f t="shared" si="104"/>
        <v>8.09</v>
      </c>
      <c r="DA515">
        <f t="shared" si="105"/>
        <v>6.11</v>
      </c>
      <c r="DB515">
        <f t="shared" si="106"/>
        <v>1132.5999999999999</v>
      </c>
      <c r="DC515">
        <f t="shared" si="107"/>
        <v>0</v>
      </c>
    </row>
    <row r="516" spans="1:107" x14ac:dyDescent="0.2">
      <c r="A516">
        <f>ROW(Source!A163)</f>
        <v>163</v>
      </c>
      <c r="B516">
        <v>16784196</v>
      </c>
      <c r="C516">
        <v>16784759</v>
      </c>
      <c r="D516">
        <v>15233484</v>
      </c>
      <c r="E516">
        <v>1</v>
      </c>
      <c r="F516">
        <v>1</v>
      </c>
      <c r="G516">
        <v>1</v>
      </c>
      <c r="H516">
        <v>3</v>
      </c>
      <c r="I516" t="s">
        <v>357</v>
      </c>
      <c r="J516" t="s">
        <v>359</v>
      </c>
      <c r="K516" t="s">
        <v>358</v>
      </c>
      <c r="L516">
        <v>1301</v>
      </c>
      <c r="N516">
        <v>1003</v>
      </c>
      <c r="O516" t="s">
        <v>45</v>
      </c>
      <c r="P516" t="s">
        <v>45</v>
      </c>
      <c r="Q516">
        <v>1</v>
      </c>
      <c r="W516">
        <v>0</v>
      </c>
      <c r="X516">
        <v>-2002545417</v>
      </c>
      <c r="Y516">
        <v>100.5</v>
      </c>
      <c r="AA516">
        <v>28.11</v>
      </c>
      <c r="AB516">
        <v>0</v>
      </c>
      <c r="AC516">
        <v>0</v>
      </c>
      <c r="AD516">
        <v>0</v>
      </c>
      <c r="AE516">
        <v>4.5999999999999996</v>
      </c>
      <c r="AF516">
        <v>0</v>
      </c>
      <c r="AG516">
        <v>0</v>
      </c>
      <c r="AH516">
        <v>0</v>
      </c>
      <c r="AI516">
        <v>6.11</v>
      </c>
      <c r="AJ516">
        <v>1</v>
      </c>
      <c r="AK516">
        <v>1</v>
      </c>
      <c r="AL516">
        <v>1</v>
      </c>
      <c r="AN516">
        <v>0</v>
      </c>
      <c r="AO516">
        <v>0</v>
      </c>
      <c r="AP516">
        <v>0</v>
      </c>
      <c r="AQ516">
        <v>0</v>
      </c>
      <c r="AR516">
        <v>0</v>
      </c>
      <c r="AS516" t="s">
        <v>6</v>
      </c>
      <c r="AT516">
        <v>100.5</v>
      </c>
      <c r="AU516" t="s">
        <v>6</v>
      </c>
      <c r="AV516">
        <v>0</v>
      </c>
      <c r="AW516">
        <v>1</v>
      </c>
      <c r="AX516">
        <v>-1</v>
      </c>
      <c r="AY516">
        <v>0</v>
      </c>
      <c r="AZ516">
        <v>0</v>
      </c>
      <c r="BA516" t="s">
        <v>6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Y516*Source!I163</f>
        <v>20.100000000000001</v>
      </c>
      <c r="CY516">
        <f t="shared" si="103"/>
        <v>28.11</v>
      </c>
      <c r="CZ516">
        <f t="shared" si="104"/>
        <v>4.5999999999999996</v>
      </c>
      <c r="DA516">
        <f t="shared" si="105"/>
        <v>6.11</v>
      </c>
      <c r="DB516">
        <f t="shared" si="106"/>
        <v>462.3</v>
      </c>
      <c r="DC516">
        <f t="shared" si="107"/>
        <v>0</v>
      </c>
    </row>
    <row r="517" spans="1:107" x14ac:dyDescent="0.2">
      <c r="A517">
        <f>ROW(Source!A168)</f>
        <v>168</v>
      </c>
      <c r="B517">
        <v>16784195</v>
      </c>
      <c r="C517">
        <v>16784970</v>
      </c>
      <c r="D517">
        <v>15430397</v>
      </c>
      <c r="E517">
        <v>1</v>
      </c>
      <c r="F517">
        <v>1</v>
      </c>
      <c r="G517">
        <v>1</v>
      </c>
      <c r="H517">
        <v>1</v>
      </c>
      <c r="I517" t="s">
        <v>585</v>
      </c>
      <c r="J517" t="s">
        <v>6</v>
      </c>
      <c r="K517" t="s">
        <v>586</v>
      </c>
      <c r="L517">
        <v>1191</v>
      </c>
      <c r="N517">
        <v>1013</v>
      </c>
      <c r="O517" t="s">
        <v>495</v>
      </c>
      <c r="P517" t="s">
        <v>495</v>
      </c>
      <c r="Q517">
        <v>1</v>
      </c>
      <c r="W517">
        <v>0</v>
      </c>
      <c r="X517">
        <v>-1081351934</v>
      </c>
      <c r="Y517">
        <v>64.204499999999996</v>
      </c>
      <c r="AA517">
        <v>0</v>
      </c>
      <c r="AB517">
        <v>0</v>
      </c>
      <c r="AC517">
        <v>0</v>
      </c>
      <c r="AD517">
        <v>9.4</v>
      </c>
      <c r="AE517">
        <v>0</v>
      </c>
      <c r="AF517">
        <v>0</v>
      </c>
      <c r="AG517">
        <v>0</v>
      </c>
      <c r="AH517">
        <v>9.4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6</v>
      </c>
      <c r="AT517">
        <v>55.83</v>
      </c>
      <c r="AU517" t="s">
        <v>28</v>
      </c>
      <c r="AV517">
        <v>1</v>
      </c>
      <c r="AW517">
        <v>2</v>
      </c>
      <c r="AX517">
        <v>16784971</v>
      </c>
      <c r="AY517">
        <v>1</v>
      </c>
      <c r="AZ517">
        <v>0</v>
      </c>
      <c r="BA517">
        <v>547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Y517*Source!I168</f>
        <v>7.7045399999999988</v>
      </c>
      <c r="CY517">
        <f>AD517</f>
        <v>9.4</v>
      </c>
      <c r="CZ517">
        <f>AH517</f>
        <v>9.4</v>
      </c>
      <c r="DA517">
        <f>AL517</f>
        <v>1</v>
      </c>
      <c r="DB517">
        <f>ROUND((ROUND(AT517*CZ517,2)*1.15),2)</f>
        <v>603.52</v>
      </c>
      <c r="DC517">
        <f>ROUND((ROUND(AT517*AG517,2)*1.15),2)</f>
        <v>0</v>
      </c>
    </row>
    <row r="518" spans="1:107" x14ac:dyDescent="0.2">
      <c r="A518">
        <f>ROW(Source!A168)</f>
        <v>168</v>
      </c>
      <c r="B518">
        <v>16784195</v>
      </c>
      <c r="C518">
        <v>16784970</v>
      </c>
      <c r="D518">
        <v>15430395</v>
      </c>
      <c r="E518">
        <v>1</v>
      </c>
      <c r="F518">
        <v>1</v>
      </c>
      <c r="G518">
        <v>1</v>
      </c>
      <c r="H518">
        <v>1</v>
      </c>
      <c r="I518" t="s">
        <v>496</v>
      </c>
      <c r="J518" t="s">
        <v>6</v>
      </c>
      <c r="K518" t="s">
        <v>497</v>
      </c>
      <c r="L518">
        <v>1191</v>
      </c>
      <c r="N518">
        <v>1013</v>
      </c>
      <c r="O518" t="s">
        <v>495</v>
      </c>
      <c r="P518" t="s">
        <v>495</v>
      </c>
      <c r="Q518">
        <v>1</v>
      </c>
      <c r="W518">
        <v>0</v>
      </c>
      <c r="X518">
        <v>-1417349443</v>
      </c>
      <c r="Y518">
        <v>0.46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0</v>
      </c>
      <c r="AQ518">
        <v>0</v>
      </c>
      <c r="AR518">
        <v>0</v>
      </c>
      <c r="AS518" t="s">
        <v>6</v>
      </c>
      <c r="AT518">
        <v>0.46</v>
      </c>
      <c r="AU518" t="s">
        <v>6</v>
      </c>
      <c r="AV518">
        <v>2</v>
      </c>
      <c r="AW518">
        <v>2</v>
      </c>
      <c r="AX518">
        <v>16784972</v>
      </c>
      <c r="AY518">
        <v>1</v>
      </c>
      <c r="AZ518">
        <v>2048</v>
      </c>
      <c r="BA518">
        <v>548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Y518*Source!I168</f>
        <v>5.5199999999999999E-2</v>
      </c>
      <c r="CY518">
        <f>AD518</f>
        <v>0</v>
      </c>
      <c r="CZ518">
        <f>AH518</f>
        <v>0</v>
      </c>
      <c r="DA518">
        <f>AL518</f>
        <v>1</v>
      </c>
      <c r="DB518">
        <f>ROUND(ROUND(AT518*CZ518,2),2)</f>
        <v>0</v>
      </c>
      <c r="DC518">
        <f>ROUND(ROUND(AT518*AG518,2),2)</f>
        <v>0</v>
      </c>
    </row>
    <row r="519" spans="1:107" x14ac:dyDescent="0.2">
      <c r="A519">
        <f>ROW(Source!A168)</f>
        <v>168</v>
      </c>
      <c r="B519">
        <v>16784195</v>
      </c>
      <c r="C519">
        <v>16784970</v>
      </c>
      <c r="D519">
        <v>15247578</v>
      </c>
      <c r="E519">
        <v>1</v>
      </c>
      <c r="F519">
        <v>1</v>
      </c>
      <c r="G519">
        <v>1</v>
      </c>
      <c r="H519">
        <v>2</v>
      </c>
      <c r="I519" t="s">
        <v>713</v>
      </c>
      <c r="J519" t="s">
        <v>714</v>
      </c>
      <c r="K519" t="s">
        <v>715</v>
      </c>
      <c r="L519">
        <v>1368</v>
      </c>
      <c r="N519">
        <v>1011</v>
      </c>
      <c r="O519" t="s">
        <v>501</v>
      </c>
      <c r="P519" t="s">
        <v>501</v>
      </c>
      <c r="Q519">
        <v>1</v>
      </c>
      <c r="W519">
        <v>0</v>
      </c>
      <c r="X519">
        <v>-1460065968</v>
      </c>
      <c r="Y519">
        <v>0.125</v>
      </c>
      <c r="AA519">
        <v>0</v>
      </c>
      <c r="AB519">
        <v>86.4</v>
      </c>
      <c r="AC519">
        <v>13.5</v>
      </c>
      <c r="AD519">
        <v>0</v>
      </c>
      <c r="AE519">
        <v>0</v>
      </c>
      <c r="AF519">
        <v>86.4</v>
      </c>
      <c r="AG519">
        <v>13.5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6</v>
      </c>
      <c r="AT519">
        <v>0.1</v>
      </c>
      <c r="AU519" t="s">
        <v>27</v>
      </c>
      <c r="AV519">
        <v>0</v>
      </c>
      <c r="AW519">
        <v>2</v>
      </c>
      <c r="AX519">
        <v>16784973</v>
      </c>
      <c r="AY519">
        <v>1</v>
      </c>
      <c r="AZ519">
        <v>0</v>
      </c>
      <c r="BA519">
        <v>549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Y519*Source!I168</f>
        <v>1.4999999999999999E-2</v>
      </c>
      <c r="CY519">
        <f>AB519</f>
        <v>86.4</v>
      </c>
      <c r="CZ519">
        <f>AF519</f>
        <v>86.4</v>
      </c>
      <c r="DA519">
        <f>AJ519</f>
        <v>1</v>
      </c>
      <c r="DB519">
        <f>ROUND((ROUND(AT519*CZ519,2)*1.25),2)</f>
        <v>10.8</v>
      </c>
      <c r="DC519">
        <f>ROUND((ROUND(AT519*AG519,2)*1.25),2)</f>
        <v>1.69</v>
      </c>
    </row>
    <row r="520" spans="1:107" x14ac:dyDescent="0.2">
      <c r="A520">
        <f>ROW(Source!A168)</f>
        <v>168</v>
      </c>
      <c r="B520">
        <v>16784195</v>
      </c>
      <c r="C520">
        <v>16784970</v>
      </c>
      <c r="D520">
        <v>15247678</v>
      </c>
      <c r="E520">
        <v>1</v>
      </c>
      <c r="F520">
        <v>1</v>
      </c>
      <c r="G520">
        <v>1</v>
      </c>
      <c r="H520">
        <v>2</v>
      </c>
      <c r="I520" t="s">
        <v>609</v>
      </c>
      <c r="J520" t="s">
        <v>610</v>
      </c>
      <c r="K520" t="s">
        <v>611</v>
      </c>
      <c r="L520">
        <v>1368</v>
      </c>
      <c r="N520">
        <v>1011</v>
      </c>
      <c r="O520" t="s">
        <v>501</v>
      </c>
      <c r="P520" t="s">
        <v>501</v>
      </c>
      <c r="Q520">
        <v>1</v>
      </c>
      <c r="W520">
        <v>0</v>
      </c>
      <c r="X520">
        <v>1330025190</v>
      </c>
      <c r="Y520">
        <v>0.22499999999999998</v>
      </c>
      <c r="AA520">
        <v>0</v>
      </c>
      <c r="AB520">
        <v>88.01</v>
      </c>
      <c r="AC520">
        <v>11.6</v>
      </c>
      <c r="AD520">
        <v>0</v>
      </c>
      <c r="AE520">
        <v>0</v>
      </c>
      <c r="AF520">
        <v>88.01</v>
      </c>
      <c r="AG520">
        <v>11.6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6</v>
      </c>
      <c r="AT520">
        <v>0.18</v>
      </c>
      <c r="AU520" t="s">
        <v>27</v>
      </c>
      <c r="AV520">
        <v>0</v>
      </c>
      <c r="AW520">
        <v>2</v>
      </c>
      <c r="AX520">
        <v>16784974</v>
      </c>
      <c r="AY520">
        <v>1</v>
      </c>
      <c r="AZ520">
        <v>0</v>
      </c>
      <c r="BA520">
        <v>550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Y520*Source!I168</f>
        <v>2.6999999999999996E-2</v>
      </c>
      <c r="CY520">
        <f>AB520</f>
        <v>88.01</v>
      </c>
      <c r="CZ520">
        <f>AF520</f>
        <v>88.01</v>
      </c>
      <c r="DA520">
        <f>AJ520</f>
        <v>1</v>
      </c>
      <c r="DB520">
        <f>ROUND((ROUND(AT520*CZ520,2)*1.25),2)</f>
        <v>19.8</v>
      </c>
      <c r="DC520">
        <f>ROUND((ROUND(AT520*AG520,2)*1.25),2)</f>
        <v>2.61</v>
      </c>
    </row>
    <row r="521" spans="1:107" x14ac:dyDescent="0.2">
      <c r="A521">
        <f>ROW(Source!A168)</f>
        <v>168</v>
      </c>
      <c r="B521">
        <v>16784195</v>
      </c>
      <c r="C521">
        <v>16784970</v>
      </c>
      <c r="D521">
        <v>15249073</v>
      </c>
      <c r="E521">
        <v>1</v>
      </c>
      <c r="F521">
        <v>1</v>
      </c>
      <c r="G521">
        <v>1</v>
      </c>
      <c r="H521">
        <v>2</v>
      </c>
      <c r="I521" t="s">
        <v>504</v>
      </c>
      <c r="J521" t="s">
        <v>505</v>
      </c>
      <c r="K521" t="s">
        <v>506</v>
      </c>
      <c r="L521">
        <v>1368</v>
      </c>
      <c r="N521">
        <v>1011</v>
      </c>
      <c r="O521" t="s">
        <v>501</v>
      </c>
      <c r="P521" t="s">
        <v>501</v>
      </c>
      <c r="Q521">
        <v>1</v>
      </c>
      <c r="W521">
        <v>0</v>
      </c>
      <c r="X521">
        <v>1372534845</v>
      </c>
      <c r="Y521">
        <v>0.22499999999999998</v>
      </c>
      <c r="AA521">
        <v>0</v>
      </c>
      <c r="AB521">
        <v>65.709999999999994</v>
      </c>
      <c r="AC521">
        <v>11.6</v>
      </c>
      <c r="AD521">
        <v>0</v>
      </c>
      <c r="AE521">
        <v>0</v>
      </c>
      <c r="AF521">
        <v>65.709999999999994</v>
      </c>
      <c r="AG521">
        <v>11.6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1</v>
      </c>
      <c r="AP521">
        <v>1</v>
      </c>
      <c r="AQ521">
        <v>0</v>
      </c>
      <c r="AR521">
        <v>0</v>
      </c>
      <c r="AS521" t="s">
        <v>6</v>
      </c>
      <c r="AT521">
        <v>0.18</v>
      </c>
      <c r="AU521" t="s">
        <v>27</v>
      </c>
      <c r="AV521">
        <v>0</v>
      </c>
      <c r="AW521">
        <v>2</v>
      </c>
      <c r="AX521">
        <v>16784975</v>
      </c>
      <c r="AY521">
        <v>1</v>
      </c>
      <c r="AZ521">
        <v>0</v>
      </c>
      <c r="BA521">
        <v>551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Y521*Source!I168</f>
        <v>2.6999999999999996E-2</v>
      </c>
      <c r="CY521">
        <f>AB521</f>
        <v>65.709999999999994</v>
      </c>
      <c r="CZ521">
        <f>AF521</f>
        <v>65.709999999999994</v>
      </c>
      <c r="DA521">
        <f>AJ521</f>
        <v>1</v>
      </c>
      <c r="DB521">
        <f>ROUND((ROUND(AT521*CZ521,2)*1.25),2)</f>
        <v>14.79</v>
      </c>
      <c r="DC521">
        <f>ROUND((ROUND(AT521*AG521,2)*1.25),2)</f>
        <v>2.61</v>
      </c>
    </row>
    <row r="522" spans="1:107" x14ac:dyDescent="0.2">
      <c r="A522">
        <f>ROW(Source!A168)</f>
        <v>168</v>
      </c>
      <c r="B522">
        <v>16784195</v>
      </c>
      <c r="C522">
        <v>16784970</v>
      </c>
      <c r="D522">
        <v>15167286</v>
      </c>
      <c r="E522">
        <v>1</v>
      </c>
      <c r="F522">
        <v>1</v>
      </c>
      <c r="G522">
        <v>1</v>
      </c>
      <c r="H522">
        <v>3</v>
      </c>
      <c r="I522" t="s">
        <v>597</v>
      </c>
      <c r="J522" t="s">
        <v>598</v>
      </c>
      <c r="K522" t="s">
        <v>599</v>
      </c>
      <c r="L522">
        <v>1339</v>
      </c>
      <c r="N522">
        <v>1007</v>
      </c>
      <c r="O522" t="s">
        <v>128</v>
      </c>
      <c r="P522" t="s">
        <v>128</v>
      </c>
      <c r="Q522">
        <v>1</v>
      </c>
      <c r="W522">
        <v>0</v>
      </c>
      <c r="X522">
        <v>-1660354250</v>
      </c>
      <c r="Y522">
        <v>0.78600000000000003</v>
      </c>
      <c r="AA522">
        <v>2.44</v>
      </c>
      <c r="AB522">
        <v>0</v>
      </c>
      <c r="AC522">
        <v>0</v>
      </c>
      <c r="AD522">
        <v>0</v>
      </c>
      <c r="AE522">
        <v>2.44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6</v>
      </c>
      <c r="AT522">
        <v>0.78600000000000003</v>
      </c>
      <c r="AU522" t="s">
        <v>6</v>
      </c>
      <c r="AV522">
        <v>0</v>
      </c>
      <c r="AW522">
        <v>2</v>
      </c>
      <c r="AX522">
        <v>16784976</v>
      </c>
      <c r="AY522">
        <v>1</v>
      </c>
      <c r="AZ522">
        <v>0</v>
      </c>
      <c r="BA522">
        <v>552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Y522*Source!I168</f>
        <v>9.4320000000000001E-2</v>
      </c>
      <c r="CY522">
        <f>AA522</f>
        <v>2.44</v>
      </c>
      <c r="CZ522">
        <f>AE522</f>
        <v>2.44</v>
      </c>
      <c r="DA522">
        <f>AI522</f>
        <v>1</v>
      </c>
      <c r="DB522">
        <f>ROUND(ROUND(AT522*CZ522,2),2)</f>
        <v>1.92</v>
      </c>
      <c r="DC522">
        <f>ROUND(ROUND(AT522*AG522,2),2)</f>
        <v>0</v>
      </c>
    </row>
    <row r="523" spans="1:107" x14ac:dyDescent="0.2">
      <c r="A523">
        <f>ROW(Source!A168)</f>
        <v>168</v>
      </c>
      <c r="B523">
        <v>16784195</v>
      </c>
      <c r="C523">
        <v>16784970</v>
      </c>
      <c r="D523">
        <v>15169924</v>
      </c>
      <c r="E523">
        <v>1</v>
      </c>
      <c r="F523">
        <v>1</v>
      </c>
      <c r="G523">
        <v>1</v>
      </c>
      <c r="H523">
        <v>3</v>
      </c>
      <c r="I523" t="s">
        <v>716</v>
      </c>
      <c r="J523" t="s">
        <v>717</v>
      </c>
      <c r="K523" t="s">
        <v>718</v>
      </c>
      <c r="L523">
        <v>1348</v>
      </c>
      <c r="N523">
        <v>1009</v>
      </c>
      <c r="O523" t="s">
        <v>65</v>
      </c>
      <c r="P523" t="s">
        <v>65</v>
      </c>
      <c r="Q523">
        <v>1000</v>
      </c>
      <c r="W523">
        <v>0</v>
      </c>
      <c r="X523">
        <v>-405065451</v>
      </c>
      <c r="Y523">
        <v>2.66E-3</v>
      </c>
      <c r="AA523">
        <v>14830</v>
      </c>
      <c r="AB523">
        <v>0</v>
      </c>
      <c r="AC523">
        <v>0</v>
      </c>
      <c r="AD523">
        <v>0</v>
      </c>
      <c r="AE523">
        <v>14830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1</v>
      </c>
      <c r="AP523">
        <v>0</v>
      </c>
      <c r="AQ523">
        <v>0</v>
      </c>
      <c r="AR523">
        <v>0</v>
      </c>
      <c r="AS523" t="s">
        <v>6</v>
      </c>
      <c r="AT523">
        <v>2.66E-3</v>
      </c>
      <c r="AU523" t="s">
        <v>6</v>
      </c>
      <c r="AV523">
        <v>0</v>
      </c>
      <c r="AW523">
        <v>2</v>
      </c>
      <c r="AX523">
        <v>16784977</v>
      </c>
      <c r="AY523">
        <v>1</v>
      </c>
      <c r="AZ523">
        <v>0</v>
      </c>
      <c r="BA523">
        <v>553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Y523*Source!I168</f>
        <v>3.1920000000000001E-4</v>
      </c>
      <c r="CY523">
        <f>AA523</f>
        <v>14830</v>
      </c>
      <c r="CZ523">
        <f>AE523</f>
        <v>14830</v>
      </c>
      <c r="DA523">
        <f>AI523</f>
        <v>1</v>
      </c>
      <c r="DB523">
        <f>ROUND(ROUND(AT523*CZ523,2),2)</f>
        <v>39.450000000000003</v>
      </c>
      <c r="DC523">
        <f>ROUND(ROUND(AT523*AG523,2),2)</f>
        <v>0</v>
      </c>
    </row>
    <row r="524" spans="1:107" x14ac:dyDescent="0.2">
      <c r="A524">
        <f>ROW(Source!A168)</f>
        <v>168</v>
      </c>
      <c r="B524">
        <v>16784195</v>
      </c>
      <c r="C524">
        <v>16784970</v>
      </c>
      <c r="D524">
        <v>15163179</v>
      </c>
      <c r="E524">
        <v>17</v>
      </c>
      <c r="F524">
        <v>1</v>
      </c>
      <c r="G524">
        <v>1</v>
      </c>
      <c r="H524">
        <v>3</v>
      </c>
      <c r="I524" t="s">
        <v>369</v>
      </c>
      <c r="J524" t="s">
        <v>6</v>
      </c>
      <c r="K524" t="s">
        <v>370</v>
      </c>
      <c r="L524">
        <v>1301</v>
      </c>
      <c r="N524">
        <v>1003</v>
      </c>
      <c r="O524" t="s">
        <v>45</v>
      </c>
      <c r="P524" t="s">
        <v>45</v>
      </c>
      <c r="Q524">
        <v>1</v>
      </c>
      <c r="W524">
        <v>0</v>
      </c>
      <c r="X524">
        <v>812714132</v>
      </c>
      <c r="Y524">
        <v>99.8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0</v>
      </c>
      <c r="AP524">
        <v>0</v>
      </c>
      <c r="AQ524">
        <v>0</v>
      </c>
      <c r="AR524">
        <v>0</v>
      </c>
      <c r="AS524" t="s">
        <v>6</v>
      </c>
      <c r="AT524">
        <v>99.8</v>
      </c>
      <c r="AU524" t="s">
        <v>6</v>
      </c>
      <c r="AV524">
        <v>0</v>
      </c>
      <c r="AW524">
        <v>2</v>
      </c>
      <c r="AX524">
        <v>16784981</v>
      </c>
      <c r="AY524">
        <v>1</v>
      </c>
      <c r="AZ524">
        <v>0</v>
      </c>
      <c r="BA524">
        <v>557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Y524*Source!I168</f>
        <v>11.975999999999999</v>
      </c>
      <c r="CY524">
        <f>AA524</f>
        <v>0</v>
      </c>
      <c r="CZ524">
        <f>AE524</f>
        <v>0</v>
      </c>
      <c r="DA524">
        <f>AI524</f>
        <v>1</v>
      </c>
      <c r="DB524">
        <f>ROUND(ROUND(AT524*CZ524,2),2)</f>
        <v>0</v>
      </c>
      <c r="DC524">
        <f>ROUND(ROUND(AT524*AG524,2),2)</f>
        <v>0</v>
      </c>
    </row>
    <row r="525" spans="1:107" x14ac:dyDescent="0.2">
      <c r="A525">
        <f>ROW(Source!A168)</f>
        <v>168</v>
      </c>
      <c r="B525">
        <v>16784195</v>
      </c>
      <c r="C525">
        <v>16784970</v>
      </c>
      <c r="D525">
        <v>15233506</v>
      </c>
      <c r="E525">
        <v>1</v>
      </c>
      <c r="F525">
        <v>1</v>
      </c>
      <c r="G525">
        <v>1</v>
      </c>
      <c r="H525">
        <v>3</v>
      </c>
      <c r="I525" t="s">
        <v>365</v>
      </c>
      <c r="J525" t="s">
        <v>367</v>
      </c>
      <c r="K525" t="s">
        <v>366</v>
      </c>
      <c r="L525">
        <v>1301</v>
      </c>
      <c r="N525">
        <v>1003</v>
      </c>
      <c r="O525" t="s">
        <v>45</v>
      </c>
      <c r="P525" t="s">
        <v>45</v>
      </c>
      <c r="Q525">
        <v>1</v>
      </c>
      <c r="W525">
        <v>0</v>
      </c>
      <c r="X525">
        <v>1231130266</v>
      </c>
      <c r="Y525">
        <v>99.8</v>
      </c>
      <c r="AA525">
        <v>43.52</v>
      </c>
      <c r="AB525">
        <v>0</v>
      </c>
      <c r="AC525">
        <v>0</v>
      </c>
      <c r="AD525">
        <v>0</v>
      </c>
      <c r="AE525">
        <v>43.52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0</v>
      </c>
      <c r="AP525">
        <v>0</v>
      </c>
      <c r="AQ525">
        <v>0</v>
      </c>
      <c r="AR525">
        <v>0</v>
      </c>
      <c r="AS525" t="s">
        <v>6</v>
      </c>
      <c r="AT525">
        <v>99.8</v>
      </c>
      <c r="AU525" t="s">
        <v>6</v>
      </c>
      <c r="AV525">
        <v>0</v>
      </c>
      <c r="AW525">
        <v>1</v>
      </c>
      <c r="AX525">
        <v>-1</v>
      </c>
      <c r="AY525">
        <v>0</v>
      </c>
      <c r="AZ525">
        <v>0</v>
      </c>
      <c r="BA525" t="s">
        <v>6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Y525*Source!I168</f>
        <v>11.975999999999999</v>
      </c>
      <c r="CY525">
        <f>AA525</f>
        <v>43.52</v>
      </c>
      <c r="CZ525">
        <f>AE525</f>
        <v>43.52</v>
      </c>
      <c r="DA525">
        <f>AI525</f>
        <v>1</v>
      </c>
      <c r="DB525">
        <f>ROUND(ROUND(AT525*CZ525,2),2)</f>
        <v>4343.3</v>
      </c>
      <c r="DC525">
        <f>ROUND(ROUND(AT525*AG525,2),2)</f>
        <v>0</v>
      </c>
    </row>
    <row r="526" spans="1:107" x14ac:dyDescent="0.2">
      <c r="A526">
        <f>ROW(Source!A169)</f>
        <v>169</v>
      </c>
      <c r="B526">
        <v>16784196</v>
      </c>
      <c r="C526">
        <v>16784970</v>
      </c>
      <c r="D526">
        <v>15430397</v>
      </c>
      <c r="E526">
        <v>1</v>
      </c>
      <c r="F526">
        <v>1</v>
      </c>
      <c r="G526">
        <v>1</v>
      </c>
      <c r="H526">
        <v>1</v>
      </c>
      <c r="I526" t="s">
        <v>585</v>
      </c>
      <c r="J526" t="s">
        <v>6</v>
      </c>
      <c r="K526" t="s">
        <v>586</v>
      </c>
      <c r="L526">
        <v>1191</v>
      </c>
      <c r="N526">
        <v>1013</v>
      </c>
      <c r="O526" t="s">
        <v>495</v>
      </c>
      <c r="P526" t="s">
        <v>495</v>
      </c>
      <c r="Q526">
        <v>1</v>
      </c>
      <c r="W526">
        <v>0</v>
      </c>
      <c r="X526">
        <v>-1081351934</v>
      </c>
      <c r="Y526">
        <v>64.204499999999996</v>
      </c>
      <c r="AA526">
        <v>0</v>
      </c>
      <c r="AB526">
        <v>0</v>
      </c>
      <c r="AC526">
        <v>0</v>
      </c>
      <c r="AD526">
        <v>57.43</v>
      </c>
      <c r="AE526">
        <v>0</v>
      </c>
      <c r="AF526">
        <v>0</v>
      </c>
      <c r="AG526">
        <v>0</v>
      </c>
      <c r="AH526">
        <v>9.4</v>
      </c>
      <c r="AI526">
        <v>1</v>
      </c>
      <c r="AJ526">
        <v>1</v>
      </c>
      <c r="AK526">
        <v>1</v>
      </c>
      <c r="AL526">
        <v>6.11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6</v>
      </c>
      <c r="AT526">
        <v>55.83</v>
      </c>
      <c r="AU526" t="s">
        <v>28</v>
      </c>
      <c r="AV526">
        <v>1</v>
      </c>
      <c r="AW526">
        <v>2</v>
      </c>
      <c r="AX526">
        <v>16784971</v>
      </c>
      <c r="AY526">
        <v>1</v>
      </c>
      <c r="AZ526">
        <v>0</v>
      </c>
      <c r="BA526">
        <v>559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Y526*Source!I169</f>
        <v>7.7045399999999988</v>
      </c>
      <c r="CY526">
        <f>AD526</f>
        <v>57.43</v>
      </c>
      <c r="CZ526">
        <f>AH526</f>
        <v>9.4</v>
      </c>
      <c r="DA526">
        <f>AL526</f>
        <v>6.11</v>
      </c>
      <c r="DB526">
        <f>ROUND((ROUND(AT526*CZ526,2)*1.15),2)</f>
        <v>603.52</v>
      </c>
      <c r="DC526">
        <f>ROUND((ROUND(AT526*AG526,2)*1.15),2)</f>
        <v>0</v>
      </c>
    </row>
    <row r="527" spans="1:107" x14ac:dyDescent="0.2">
      <c r="A527">
        <f>ROW(Source!A169)</f>
        <v>169</v>
      </c>
      <c r="B527">
        <v>16784196</v>
      </c>
      <c r="C527">
        <v>16784970</v>
      </c>
      <c r="D527">
        <v>15430395</v>
      </c>
      <c r="E527">
        <v>1</v>
      </c>
      <c r="F527">
        <v>1</v>
      </c>
      <c r="G527">
        <v>1</v>
      </c>
      <c r="H527">
        <v>1</v>
      </c>
      <c r="I527" t="s">
        <v>496</v>
      </c>
      <c r="J527" t="s">
        <v>6</v>
      </c>
      <c r="K527" t="s">
        <v>497</v>
      </c>
      <c r="L527">
        <v>1191</v>
      </c>
      <c r="N527">
        <v>1013</v>
      </c>
      <c r="O527" t="s">
        <v>495</v>
      </c>
      <c r="P527" t="s">
        <v>495</v>
      </c>
      <c r="Q527">
        <v>1</v>
      </c>
      <c r="W527">
        <v>0</v>
      </c>
      <c r="X527">
        <v>-1417349443</v>
      </c>
      <c r="Y527">
        <v>0.46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1</v>
      </c>
      <c r="AJ527">
        <v>1</v>
      </c>
      <c r="AK527">
        <v>6.11</v>
      </c>
      <c r="AL527">
        <v>1</v>
      </c>
      <c r="AN527">
        <v>0</v>
      </c>
      <c r="AO527">
        <v>1</v>
      </c>
      <c r="AP527">
        <v>0</v>
      </c>
      <c r="AQ527">
        <v>0</v>
      </c>
      <c r="AR527">
        <v>0</v>
      </c>
      <c r="AS527" t="s">
        <v>6</v>
      </c>
      <c r="AT527">
        <v>0.46</v>
      </c>
      <c r="AU527" t="s">
        <v>6</v>
      </c>
      <c r="AV527">
        <v>2</v>
      </c>
      <c r="AW527">
        <v>2</v>
      </c>
      <c r="AX527">
        <v>16784972</v>
      </c>
      <c r="AY527">
        <v>1</v>
      </c>
      <c r="AZ527">
        <v>2048</v>
      </c>
      <c r="BA527">
        <v>560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Y527*Source!I169</f>
        <v>5.5199999999999999E-2</v>
      </c>
      <c r="CY527">
        <f>AD527</f>
        <v>0</v>
      </c>
      <c r="CZ527">
        <f>AH527</f>
        <v>0</v>
      </c>
      <c r="DA527">
        <f>AL527</f>
        <v>1</v>
      </c>
      <c r="DB527">
        <f>ROUND(ROUND(AT527*CZ527,2),2)</f>
        <v>0</v>
      </c>
      <c r="DC527">
        <f>ROUND(ROUND(AT527*AG527,2),2)</f>
        <v>0</v>
      </c>
    </row>
    <row r="528" spans="1:107" x14ac:dyDescent="0.2">
      <c r="A528">
        <f>ROW(Source!A169)</f>
        <v>169</v>
      </c>
      <c r="B528">
        <v>16784196</v>
      </c>
      <c r="C528">
        <v>16784970</v>
      </c>
      <c r="D528">
        <v>15247578</v>
      </c>
      <c r="E528">
        <v>1</v>
      </c>
      <c r="F528">
        <v>1</v>
      </c>
      <c r="G528">
        <v>1</v>
      </c>
      <c r="H528">
        <v>2</v>
      </c>
      <c r="I528" t="s">
        <v>713</v>
      </c>
      <c r="J528" t="s">
        <v>714</v>
      </c>
      <c r="K528" t="s">
        <v>715</v>
      </c>
      <c r="L528">
        <v>1368</v>
      </c>
      <c r="N528">
        <v>1011</v>
      </c>
      <c r="O528" t="s">
        <v>501</v>
      </c>
      <c r="P528" t="s">
        <v>501</v>
      </c>
      <c r="Q528">
        <v>1</v>
      </c>
      <c r="W528">
        <v>0</v>
      </c>
      <c r="X528">
        <v>-1460065968</v>
      </c>
      <c r="Y528">
        <v>0.125</v>
      </c>
      <c r="AA528">
        <v>0</v>
      </c>
      <c r="AB528">
        <v>527.9</v>
      </c>
      <c r="AC528">
        <v>13.5</v>
      </c>
      <c r="AD528">
        <v>0</v>
      </c>
      <c r="AE528">
        <v>0</v>
      </c>
      <c r="AF528">
        <v>86.4</v>
      </c>
      <c r="AG528">
        <v>13.5</v>
      </c>
      <c r="AH528">
        <v>0</v>
      </c>
      <c r="AI528">
        <v>1</v>
      </c>
      <c r="AJ528">
        <v>6.11</v>
      </c>
      <c r="AK528">
        <v>1</v>
      </c>
      <c r="AL528">
        <v>1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6</v>
      </c>
      <c r="AT528">
        <v>0.1</v>
      </c>
      <c r="AU528" t="s">
        <v>27</v>
      </c>
      <c r="AV528">
        <v>0</v>
      </c>
      <c r="AW528">
        <v>2</v>
      </c>
      <c r="AX528">
        <v>16784973</v>
      </c>
      <c r="AY528">
        <v>1</v>
      </c>
      <c r="AZ528">
        <v>0</v>
      </c>
      <c r="BA528">
        <v>561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Y528*Source!I169</f>
        <v>1.4999999999999999E-2</v>
      </c>
      <c r="CY528">
        <f>AB528</f>
        <v>527.9</v>
      </c>
      <c r="CZ528">
        <f>AF528</f>
        <v>86.4</v>
      </c>
      <c r="DA528">
        <f>AJ528</f>
        <v>6.11</v>
      </c>
      <c r="DB528">
        <f>ROUND((ROUND(AT528*CZ528,2)*1.25),2)</f>
        <v>10.8</v>
      </c>
      <c r="DC528">
        <f>ROUND((ROUND(AT528*AG528,2)*1.25),2)</f>
        <v>1.69</v>
      </c>
    </row>
    <row r="529" spans="1:107" x14ac:dyDescent="0.2">
      <c r="A529">
        <f>ROW(Source!A169)</f>
        <v>169</v>
      </c>
      <c r="B529">
        <v>16784196</v>
      </c>
      <c r="C529">
        <v>16784970</v>
      </c>
      <c r="D529">
        <v>15247678</v>
      </c>
      <c r="E529">
        <v>1</v>
      </c>
      <c r="F529">
        <v>1</v>
      </c>
      <c r="G529">
        <v>1</v>
      </c>
      <c r="H529">
        <v>2</v>
      </c>
      <c r="I529" t="s">
        <v>609</v>
      </c>
      <c r="J529" t="s">
        <v>610</v>
      </c>
      <c r="K529" t="s">
        <v>611</v>
      </c>
      <c r="L529">
        <v>1368</v>
      </c>
      <c r="N529">
        <v>1011</v>
      </c>
      <c r="O529" t="s">
        <v>501</v>
      </c>
      <c r="P529" t="s">
        <v>501</v>
      </c>
      <c r="Q529">
        <v>1</v>
      </c>
      <c r="W529">
        <v>0</v>
      </c>
      <c r="X529">
        <v>1330025190</v>
      </c>
      <c r="Y529">
        <v>0.22499999999999998</v>
      </c>
      <c r="AA529">
        <v>0</v>
      </c>
      <c r="AB529">
        <v>537.74</v>
      </c>
      <c r="AC529">
        <v>11.6</v>
      </c>
      <c r="AD529">
        <v>0</v>
      </c>
      <c r="AE529">
        <v>0</v>
      </c>
      <c r="AF529">
        <v>88.01</v>
      </c>
      <c r="AG529">
        <v>11.6</v>
      </c>
      <c r="AH529">
        <v>0</v>
      </c>
      <c r="AI529">
        <v>1</v>
      </c>
      <c r="AJ529">
        <v>6.11</v>
      </c>
      <c r="AK529">
        <v>1</v>
      </c>
      <c r="AL529">
        <v>1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6</v>
      </c>
      <c r="AT529">
        <v>0.18</v>
      </c>
      <c r="AU529" t="s">
        <v>27</v>
      </c>
      <c r="AV529">
        <v>0</v>
      </c>
      <c r="AW529">
        <v>2</v>
      </c>
      <c r="AX529">
        <v>16784974</v>
      </c>
      <c r="AY529">
        <v>1</v>
      </c>
      <c r="AZ529">
        <v>0</v>
      </c>
      <c r="BA529">
        <v>562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Y529*Source!I169</f>
        <v>2.6999999999999996E-2</v>
      </c>
      <c r="CY529">
        <f>AB529</f>
        <v>537.74</v>
      </c>
      <c r="CZ529">
        <f>AF529</f>
        <v>88.01</v>
      </c>
      <c r="DA529">
        <f>AJ529</f>
        <v>6.11</v>
      </c>
      <c r="DB529">
        <f>ROUND((ROUND(AT529*CZ529,2)*1.25),2)</f>
        <v>19.8</v>
      </c>
      <c r="DC529">
        <f>ROUND((ROUND(AT529*AG529,2)*1.25),2)</f>
        <v>2.61</v>
      </c>
    </row>
    <row r="530" spans="1:107" x14ac:dyDescent="0.2">
      <c r="A530">
        <f>ROW(Source!A169)</f>
        <v>169</v>
      </c>
      <c r="B530">
        <v>16784196</v>
      </c>
      <c r="C530">
        <v>16784970</v>
      </c>
      <c r="D530">
        <v>15249073</v>
      </c>
      <c r="E530">
        <v>1</v>
      </c>
      <c r="F530">
        <v>1</v>
      </c>
      <c r="G530">
        <v>1</v>
      </c>
      <c r="H530">
        <v>2</v>
      </c>
      <c r="I530" t="s">
        <v>504</v>
      </c>
      <c r="J530" t="s">
        <v>505</v>
      </c>
      <c r="K530" t="s">
        <v>506</v>
      </c>
      <c r="L530">
        <v>1368</v>
      </c>
      <c r="N530">
        <v>1011</v>
      </c>
      <c r="O530" t="s">
        <v>501</v>
      </c>
      <c r="P530" t="s">
        <v>501</v>
      </c>
      <c r="Q530">
        <v>1</v>
      </c>
      <c r="W530">
        <v>0</v>
      </c>
      <c r="X530">
        <v>1372534845</v>
      </c>
      <c r="Y530">
        <v>0.22499999999999998</v>
      </c>
      <c r="AA530">
        <v>0</v>
      </c>
      <c r="AB530">
        <v>401.49</v>
      </c>
      <c r="AC530">
        <v>11.6</v>
      </c>
      <c r="AD530">
        <v>0</v>
      </c>
      <c r="AE530">
        <v>0</v>
      </c>
      <c r="AF530">
        <v>65.709999999999994</v>
      </c>
      <c r="AG530">
        <v>11.6</v>
      </c>
      <c r="AH530">
        <v>0</v>
      </c>
      <c r="AI530">
        <v>1</v>
      </c>
      <c r="AJ530">
        <v>6.11</v>
      </c>
      <c r="AK530">
        <v>1</v>
      </c>
      <c r="AL530">
        <v>1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6</v>
      </c>
      <c r="AT530">
        <v>0.18</v>
      </c>
      <c r="AU530" t="s">
        <v>27</v>
      </c>
      <c r="AV530">
        <v>0</v>
      </c>
      <c r="AW530">
        <v>2</v>
      </c>
      <c r="AX530">
        <v>16784975</v>
      </c>
      <c r="AY530">
        <v>1</v>
      </c>
      <c r="AZ530">
        <v>0</v>
      </c>
      <c r="BA530">
        <v>563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Y530*Source!I169</f>
        <v>2.6999999999999996E-2</v>
      </c>
      <c r="CY530">
        <f>AB530</f>
        <v>401.49</v>
      </c>
      <c r="CZ530">
        <f>AF530</f>
        <v>65.709999999999994</v>
      </c>
      <c r="DA530">
        <f>AJ530</f>
        <v>6.11</v>
      </c>
      <c r="DB530">
        <f>ROUND((ROUND(AT530*CZ530,2)*1.25),2)</f>
        <v>14.79</v>
      </c>
      <c r="DC530">
        <f>ROUND((ROUND(AT530*AG530,2)*1.25),2)</f>
        <v>2.61</v>
      </c>
    </row>
    <row r="531" spans="1:107" x14ac:dyDescent="0.2">
      <c r="A531">
        <f>ROW(Source!A169)</f>
        <v>169</v>
      </c>
      <c r="B531">
        <v>16784196</v>
      </c>
      <c r="C531">
        <v>16784970</v>
      </c>
      <c r="D531">
        <v>15167286</v>
      </c>
      <c r="E531">
        <v>1</v>
      </c>
      <c r="F531">
        <v>1</v>
      </c>
      <c r="G531">
        <v>1</v>
      </c>
      <c r="H531">
        <v>3</v>
      </c>
      <c r="I531" t="s">
        <v>597</v>
      </c>
      <c r="J531" t="s">
        <v>598</v>
      </c>
      <c r="K531" t="s">
        <v>599</v>
      </c>
      <c r="L531">
        <v>1339</v>
      </c>
      <c r="N531">
        <v>1007</v>
      </c>
      <c r="O531" t="s">
        <v>128</v>
      </c>
      <c r="P531" t="s">
        <v>128</v>
      </c>
      <c r="Q531">
        <v>1</v>
      </c>
      <c r="W531">
        <v>0</v>
      </c>
      <c r="X531">
        <v>-1660354250</v>
      </c>
      <c r="Y531">
        <v>0.78600000000000003</v>
      </c>
      <c r="AA531">
        <v>14.91</v>
      </c>
      <c r="AB531">
        <v>0</v>
      </c>
      <c r="AC531">
        <v>0</v>
      </c>
      <c r="AD531">
        <v>0</v>
      </c>
      <c r="AE531">
        <v>2.44</v>
      </c>
      <c r="AF531">
        <v>0</v>
      </c>
      <c r="AG531">
        <v>0</v>
      </c>
      <c r="AH531">
        <v>0</v>
      </c>
      <c r="AI531">
        <v>6.11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0</v>
      </c>
      <c r="AQ531">
        <v>0</v>
      </c>
      <c r="AR531">
        <v>0</v>
      </c>
      <c r="AS531" t="s">
        <v>6</v>
      </c>
      <c r="AT531">
        <v>0.78600000000000003</v>
      </c>
      <c r="AU531" t="s">
        <v>6</v>
      </c>
      <c r="AV531">
        <v>0</v>
      </c>
      <c r="AW531">
        <v>2</v>
      </c>
      <c r="AX531">
        <v>16784976</v>
      </c>
      <c r="AY531">
        <v>1</v>
      </c>
      <c r="AZ531">
        <v>0</v>
      </c>
      <c r="BA531">
        <v>564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Y531*Source!I169</f>
        <v>9.4320000000000001E-2</v>
      </c>
      <c r="CY531">
        <f>AA531</f>
        <v>14.91</v>
      </c>
      <c r="CZ531">
        <f>AE531</f>
        <v>2.44</v>
      </c>
      <c r="DA531">
        <f>AI531</f>
        <v>6.11</v>
      </c>
      <c r="DB531">
        <f>ROUND(ROUND(AT531*CZ531,2),2)</f>
        <v>1.92</v>
      </c>
      <c r="DC531">
        <f>ROUND(ROUND(AT531*AG531,2),2)</f>
        <v>0</v>
      </c>
    </row>
    <row r="532" spans="1:107" x14ac:dyDescent="0.2">
      <c r="A532">
        <f>ROW(Source!A169)</f>
        <v>169</v>
      </c>
      <c r="B532">
        <v>16784196</v>
      </c>
      <c r="C532">
        <v>16784970</v>
      </c>
      <c r="D532">
        <v>15169924</v>
      </c>
      <c r="E532">
        <v>1</v>
      </c>
      <c r="F532">
        <v>1</v>
      </c>
      <c r="G532">
        <v>1</v>
      </c>
      <c r="H532">
        <v>3</v>
      </c>
      <c r="I532" t="s">
        <v>716</v>
      </c>
      <c r="J532" t="s">
        <v>717</v>
      </c>
      <c r="K532" t="s">
        <v>718</v>
      </c>
      <c r="L532">
        <v>1348</v>
      </c>
      <c r="N532">
        <v>1009</v>
      </c>
      <c r="O532" t="s">
        <v>65</v>
      </c>
      <c r="P532" t="s">
        <v>65</v>
      </c>
      <c r="Q532">
        <v>1000</v>
      </c>
      <c r="W532">
        <v>0</v>
      </c>
      <c r="X532">
        <v>-405065451</v>
      </c>
      <c r="Y532">
        <v>2.66E-3</v>
      </c>
      <c r="AA532">
        <v>90611.3</v>
      </c>
      <c r="AB532">
        <v>0</v>
      </c>
      <c r="AC532">
        <v>0</v>
      </c>
      <c r="AD532">
        <v>0</v>
      </c>
      <c r="AE532">
        <v>14830</v>
      </c>
      <c r="AF532">
        <v>0</v>
      </c>
      <c r="AG532">
        <v>0</v>
      </c>
      <c r="AH532">
        <v>0</v>
      </c>
      <c r="AI532">
        <v>6.11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0</v>
      </c>
      <c r="AQ532">
        <v>0</v>
      </c>
      <c r="AR532">
        <v>0</v>
      </c>
      <c r="AS532" t="s">
        <v>6</v>
      </c>
      <c r="AT532">
        <v>2.66E-3</v>
      </c>
      <c r="AU532" t="s">
        <v>6</v>
      </c>
      <c r="AV532">
        <v>0</v>
      </c>
      <c r="AW532">
        <v>2</v>
      </c>
      <c r="AX532">
        <v>16784977</v>
      </c>
      <c r="AY532">
        <v>1</v>
      </c>
      <c r="AZ532">
        <v>0</v>
      </c>
      <c r="BA532">
        <v>565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Y532*Source!I169</f>
        <v>3.1920000000000001E-4</v>
      </c>
      <c r="CY532">
        <f>AA532</f>
        <v>90611.3</v>
      </c>
      <c r="CZ532">
        <f>AE532</f>
        <v>14830</v>
      </c>
      <c r="DA532">
        <f>AI532</f>
        <v>6.11</v>
      </c>
      <c r="DB532">
        <f>ROUND(ROUND(AT532*CZ532,2),2)</f>
        <v>39.450000000000003</v>
      </c>
      <c r="DC532">
        <f>ROUND(ROUND(AT532*AG532,2),2)</f>
        <v>0</v>
      </c>
    </row>
    <row r="533" spans="1:107" x14ac:dyDescent="0.2">
      <c r="A533">
        <f>ROW(Source!A169)</f>
        <v>169</v>
      </c>
      <c r="B533">
        <v>16784196</v>
      </c>
      <c r="C533">
        <v>16784970</v>
      </c>
      <c r="D533">
        <v>15163179</v>
      </c>
      <c r="E533">
        <v>17</v>
      </c>
      <c r="F533">
        <v>1</v>
      </c>
      <c r="G533">
        <v>1</v>
      </c>
      <c r="H533">
        <v>3</v>
      </c>
      <c r="I533" t="s">
        <v>369</v>
      </c>
      <c r="J533" t="s">
        <v>6</v>
      </c>
      <c r="K533" t="s">
        <v>370</v>
      </c>
      <c r="L533">
        <v>1301</v>
      </c>
      <c r="N533">
        <v>1003</v>
      </c>
      <c r="O533" t="s">
        <v>45</v>
      </c>
      <c r="P533" t="s">
        <v>45</v>
      </c>
      <c r="Q533">
        <v>1</v>
      </c>
      <c r="W533">
        <v>0</v>
      </c>
      <c r="X533">
        <v>812714132</v>
      </c>
      <c r="Y533">
        <v>99.8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6.11</v>
      </c>
      <c r="AJ533">
        <v>1</v>
      </c>
      <c r="AK533">
        <v>1</v>
      </c>
      <c r="AL533">
        <v>1</v>
      </c>
      <c r="AN533">
        <v>0</v>
      </c>
      <c r="AO533">
        <v>0</v>
      </c>
      <c r="AP533">
        <v>0</v>
      </c>
      <c r="AQ533">
        <v>0</v>
      </c>
      <c r="AR533">
        <v>0</v>
      </c>
      <c r="AS533" t="s">
        <v>6</v>
      </c>
      <c r="AT533">
        <v>99.8</v>
      </c>
      <c r="AU533" t="s">
        <v>6</v>
      </c>
      <c r="AV533">
        <v>0</v>
      </c>
      <c r="AW533">
        <v>2</v>
      </c>
      <c r="AX533">
        <v>16784981</v>
      </c>
      <c r="AY533">
        <v>1</v>
      </c>
      <c r="AZ533">
        <v>0</v>
      </c>
      <c r="BA533">
        <v>569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Y533*Source!I169</f>
        <v>11.975999999999999</v>
      </c>
      <c r="CY533">
        <f>AA533</f>
        <v>0</v>
      </c>
      <c r="CZ533">
        <f>AE533</f>
        <v>0</v>
      </c>
      <c r="DA533">
        <f>AI533</f>
        <v>6.11</v>
      </c>
      <c r="DB533">
        <f>ROUND(ROUND(AT533*CZ533,2),2)</f>
        <v>0</v>
      </c>
      <c r="DC533">
        <f>ROUND(ROUND(AT533*AG533,2),2)</f>
        <v>0</v>
      </c>
    </row>
    <row r="534" spans="1:107" x14ac:dyDescent="0.2">
      <c r="A534">
        <f>ROW(Source!A169)</f>
        <v>169</v>
      </c>
      <c r="B534">
        <v>16784196</v>
      </c>
      <c r="C534">
        <v>16784970</v>
      </c>
      <c r="D534">
        <v>15233506</v>
      </c>
      <c r="E534">
        <v>1</v>
      </c>
      <c r="F534">
        <v>1</v>
      </c>
      <c r="G534">
        <v>1</v>
      </c>
      <c r="H534">
        <v>3</v>
      </c>
      <c r="I534" t="s">
        <v>365</v>
      </c>
      <c r="J534" t="s">
        <v>367</v>
      </c>
      <c r="K534" t="s">
        <v>366</v>
      </c>
      <c r="L534">
        <v>1301</v>
      </c>
      <c r="N534">
        <v>1003</v>
      </c>
      <c r="O534" t="s">
        <v>45</v>
      </c>
      <c r="P534" t="s">
        <v>45</v>
      </c>
      <c r="Q534">
        <v>1</v>
      </c>
      <c r="W534">
        <v>0</v>
      </c>
      <c r="X534">
        <v>1231130266</v>
      </c>
      <c r="Y534">
        <v>99.8</v>
      </c>
      <c r="AA534">
        <v>265.91000000000003</v>
      </c>
      <c r="AB534">
        <v>0</v>
      </c>
      <c r="AC534">
        <v>0</v>
      </c>
      <c r="AD534">
        <v>0</v>
      </c>
      <c r="AE534">
        <v>43.52</v>
      </c>
      <c r="AF534">
        <v>0</v>
      </c>
      <c r="AG534">
        <v>0</v>
      </c>
      <c r="AH534">
        <v>0</v>
      </c>
      <c r="AI534">
        <v>6.11</v>
      </c>
      <c r="AJ534">
        <v>1</v>
      </c>
      <c r="AK534">
        <v>1</v>
      </c>
      <c r="AL534">
        <v>1</v>
      </c>
      <c r="AN534">
        <v>0</v>
      </c>
      <c r="AO534">
        <v>0</v>
      </c>
      <c r="AP534">
        <v>0</v>
      </c>
      <c r="AQ534">
        <v>0</v>
      </c>
      <c r="AR534">
        <v>0</v>
      </c>
      <c r="AS534" t="s">
        <v>6</v>
      </c>
      <c r="AT534">
        <v>99.8</v>
      </c>
      <c r="AU534" t="s">
        <v>6</v>
      </c>
      <c r="AV534">
        <v>0</v>
      </c>
      <c r="AW534">
        <v>1</v>
      </c>
      <c r="AX534">
        <v>-1</v>
      </c>
      <c r="AY534">
        <v>0</v>
      </c>
      <c r="AZ534">
        <v>0</v>
      </c>
      <c r="BA534" t="s">
        <v>6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Y534*Source!I169</f>
        <v>11.975999999999999</v>
      </c>
      <c r="CY534">
        <f>AA534</f>
        <v>265.91000000000003</v>
      </c>
      <c r="CZ534">
        <f>AE534</f>
        <v>43.52</v>
      </c>
      <c r="DA534">
        <f>AI534</f>
        <v>6.11</v>
      </c>
      <c r="DB534">
        <f>ROUND(ROUND(AT534*CZ534,2),2)</f>
        <v>4343.3</v>
      </c>
      <c r="DC534">
        <f>ROUND(ROUND(AT534*AG534,2),2)</f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0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16784262</v>
      </c>
      <c r="C1">
        <v>16784258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493</v>
      </c>
      <c r="J1" t="s">
        <v>6</v>
      </c>
      <c r="K1" t="s">
        <v>494</v>
      </c>
      <c r="L1">
        <v>1191</v>
      </c>
      <c r="N1">
        <v>1013</v>
      </c>
      <c r="O1" t="s">
        <v>495</v>
      </c>
      <c r="P1" t="s">
        <v>495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16784259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16784263</v>
      </c>
      <c r="C2">
        <v>16784258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496</v>
      </c>
      <c r="J2" t="s">
        <v>6</v>
      </c>
      <c r="K2" t="s">
        <v>497</v>
      </c>
      <c r="L2">
        <v>1191</v>
      </c>
      <c r="N2">
        <v>1013</v>
      </c>
      <c r="O2" t="s">
        <v>495</v>
      </c>
      <c r="P2" t="s">
        <v>495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16784260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16784264</v>
      </c>
      <c r="C3">
        <v>16784258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498</v>
      </c>
      <c r="J3" t="s">
        <v>499</v>
      </c>
      <c r="K3" t="s">
        <v>500</v>
      </c>
      <c r="L3">
        <v>1368</v>
      </c>
      <c r="N3">
        <v>1011</v>
      </c>
      <c r="O3" t="s">
        <v>501</v>
      </c>
      <c r="P3" t="s">
        <v>501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16784261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ROW(Source!A25)</f>
        <v>25</v>
      </c>
      <c r="B4">
        <v>16784262</v>
      </c>
      <c r="C4">
        <v>16784258</v>
      </c>
      <c r="D4">
        <v>15433667</v>
      </c>
      <c r="E4">
        <v>1</v>
      </c>
      <c r="F4">
        <v>1</v>
      </c>
      <c r="G4">
        <v>1</v>
      </c>
      <c r="H4">
        <v>1</v>
      </c>
      <c r="I4" t="s">
        <v>493</v>
      </c>
      <c r="J4" t="s">
        <v>6</v>
      </c>
      <c r="K4" t="s">
        <v>494</v>
      </c>
      <c r="L4">
        <v>1191</v>
      </c>
      <c r="N4">
        <v>1013</v>
      </c>
      <c r="O4" t="s">
        <v>495</v>
      </c>
      <c r="P4" t="s">
        <v>495</v>
      </c>
      <c r="Q4">
        <v>1</v>
      </c>
      <c r="X4">
        <v>188.54</v>
      </c>
      <c r="Y4">
        <v>0</v>
      </c>
      <c r="Z4">
        <v>0</v>
      </c>
      <c r="AA4">
        <v>0</v>
      </c>
      <c r="AB4">
        <v>8.09</v>
      </c>
      <c r="AC4">
        <v>0</v>
      </c>
      <c r="AD4">
        <v>1</v>
      </c>
      <c r="AE4">
        <v>1</v>
      </c>
      <c r="AF4" t="s">
        <v>6</v>
      </c>
      <c r="AG4">
        <v>188.54</v>
      </c>
      <c r="AH4">
        <v>2</v>
      </c>
      <c r="AI4">
        <v>16784259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ROW(Source!A25)</f>
        <v>25</v>
      </c>
      <c r="B5">
        <v>16784263</v>
      </c>
      <c r="C5">
        <v>16784258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496</v>
      </c>
      <c r="J5" t="s">
        <v>6</v>
      </c>
      <c r="K5" t="s">
        <v>497</v>
      </c>
      <c r="L5">
        <v>1191</v>
      </c>
      <c r="N5">
        <v>1013</v>
      </c>
      <c r="O5" t="s">
        <v>495</v>
      </c>
      <c r="P5" t="s">
        <v>495</v>
      </c>
      <c r="Q5">
        <v>1</v>
      </c>
      <c r="X5">
        <v>7.74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6</v>
      </c>
      <c r="AG5">
        <v>7.74</v>
      </c>
      <c r="AH5">
        <v>2</v>
      </c>
      <c r="AI5">
        <v>16784260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ROW(Source!A25)</f>
        <v>25</v>
      </c>
      <c r="B6">
        <v>16784264</v>
      </c>
      <c r="C6">
        <v>16784258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498</v>
      </c>
      <c r="J6" t="s">
        <v>499</v>
      </c>
      <c r="K6" t="s">
        <v>500</v>
      </c>
      <c r="L6">
        <v>1368</v>
      </c>
      <c r="N6">
        <v>1011</v>
      </c>
      <c r="O6" t="s">
        <v>501</v>
      </c>
      <c r="P6" t="s">
        <v>501</v>
      </c>
      <c r="Q6">
        <v>1</v>
      </c>
      <c r="X6">
        <v>7.74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6</v>
      </c>
      <c r="AG6">
        <v>7.74</v>
      </c>
      <c r="AH6">
        <v>2</v>
      </c>
      <c r="AI6">
        <v>16784261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ROW(Source!A26)</f>
        <v>26</v>
      </c>
      <c r="B7">
        <v>16784277</v>
      </c>
      <c r="C7">
        <v>16784265</v>
      </c>
      <c r="D7">
        <v>15436014</v>
      </c>
      <c r="E7">
        <v>1</v>
      </c>
      <c r="F7">
        <v>1</v>
      </c>
      <c r="G7">
        <v>1</v>
      </c>
      <c r="H7">
        <v>1</v>
      </c>
      <c r="I7" t="s">
        <v>502</v>
      </c>
      <c r="J7" t="s">
        <v>6</v>
      </c>
      <c r="K7" t="s">
        <v>503</v>
      </c>
      <c r="L7">
        <v>1191</v>
      </c>
      <c r="N7">
        <v>1013</v>
      </c>
      <c r="O7" t="s">
        <v>495</v>
      </c>
      <c r="P7" t="s">
        <v>495</v>
      </c>
      <c r="Q7">
        <v>1</v>
      </c>
      <c r="X7">
        <v>145.72</v>
      </c>
      <c r="Y7">
        <v>0</v>
      </c>
      <c r="Z7">
        <v>0</v>
      </c>
      <c r="AA7">
        <v>0</v>
      </c>
      <c r="AB7">
        <v>8.74</v>
      </c>
      <c r="AC7">
        <v>0</v>
      </c>
      <c r="AD7">
        <v>1</v>
      </c>
      <c r="AE7">
        <v>1</v>
      </c>
      <c r="AF7" t="s">
        <v>28</v>
      </c>
      <c r="AG7">
        <v>167.57799999999997</v>
      </c>
      <c r="AH7">
        <v>2</v>
      </c>
      <c r="AI7">
        <v>16784273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ROW(Source!A26)</f>
        <v>26</v>
      </c>
      <c r="B8">
        <v>16784278</v>
      </c>
      <c r="C8">
        <v>16784265</v>
      </c>
      <c r="D8">
        <v>15430395</v>
      </c>
      <c r="E8">
        <v>1</v>
      </c>
      <c r="F8">
        <v>1</v>
      </c>
      <c r="G8">
        <v>1</v>
      </c>
      <c r="H8">
        <v>1</v>
      </c>
      <c r="I8" t="s">
        <v>496</v>
      </c>
      <c r="J8" t="s">
        <v>6</v>
      </c>
      <c r="K8" t="s">
        <v>497</v>
      </c>
      <c r="L8">
        <v>1191</v>
      </c>
      <c r="N8">
        <v>1013</v>
      </c>
      <c r="O8" t="s">
        <v>495</v>
      </c>
      <c r="P8" t="s">
        <v>495</v>
      </c>
      <c r="Q8">
        <v>1</v>
      </c>
      <c r="X8">
        <v>4.2300000000000004</v>
      </c>
      <c r="Y8">
        <v>0</v>
      </c>
      <c r="Z8">
        <v>0</v>
      </c>
      <c r="AA8">
        <v>0</v>
      </c>
      <c r="AB8">
        <v>0</v>
      </c>
      <c r="AC8">
        <v>0</v>
      </c>
      <c r="AD8">
        <v>1</v>
      </c>
      <c r="AE8">
        <v>2</v>
      </c>
      <c r="AF8" t="s">
        <v>27</v>
      </c>
      <c r="AG8">
        <v>5.2875000000000005</v>
      </c>
      <c r="AH8">
        <v>2</v>
      </c>
      <c r="AI8">
        <v>16784274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ROW(Source!A26)</f>
        <v>26</v>
      </c>
      <c r="B9">
        <v>16784279</v>
      </c>
      <c r="C9">
        <v>16784265</v>
      </c>
      <c r="D9">
        <v>15247974</v>
      </c>
      <c r="E9">
        <v>1</v>
      </c>
      <c r="F9">
        <v>1</v>
      </c>
      <c r="G9">
        <v>1</v>
      </c>
      <c r="H9">
        <v>2</v>
      </c>
      <c r="I9" t="s">
        <v>498</v>
      </c>
      <c r="J9" t="s">
        <v>499</v>
      </c>
      <c r="K9" t="s">
        <v>500</v>
      </c>
      <c r="L9">
        <v>1368</v>
      </c>
      <c r="N9">
        <v>1011</v>
      </c>
      <c r="O9" t="s">
        <v>501</v>
      </c>
      <c r="P9" t="s">
        <v>501</v>
      </c>
      <c r="Q9">
        <v>1</v>
      </c>
      <c r="X9">
        <v>0.66</v>
      </c>
      <c r="Y9">
        <v>0</v>
      </c>
      <c r="Z9">
        <v>31.26</v>
      </c>
      <c r="AA9">
        <v>13.5</v>
      </c>
      <c r="AB9">
        <v>0</v>
      </c>
      <c r="AC9">
        <v>0</v>
      </c>
      <c r="AD9">
        <v>1</v>
      </c>
      <c r="AE9">
        <v>0</v>
      </c>
      <c r="AF9" t="s">
        <v>27</v>
      </c>
      <c r="AG9">
        <v>0.82500000000000007</v>
      </c>
      <c r="AH9">
        <v>2</v>
      </c>
      <c r="AI9">
        <v>16784275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ROW(Source!A26)</f>
        <v>26</v>
      </c>
      <c r="B10">
        <v>16784280</v>
      </c>
      <c r="C10">
        <v>16784265</v>
      </c>
      <c r="D10">
        <v>15249073</v>
      </c>
      <c r="E10">
        <v>1</v>
      </c>
      <c r="F10">
        <v>1</v>
      </c>
      <c r="G10">
        <v>1</v>
      </c>
      <c r="H10">
        <v>2</v>
      </c>
      <c r="I10" t="s">
        <v>504</v>
      </c>
      <c r="J10" t="s">
        <v>505</v>
      </c>
      <c r="K10" t="s">
        <v>506</v>
      </c>
      <c r="L10">
        <v>1368</v>
      </c>
      <c r="N10">
        <v>1011</v>
      </c>
      <c r="O10" t="s">
        <v>501</v>
      </c>
      <c r="P10" t="s">
        <v>501</v>
      </c>
      <c r="Q10">
        <v>1</v>
      </c>
      <c r="X10">
        <v>3.57</v>
      </c>
      <c r="Y10">
        <v>0</v>
      </c>
      <c r="Z10">
        <v>65.709999999999994</v>
      </c>
      <c r="AA10">
        <v>11.6</v>
      </c>
      <c r="AB10">
        <v>0</v>
      </c>
      <c r="AC10">
        <v>0</v>
      </c>
      <c r="AD10">
        <v>1</v>
      </c>
      <c r="AE10">
        <v>0</v>
      </c>
      <c r="AF10" t="s">
        <v>27</v>
      </c>
      <c r="AG10">
        <v>4.4624999999999995</v>
      </c>
      <c r="AH10">
        <v>2</v>
      </c>
      <c r="AI10">
        <v>16784276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16784281</v>
      </c>
      <c r="C11">
        <v>16784265</v>
      </c>
      <c r="D11">
        <v>15167551</v>
      </c>
      <c r="E11">
        <v>1</v>
      </c>
      <c r="F11">
        <v>1</v>
      </c>
      <c r="G11">
        <v>1</v>
      </c>
      <c r="H11">
        <v>3</v>
      </c>
      <c r="I11" t="s">
        <v>507</v>
      </c>
      <c r="J11" t="s">
        <v>508</v>
      </c>
      <c r="K11" t="s">
        <v>509</v>
      </c>
      <c r="L11">
        <v>1301</v>
      </c>
      <c r="N11">
        <v>1003</v>
      </c>
      <c r="O11" t="s">
        <v>45</v>
      </c>
      <c r="P11" t="s">
        <v>45</v>
      </c>
      <c r="Q11">
        <v>1</v>
      </c>
      <c r="X11">
        <v>244</v>
      </c>
      <c r="Y11">
        <v>6.38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244</v>
      </c>
      <c r="AH11">
        <v>2</v>
      </c>
      <c r="AI11">
        <v>16784266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16784282</v>
      </c>
      <c r="C12">
        <v>16784265</v>
      </c>
      <c r="D12">
        <v>15167552</v>
      </c>
      <c r="E12">
        <v>1</v>
      </c>
      <c r="F12">
        <v>1</v>
      </c>
      <c r="G12">
        <v>1</v>
      </c>
      <c r="H12">
        <v>3</v>
      </c>
      <c r="I12" t="s">
        <v>510</v>
      </c>
      <c r="J12" t="s">
        <v>511</v>
      </c>
      <c r="K12" t="s">
        <v>512</v>
      </c>
      <c r="L12">
        <v>1301</v>
      </c>
      <c r="N12">
        <v>1003</v>
      </c>
      <c r="O12" t="s">
        <v>45</v>
      </c>
      <c r="P12" t="s">
        <v>45</v>
      </c>
      <c r="Q12">
        <v>1</v>
      </c>
      <c r="X12">
        <v>56</v>
      </c>
      <c r="Y12">
        <v>7.95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6</v>
      </c>
      <c r="AG12">
        <v>56</v>
      </c>
      <c r="AH12">
        <v>2</v>
      </c>
      <c r="AI12">
        <v>16784267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16784283</v>
      </c>
      <c r="C13">
        <v>16784265</v>
      </c>
      <c r="D13">
        <v>15167640</v>
      </c>
      <c r="E13">
        <v>1</v>
      </c>
      <c r="F13">
        <v>1</v>
      </c>
      <c r="G13">
        <v>1</v>
      </c>
      <c r="H13">
        <v>3</v>
      </c>
      <c r="I13" t="s">
        <v>513</v>
      </c>
      <c r="J13" t="s">
        <v>514</v>
      </c>
      <c r="K13" t="s">
        <v>515</v>
      </c>
      <c r="L13">
        <v>1302</v>
      </c>
      <c r="N13">
        <v>1003</v>
      </c>
      <c r="O13" t="s">
        <v>74</v>
      </c>
      <c r="P13" t="s">
        <v>74</v>
      </c>
      <c r="Q13">
        <v>10</v>
      </c>
      <c r="X13">
        <v>15.6</v>
      </c>
      <c r="Y13">
        <v>64.099999999999994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15.6</v>
      </c>
      <c r="AH13">
        <v>2</v>
      </c>
      <c r="AI13">
        <v>16784268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ROW(Source!A26)</f>
        <v>26</v>
      </c>
      <c r="B14">
        <v>16784284</v>
      </c>
      <c r="C14">
        <v>16784265</v>
      </c>
      <c r="D14">
        <v>15170065</v>
      </c>
      <c r="E14">
        <v>1</v>
      </c>
      <c r="F14">
        <v>1</v>
      </c>
      <c r="G14">
        <v>1</v>
      </c>
      <c r="H14">
        <v>3</v>
      </c>
      <c r="I14" t="s">
        <v>516</v>
      </c>
      <c r="J14" t="s">
        <v>517</v>
      </c>
      <c r="K14" t="s">
        <v>518</v>
      </c>
      <c r="L14">
        <v>1358</v>
      </c>
      <c r="N14">
        <v>1010</v>
      </c>
      <c r="O14" t="s">
        <v>519</v>
      </c>
      <c r="P14" t="s">
        <v>519</v>
      </c>
      <c r="Q14">
        <v>10</v>
      </c>
      <c r="X14">
        <v>38.9</v>
      </c>
      <c r="Y14">
        <v>7.03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38.9</v>
      </c>
      <c r="AH14">
        <v>2</v>
      </c>
      <c r="AI14">
        <v>16784269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ROW(Source!A26)</f>
        <v>26</v>
      </c>
      <c r="B15">
        <v>16784285</v>
      </c>
      <c r="C15">
        <v>16784265</v>
      </c>
      <c r="D15">
        <v>15162466</v>
      </c>
      <c r="E15">
        <v>17</v>
      </c>
      <c r="F15">
        <v>1</v>
      </c>
      <c r="G15">
        <v>1</v>
      </c>
      <c r="H15">
        <v>3</v>
      </c>
      <c r="I15" t="s">
        <v>769</v>
      </c>
      <c r="J15" t="s">
        <v>6</v>
      </c>
      <c r="K15" t="s">
        <v>770</v>
      </c>
      <c r="L15">
        <v>1327</v>
      </c>
      <c r="N15">
        <v>1005</v>
      </c>
      <c r="O15" t="s">
        <v>35</v>
      </c>
      <c r="P15" t="s">
        <v>35</v>
      </c>
      <c r="Q15">
        <v>1</v>
      </c>
      <c r="X15">
        <v>100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 t="s">
        <v>6</v>
      </c>
      <c r="AG15">
        <v>100</v>
      </c>
      <c r="AH15">
        <v>3</v>
      </c>
      <c r="AI15">
        <v>-1</v>
      </c>
      <c r="AJ15" t="s">
        <v>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ROW(Source!A26)</f>
        <v>26</v>
      </c>
      <c r="B16">
        <v>16784286</v>
      </c>
      <c r="C16">
        <v>16784265</v>
      </c>
      <c r="D16">
        <v>15197780</v>
      </c>
      <c r="E16">
        <v>1</v>
      </c>
      <c r="F16">
        <v>1</v>
      </c>
      <c r="G16">
        <v>1</v>
      </c>
      <c r="H16">
        <v>3</v>
      </c>
      <c r="I16" t="s">
        <v>520</v>
      </c>
      <c r="J16" t="s">
        <v>521</v>
      </c>
      <c r="K16" t="s">
        <v>522</v>
      </c>
      <c r="L16">
        <v>1355</v>
      </c>
      <c r="N16">
        <v>1010</v>
      </c>
      <c r="O16" t="s">
        <v>523</v>
      </c>
      <c r="P16" t="s">
        <v>523</v>
      </c>
      <c r="Q16">
        <v>100</v>
      </c>
      <c r="X16">
        <v>8</v>
      </c>
      <c r="Y16">
        <v>50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6</v>
      </c>
      <c r="AG16">
        <v>8</v>
      </c>
      <c r="AH16">
        <v>2</v>
      </c>
      <c r="AI16">
        <v>16784270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ROW(Source!A26)</f>
        <v>26</v>
      </c>
      <c r="B17">
        <v>16784287</v>
      </c>
      <c r="C17">
        <v>16784265</v>
      </c>
      <c r="D17">
        <v>15204239</v>
      </c>
      <c r="E17">
        <v>1</v>
      </c>
      <c r="F17">
        <v>1</v>
      </c>
      <c r="G17">
        <v>1</v>
      </c>
      <c r="H17">
        <v>3</v>
      </c>
      <c r="I17" t="s">
        <v>524</v>
      </c>
      <c r="J17" t="s">
        <v>525</v>
      </c>
      <c r="K17" t="s">
        <v>526</v>
      </c>
      <c r="L17">
        <v>1354</v>
      </c>
      <c r="N17">
        <v>1010</v>
      </c>
      <c r="O17" t="s">
        <v>277</v>
      </c>
      <c r="P17" t="s">
        <v>277</v>
      </c>
      <c r="Q17">
        <v>1</v>
      </c>
      <c r="X17">
        <v>69</v>
      </c>
      <c r="Y17">
        <v>67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69</v>
      </c>
      <c r="AH17">
        <v>2</v>
      </c>
      <c r="AI17">
        <v>16784271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ROW(Source!A27)</f>
        <v>27</v>
      </c>
      <c r="B18">
        <v>16784277</v>
      </c>
      <c r="C18">
        <v>16784265</v>
      </c>
      <c r="D18">
        <v>15436014</v>
      </c>
      <c r="E18">
        <v>1</v>
      </c>
      <c r="F18">
        <v>1</v>
      </c>
      <c r="G18">
        <v>1</v>
      </c>
      <c r="H18">
        <v>1</v>
      </c>
      <c r="I18" t="s">
        <v>502</v>
      </c>
      <c r="J18" t="s">
        <v>6</v>
      </c>
      <c r="K18" t="s">
        <v>503</v>
      </c>
      <c r="L18">
        <v>1191</v>
      </c>
      <c r="N18">
        <v>1013</v>
      </c>
      <c r="O18" t="s">
        <v>495</v>
      </c>
      <c r="P18" t="s">
        <v>495</v>
      </c>
      <c r="Q18">
        <v>1</v>
      </c>
      <c r="X18">
        <v>145.72</v>
      </c>
      <c r="Y18">
        <v>0</v>
      </c>
      <c r="Z18">
        <v>0</v>
      </c>
      <c r="AA18">
        <v>0</v>
      </c>
      <c r="AB18">
        <v>8.74</v>
      </c>
      <c r="AC18">
        <v>0</v>
      </c>
      <c r="AD18">
        <v>1</v>
      </c>
      <c r="AE18">
        <v>1</v>
      </c>
      <c r="AF18" t="s">
        <v>28</v>
      </c>
      <c r="AG18">
        <v>167.57799999999997</v>
      </c>
      <c r="AH18">
        <v>2</v>
      </c>
      <c r="AI18">
        <v>16784273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ROW(Source!A27)</f>
        <v>27</v>
      </c>
      <c r="B19">
        <v>16784278</v>
      </c>
      <c r="C19">
        <v>16784265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496</v>
      </c>
      <c r="J19" t="s">
        <v>6</v>
      </c>
      <c r="K19" t="s">
        <v>497</v>
      </c>
      <c r="L19">
        <v>1191</v>
      </c>
      <c r="N19">
        <v>1013</v>
      </c>
      <c r="O19" t="s">
        <v>495</v>
      </c>
      <c r="P19" t="s">
        <v>495</v>
      </c>
      <c r="Q19">
        <v>1</v>
      </c>
      <c r="X19">
        <v>4.2300000000000004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</v>
      </c>
      <c r="AF19" t="s">
        <v>27</v>
      </c>
      <c r="AG19">
        <v>5.2875000000000005</v>
      </c>
      <c r="AH19">
        <v>2</v>
      </c>
      <c r="AI19">
        <v>16784274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ROW(Source!A27)</f>
        <v>27</v>
      </c>
      <c r="B20">
        <v>16784279</v>
      </c>
      <c r="C20">
        <v>16784265</v>
      </c>
      <c r="D20">
        <v>15247974</v>
      </c>
      <c r="E20">
        <v>1</v>
      </c>
      <c r="F20">
        <v>1</v>
      </c>
      <c r="G20">
        <v>1</v>
      </c>
      <c r="H20">
        <v>2</v>
      </c>
      <c r="I20" t="s">
        <v>498</v>
      </c>
      <c r="J20" t="s">
        <v>499</v>
      </c>
      <c r="K20" t="s">
        <v>500</v>
      </c>
      <c r="L20">
        <v>1368</v>
      </c>
      <c r="N20">
        <v>1011</v>
      </c>
      <c r="O20" t="s">
        <v>501</v>
      </c>
      <c r="P20" t="s">
        <v>501</v>
      </c>
      <c r="Q20">
        <v>1</v>
      </c>
      <c r="X20">
        <v>0.66</v>
      </c>
      <c r="Y20">
        <v>0</v>
      </c>
      <c r="Z20">
        <v>31.26</v>
      </c>
      <c r="AA20">
        <v>13.5</v>
      </c>
      <c r="AB20">
        <v>0</v>
      </c>
      <c r="AC20">
        <v>0</v>
      </c>
      <c r="AD20">
        <v>1</v>
      </c>
      <c r="AE20">
        <v>0</v>
      </c>
      <c r="AF20" t="s">
        <v>27</v>
      </c>
      <c r="AG20">
        <v>0.82500000000000007</v>
      </c>
      <c r="AH20">
        <v>2</v>
      </c>
      <c r="AI20">
        <v>16784275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ROW(Source!A27)</f>
        <v>27</v>
      </c>
      <c r="B21">
        <v>16784280</v>
      </c>
      <c r="C21">
        <v>16784265</v>
      </c>
      <c r="D21">
        <v>15249073</v>
      </c>
      <c r="E21">
        <v>1</v>
      </c>
      <c r="F21">
        <v>1</v>
      </c>
      <c r="G21">
        <v>1</v>
      </c>
      <c r="H21">
        <v>2</v>
      </c>
      <c r="I21" t="s">
        <v>504</v>
      </c>
      <c r="J21" t="s">
        <v>505</v>
      </c>
      <c r="K21" t="s">
        <v>506</v>
      </c>
      <c r="L21">
        <v>1368</v>
      </c>
      <c r="N21">
        <v>1011</v>
      </c>
      <c r="O21" t="s">
        <v>501</v>
      </c>
      <c r="P21" t="s">
        <v>501</v>
      </c>
      <c r="Q21">
        <v>1</v>
      </c>
      <c r="X21">
        <v>3.57</v>
      </c>
      <c r="Y21">
        <v>0</v>
      </c>
      <c r="Z21">
        <v>65.709999999999994</v>
      </c>
      <c r="AA21">
        <v>11.6</v>
      </c>
      <c r="AB21">
        <v>0</v>
      </c>
      <c r="AC21">
        <v>0</v>
      </c>
      <c r="AD21">
        <v>1</v>
      </c>
      <c r="AE21">
        <v>0</v>
      </c>
      <c r="AF21" t="s">
        <v>27</v>
      </c>
      <c r="AG21">
        <v>4.4624999999999995</v>
      </c>
      <c r="AH21">
        <v>2</v>
      </c>
      <c r="AI21">
        <v>16784276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ROW(Source!A27)</f>
        <v>27</v>
      </c>
      <c r="B22">
        <v>16784281</v>
      </c>
      <c r="C22">
        <v>16784265</v>
      </c>
      <c r="D22">
        <v>15167551</v>
      </c>
      <c r="E22">
        <v>1</v>
      </c>
      <c r="F22">
        <v>1</v>
      </c>
      <c r="G22">
        <v>1</v>
      </c>
      <c r="H22">
        <v>3</v>
      </c>
      <c r="I22" t="s">
        <v>507</v>
      </c>
      <c r="J22" t="s">
        <v>508</v>
      </c>
      <c r="K22" t="s">
        <v>509</v>
      </c>
      <c r="L22">
        <v>1301</v>
      </c>
      <c r="N22">
        <v>1003</v>
      </c>
      <c r="O22" t="s">
        <v>45</v>
      </c>
      <c r="P22" t="s">
        <v>45</v>
      </c>
      <c r="Q22">
        <v>1</v>
      </c>
      <c r="X22">
        <v>244</v>
      </c>
      <c r="Y22">
        <v>6.38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6</v>
      </c>
      <c r="AG22">
        <v>244</v>
      </c>
      <c r="AH22">
        <v>2</v>
      </c>
      <c r="AI22">
        <v>16784266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ROW(Source!A27)</f>
        <v>27</v>
      </c>
      <c r="B23">
        <v>16784282</v>
      </c>
      <c r="C23">
        <v>16784265</v>
      </c>
      <c r="D23">
        <v>15167552</v>
      </c>
      <c r="E23">
        <v>1</v>
      </c>
      <c r="F23">
        <v>1</v>
      </c>
      <c r="G23">
        <v>1</v>
      </c>
      <c r="H23">
        <v>3</v>
      </c>
      <c r="I23" t="s">
        <v>510</v>
      </c>
      <c r="J23" t="s">
        <v>511</v>
      </c>
      <c r="K23" t="s">
        <v>512</v>
      </c>
      <c r="L23">
        <v>1301</v>
      </c>
      <c r="N23">
        <v>1003</v>
      </c>
      <c r="O23" t="s">
        <v>45</v>
      </c>
      <c r="P23" t="s">
        <v>45</v>
      </c>
      <c r="Q23">
        <v>1</v>
      </c>
      <c r="X23">
        <v>56</v>
      </c>
      <c r="Y23">
        <v>7.95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6</v>
      </c>
      <c r="AG23">
        <v>56</v>
      </c>
      <c r="AH23">
        <v>2</v>
      </c>
      <c r="AI23">
        <v>16784267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ROW(Source!A27)</f>
        <v>27</v>
      </c>
      <c r="B24">
        <v>16784283</v>
      </c>
      <c r="C24">
        <v>16784265</v>
      </c>
      <c r="D24">
        <v>15167640</v>
      </c>
      <c r="E24">
        <v>1</v>
      </c>
      <c r="F24">
        <v>1</v>
      </c>
      <c r="G24">
        <v>1</v>
      </c>
      <c r="H24">
        <v>3</v>
      </c>
      <c r="I24" t="s">
        <v>513</v>
      </c>
      <c r="J24" t="s">
        <v>514</v>
      </c>
      <c r="K24" t="s">
        <v>515</v>
      </c>
      <c r="L24">
        <v>1302</v>
      </c>
      <c r="N24">
        <v>1003</v>
      </c>
      <c r="O24" t="s">
        <v>74</v>
      </c>
      <c r="P24" t="s">
        <v>74</v>
      </c>
      <c r="Q24">
        <v>10</v>
      </c>
      <c r="X24">
        <v>15.6</v>
      </c>
      <c r="Y24">
        <v>64.099999999999994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15.6</v>
      </c>
      <c r="AH24">
        <v>2</v>
      </c>
      <c r="AI24">
        <v>16784268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ROW(Source!A27)</f>
        <v>27</v>
      </c>
      <c r="B25">
        <v>16784284</v>
      </c>
      <c r="C25">
        <v>16784265</v>
      </c>
      <c r="D25">
        <v>15170065</v>
      </c>
      <c r="E25">
        <v>1</v>
      </c>
      <c r="F25">
        <v>1</v>
      </c>
      <c r="G25">
        <v>1</v>
      </c>
      <c r="H25">
        <v>3</v>
      </c>
      <c r="I25" t="s">
        <v>516</v>
      </c>
      <c r="J25" t="s">
        <v>517</v>
      </c>
      <c r="K25" t="s">
        <v>518</v>
      </c>
      <c r="L25">
        <v>1358</v>
      </c>
      <c r="N25">
        <v>1010</v>
      </c>
      <c r="O25" t="s">
        <v>519</v>
      </c>
      <c r="P25" t="s">
        <v>519</v>
      </c>
      <c r="Q25">
        <v>10</v>
      </c>
      <c r="X25">
        <v>38.9</v>
      </c>
      <c r="Y25">
        <v>7.03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38.9</v>
      </c>
      <c r="AH25">
        <v>2</v>
      </c>
      <c r="AI25">
        <v>16784269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ROW(Source!A27)</f>
        <v>27</v>
      </c>
      <c r="B26">
        <v>16784285</v>
      </c>
      <c r="C26">
        <v>16784265</v>
      </c>
      <c r="D26">
        <v>15162466</v>
      </c>
      <c r="E26">
        <v>17</v>
      </c>
      <c r="F26">
        <v>1</v>
      </c>
      <c r="G26">
        <v>1</v>
      </c>
      <c r="H26">
        <v>3</v>
      </c>
      <c r="I26" t="s">
        <v>769</v>
      </c>
      <c r="J26" t="s">
        <v>6</v>
      </c>
      <c r="K26" t="s">
        <v>770</v>
      </c>
      <c r="L26">
        <v>1327</v>
      </c>
      <c r="N26">
        <v>1005</v>
      </c>
      <c r="O26" t="s">
        <v>35</v>
      </c>
      <c r="P26" t="s">
        <v>35</v>
      </c>
      <c r="Q26">
        <v>1</v>
      </c>
      <c r="X26">
        <v>100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100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ROW(Source!A27)</f>
        <v>27</v>
      </c>
      <c r="B27">
        <v>16784286</v>
      </c>
      <c r="C27">
        <v>16784265</v>
      </c>
      <c r="D27">
        <v>15197780</v>
      </c>
      <c r="E27">
        <v>1</v>
      </c>
      <c r="F27">
        <v>1</v>
      </c>
      <c r="G27">
        <v>1</v>
      </c>
      <c r="H27">
        <v>3</v>
      </c>
      <c r="I27" t="s">
        <v>520</v>
      </c>
      <c r="J27" t="s">
        <v>521</v>
      </c>
      <c r="K27" t="s">
        <v>522</v>
      </c>
      <c r="L27">
        <v>1355</v>
      </c>
      <c r="N27">
        <v>1010</v>
      </c>
      <c r="O27" t="s">
        <v>523</v>
      </c>
      <c r="P27" t="s">
        <v>523</v>
      </c>
      <c r="Q27">
        <v>100</v>
      </c>
      <c r="X27">
        <v>8</v>
      </c>
      <c r="Y27">
        <v>50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8</v>
      </c>
      <c r="AH27">
        <v>2</v>
      </c>
      <c r="AI27">
        <v>16784270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ROW(Source!A27)</f>
        <v>27</v>
      </c>
      <c r="B28">
        <v>16784287</v>
      </c>
      <c r="C28">
        <v>16784265</v>
      </c>
      <c r="D28">
        <v>15204239</v>
      </c>
      <c r="E28">
        <v>1</v>
      </c>
      <c r="F28">
        <v>1</v>
      </c>
      <c r="G28">
        <v>1</v>
      </c>
      <c r="H28">
        <v>3</v>
      </c>
      <c r="I28" t="s">
        <v>524</v>
      </c>
      <c r="J28" t="s">
        <v>525</v>
      </c>
      <c r="K28" t="s">
        <v>526</v>
      </c>
      <c r="L28">
        <v>1354</v>
      </c>
      <c r="N28">
        <v>1010</v>
      </c>
      <c r="O28" t="s">
        <v>277</v>
      </c>
      <c r="P28" t="s">
        <v>277</v>
      </c>
      <c r="Q28">
        <v>1</v>
      </c>
      <c r="X28">
        <v>69</v>
      </c>
      <c r="Y28">
        <v>67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69</v>
      </c>
      <c r="AH28">
        <v>2</v>
      </c>
      <c r="AI28">
        <v>16784271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ROW(Source!A30)</f>
        <v>30</v>
      </c>
      <c r="B29">
        <v>16784297</v>
      </c>
      <c r="C29">
        <v>16784289</v>
      </c>
      <c r="D29">
        <v>15430767</v>
      </c>
      <c r="E29">
        <v>1</v>
      </c>
      <c r="F29">
        <v>1</v>
      </c>
      <c r="G29">
        <v>1</v>
      </c>
      <c r="H29">
        <v>1</v>
      </c>
      <c r="I29" t="s">
        <v>527</v>
      </c>
      <c r="J29" t="s">
        <v>6</v>
      </c>
      <c r="K29" t="s">
        <v>528</v>
      </c>
      <c r="L29">
        <v>1191</v>
      </c>
      <c r="N29">
        <v>1013</v>
      </c>
      <c r="O29" t="s">
        <v>495</v>
      </c>
      <c r="P29" t="s">
        <v>495</v>
      </c>
      <c r="Q29">
        <v>1</v>
      </c>
      <c r="X29">
        <v>21.38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28</v>
      </c>
      <c r="AG29">
        <v>24.586999999999996</v>
      </c>
      <c r="AH29">
        <v>2</v>
      </c>
      <c r="AI29">
        <v>16784290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ROW(Source!A30)</f>
        <v>30</v>
      </c>
      <c r="B30">
        <v>16784298</v>
      </c>
      <c r="C30">
        <v>16784289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496</v>
      </c>
      <c r="J30" t="s">
        <v>6</v>
      </c>
      <c r="K30" t="s">
        <v>497</v>
      </c>
      <c r="L30">
        <v>1191</v>
      </c>
      <c r="N30">
        <v>1013</v>
      </c>
      <c r="O30" t="s">
        <v>495</v>
      </c>
      <c r="P30" t="s">
        <v>495</v>
      </c>
      <c r="Q30">
        <v>1</v>
      </c>
      <c r="X30">
        <v>0.37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27</v>
      </c>
      <c r="AG30">
        <v>0.46250000000000002</v>
      </c>
      <c r="AH30">
        <v>2</v>
      </c>
      <c r="AI30">
        <v>16784291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ROW(Source!A30)</f>
        <v>30</v>
      </c>
      <c r="B31">
        <v>16784299</v>
      </c>
      <c r="C31">
        <v>16784289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498</v>
      </c>
      <c r="J31" t="s">
        <v>499</v>
      </c>
      <c r="K31" t="s">
        <v>500</v>
      </c>
      <c r="L31">
        <v>1368</v>
      </c>
      <c r="N31">
        <v>1011</v>
      </c>
      <c r="O31" t="s">
        <v>501</v>
      </c>
      <c r="P31" t="s">
        <v>501</v>
      </c>
      <c r="Q31">
        <v>1</v>
      </c>
      <c r="X31">
        <v>7.0000000000000007E-2</v>
      </c>
      <c r="Y31">
        <v>0</v>
      </c>
      <c r="Z31">
        <v>31.26</v>
      </c>
      <c r="AA31">
        <v>13.5</v>
      </c>
      <c r="AB31">
        <v>0</v>
      </c>
      <c r="AC31">
        <v>0</v>
      </c>
      <c r="AD31">
        <v>1</v>
      </c>
      <c r="AE31">
        <v>0</v>
      </c>
      <c r="AF31" t="s">
        <v>27</v>
      </c>
      <c r="AG31">
        <v>8.7500000000000008E-2</v>
      </c>
      <c r="AH31">
        <v>2</v>
      </c>
      <c r="AI31">
        <v>16784292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ROW(Source!A30)</f>
        <v>30</v>
      </c>
      <c r="B32">
        <v>16784300</v>
      </c>
      <c r="C32">
        <v>16784289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504</v>
      </c>
      <c r="J32" t="s">
        <v>505</v>
      </c>
      <c r="K32" t="s">
        <v>506</v>
      </c>
      <c r="L32">
        <v>1368</v>
      </c>
      <c r="N32">
        <v>1011</v>
      </c>
      <c r="O32" t="s">
        <v>501</v>
      </c>
      <c r="P32" t="s">
        <v>501</v>
      </c>
      <c r="Q32">
        <v>1</v>
      </c>
      <c r="X32">
        <v>0.3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27</v>
      </c>
      <c r="AG32">
        <v>0.375</v>
      </c>
      <c r="AH32">
        <v>2</v>
      </c>
      <c r="AI32">
        <v>16784293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ROW(Source!A30)</f>
        <v>30</v>
      </c>
      <c r="B33">
        <v>16784301</v>
      </c>
      <c r="C33">
        <v>16784289</v>
      </c>
      <c r="D33">
        <v>15162469</v>
      </c>
      <c r="E33">
        <v>17</v>
      </c>
      <c r="F33">
        <v>1</v>
      </c>
      <c r="G33">
        <v>1</v>
      </c>
      <c r="H33">
        <v>3</v>
      </c>
      <c r="I33" t="s">
        <v>771</v>
      </c>
      <c r="J33" t="s">
        <v>6</v>
      </c>
      <c r="K33" t="s">
        <v>772</v>
      </c>
      <c r="L33">
        <v>1301</v>
      </c>
      <c r="N33">
        <v>1003</v>
      </c>
      <c r="O33" t="s">
        <v>45</v>
      </c>
      <c r="P33" t="s">
        <v>45</v>
      </c>
      <c r="Q33">
        <v>1</v>
      </c>
      <c r="X33">
        <v>0</v>
      </c>
      <c r="Y33">
        <v>0</v>
      </c>
      <c r="Z33">
        <v>0</v>
      </c>
      <c r="AA33">
        <v>0</v>
      </c>
      <c r="AB33">
        <v>0</v>
      </c>
      <c r="AC33">
        <v>1</v>
      </c>
      <c r="AD33">
        <v>0</v>
      </c>
      <c r="AE33">
        <v>0</v>
      </c>
      <c r="AF33" t="s">
        <v>6</v>
      </c>
      <c r="AG33">
        <v>0</v>
      </c>
      <c r="AH33">
        <v>3</v>
      </c>
      <c r="AI33">
        <v>-1</v>
      </c>
      <c r="AJ33" t="s">
        <v>6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ROW(Source!A30)</f>
        <v>30</v>
      </c>
      <c r="B34">
        <v>16784302</v>
      </c>
      <c r="C34">
        <v>16784289</v>
      </c>
      <c r="D34">
        <v>15197780</v>
      </c>
      <c r="E34">
        <v>1</v>
      </c>
      <c r="F34">
        <v>1</v>
      </c>
      <c r="G34">
        <v>1</v>
      </c>
      <c r="H34">
        <v>3</v>
      </c>
      <c r="I34" t="s">
        <v>520</v>
      </c>
      <c r="J34" t="s">
        <v>521</v>
      </c>
      <c r="K34" t="s">
        <v>522</v>
      </c>
      <c r="L34">
        <v>1355</v>
      </c>
      <c r="N34">
        <v>1010</v>
      </c>
      <c r="O34" t="s">
        <v>523</v>
      </c>
      <c r="P34" t="s">
        <v>523</v>
      </c>
      <c r="Q34">
        <v>100</v>
      </c>
      <c r="X34">
        <v>4</v>
      </c>
      <c r="Y34">
        <v>50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</v>
      </c>
      <c r="AG34">
        <v>4</v>
      </c>
      <c r="AH34">
        <v>2</v>
      </c>
      <c r="AI34">
        <v>16784294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ROW(Source!A30)</f>
        <v>30</v>
      </c>
      <c r="B35">
        <v>16784303</v>
      </c>
      <c r="C35">
        <v>16784289</v>
      </c>
      <c r="D35">
        <v>15204239</v>
      </c>
      <c r="E35">
        <v>1</v>
      </c>
      <c r="F35">
        <v>1</v>
      </c>
      <c r="G35">
        <v>1</v>
      </c>
      <c r="H35">
        <v>3</v>
      </c>
      <c r="I35" t="s">
        <v>524</v>
      </c>
      <c r="J35" t="s">
        <v>525</v>
      </c>
      <c r="K35" t="s">
        <v>526</v>
      </c>
      <c r="L35">
        <v>1354</v>
      </c>
      <c r="N35">
        <v>1010</v>
      </c>
      <c r="O35" t="s">
        <v>277</v>
      </c>
      <c r="P35" t="s">
        <v>277</v>
      </c>
      <c r="Q35">
        <v>1</v>
      </c>
      <c r="X35">
        <v>90.7</v>
      </c>
      <c r="Y35">
        <v>67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90.7</v>
      </c>
      <c r="AH35">
        <v>2</v>
      </c>
      <c r="AI35">
        <v>16784295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ROW(Source!A31)</f>
        <v>31</v>
      </c>
      <c r="B36">
        <v>16784297</v>
      </c>
      <c r="C36">
        <v>16784289</v>
      </c>
      <c r="D36">
        <v>15430767</v>
      </c>
      <c r="E36">
        <v>1</v>
      </c>
      <c r="F36">
        <v>1</v>
      </c>
      <c r="G36">
        <v>1</v>
      </c>
      <c r="H36">
        <v>1</v>
      </c>
      <c r="I36" t="s">
        <v>527</v>
      </c>
      <c r="J36" t="s">
        <v>6</v>
      </c>
      <c r="K36" t="s">
        <v>528</v>
      </c>
      <c r="L36">
        <v>1191</v>
      </c>
      <c r="N36">
        <v>1013</v>
      </c>
      <c r="O36" t="s">
        <v>495</v>
      </c>
      <c r="P36" t="s">
        <v>495</v>
      </c>
      <c r="Q36">
        <v>1</v>
      </c>
      <c r="X36">
        <v>21.38</v>
      </c>
      <c r="Y36">
        <v>0</v>
      </c>
      <c r="Z36">
        <v>0</v>
      </c>
      <c r="AA36">
        <v>0</v>
      </c>
      <c r="AB36">
        <v>8.5299999999999994</v>
      </c>
      <c r="AC36">
        <v>0</v>
      </c>
      <c r="AD36">
        <v>1</v>
      </c>
      <c r="AE36">
        <v>1</v>
      </c>
      <c r="AF36" t="s">
        <v>28</v>
      </c>
      <c r="AG36">
        <v>24.586999999999996</v>
      </c>
      <c r="AH36">
        <v>2</v>
      </c>
      <c r="AI36">
        <v>16784290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ROW(Source!A31)</f>
        <v>31</v>
      </c>
      <c r="B37">
        <v>16784298</v>
      </c>
      <c r="C37">
        <v>16784289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496</v>
      </c>
      <c r="J37" t="s">
        <v>6</v>
      </c>
      <c r="K37" t="s">
        <v>497</v>
      </c>
      <c r="L37">
        <v>1191</v>
      </c>
      <c r="N37">
        <v>1013</v>
      </c>
      <c r="O37" t="s">
        <v>495</v>
      </c>
      <c r="P37" t="s">
        <v>495</v>
      </c>
      <c r="Q37">
        <v>1</v>
      </c>
      <c r="X37">
        <v>0.37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27</v>
      </c>
      <c r="AG37">
        <v>0.46250000000000002</v>
      </c>
      <c r="AH37">
        <v>2</v>
      </c>
      <c r="AI37">
        <v>16784291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ROW(Source!A31)</f>
        <v>31</v>
      </c>
      <c r="B38">
        <v>16784299</v>
      </c>
      <c r="C38">
        <v>16784289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498</v>
      </c>
      <c r="J38" t="s">
        <v>499</v>
      </c>
      <c r="K38" t="s">
        <v>500</v>
      </c>
      <c r="L38">
        <v>1368</v>
      </c>
      <c r="N38">
        <v>1011</v>
      </c>
      <c r="O38" t="s">
        <v>501</v>
      </c>
      <c r="P38" t="s">
        <v>501</v>
      </c>
      <c r="Q38">
        <v>1</v>
      </c>
      <c r="X38">
        <v>7.0000000000000007E-2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27</v>
      </c>
      <c r="AG38">
        <v>8.7500000000000008E-2</v>
      </c>
      <c r="AH38">
        <v>2</v>
      </c>
      <c r="AI38">
        <v>16784292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ROW(Source!A31)</f>
        <v>31</v>
      </c>
      <c r="B39">
        <v>16784300</v>
      </c>
      <c r="C39">
        <v>16784289</v>
      </c>
      <c r="D39">
        <v>15249073</v>
      </c>
      <c r="E39">
        <v>1</v>
      </c>
      <c r="F39">
        <v>1</v>
      </c>
      <c r="G39">
        <v>1</v>
      </c>
      <c r="H39">
        <v>2</v>
      </c>
      <c r="I39" t="s">
        <v>504</v>
      </c>
      <c r="J39" t="s">
        <v>505</v>
      </c>
      <c r="K39" t="s">
        <v>506</v>
      </c>
      <c r="L39">
        <v>1368</v>
      </c>
      <c r="N39">
        <v>1011</v>
      </c>
      <c r="O39" t="s">
        <v>501</v>
      </c>
      <c r="P39" t="s">
        <v>501</v>
      </c>
      <c r="Q39">
        <v>1</v>
      </c>
      <c r="X39">
        <v>0.3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27</v>
      </c>
      <c r="AG39">
        <v>0.375</v>
      </c>
      <c r="AH39">
        <v>2</v>
      </c>
      <c r="AI39">
        <v>16784293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ROW(Source!A31)</f>
        <v>31</v>
      </c>
      <c r="B40">
        <v>16784301</v>
      </c>
      <c r="C40">
        <v>16784289</v>
      </c>
      <c r="D40">
        <v>15162469</v>
      </c>
      <c r="E40">
        <v>17</v>
      </c>
      <c r="F40">
        <v>1</v>
      </c>
      <c r="G40">
        <v>1</v>
      </c>
      <c r="H40">
        <v>3</v>
      </c>
      <c r="I40" t="s">
        <v>771</v>
      </c>
      <c r="J40" t="s">
        <v>6</v>
      </c>
      <c r="K40" t="s">
        <v>772</v>
      </c>
      <c r="L40">
        <v>1301</v>
      </c>
      <c r="N40">
        <v>1003</v>
      </c>
      <c r="O40" t="s">
        <v>45</v>
      </c>
      <c r="P40" t="s">
        <v>45</v>
      </c>
      <c r="Q40">
        <v>1</v>
      </c>
      <c r="X40">
        <v>0</v>
      </c>
      <c r="Y40">
        <v>0</v>
      </c>
      <c r="Z40">
        <v>0</v>
      </c>
      <c r="AA40">
        <v>0</v>
      </c>
      <c r="AB40">
        <v>0</v>
      </c>
      <c r="AC40">
        <v>1</v>
      </c>
      <c r="AD40">
        <v>0</v>
      </c>
      <c r="AE40">
        <v>0</v>
      </c>
      <c r="AF40" t="s">
        <v>6</v>
      </c>
      <c r="AG40">
        <v>0</v>
      </c>
      <c r="AH40">
        <v>3</v>
      </c>
      <c r="AI40">
        <v>-1</v>
      </c>
      <c r="AJ40" t="s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ROW(Source!A31)</f>
        <v>31</v>
      </c>
      <c r="B41">
        <v>16784302</v>
      </c>
      <c r="C41">
        <v>16784289</v>
      </c>
      <c r="D41">
        <v>15197780</v>
      </c>
      <c r="E41">
        <v>1</v>
      </c>
      <c r="F41">
        <v>1</v>
      </c>
      <c r="G41">
        <v>1</v>
      </c>
      <c r="H41">
        <v>3</v>
      </c>
      <c r="I41" t="s">
        <v>520</v>
      </c>
      <c r="J41" t="s">
        <v>521</v>
      </c>
      <c r="K41" t="s">
        <v>522</v>
      </c>
      <c r="L41">
        <v>1355</v>
      </c>
      <c r="N41">
        <v>1010</v>
      </c>
      <c r="O41" t="s">
        <v>523</v>
      </c>
      <c r="P41" t="s">
        <v>523</v>
      </c>
      <c r="Q41">
        <v>100</v>
      </c>
      <c r="X41">
        <v>4</v>
      </c>
      <c r="Y41">
        <v>50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4</v>
      </c>
      <c r="AH41">
        <v>2</v>
      </c>
      <c r="AI41">
        <v>16784294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ROW(Source!A31)</f>
        <v>31</v>
      </c>
      <c r="B42">
        <v>16784303</v>
      </c>
      <c r="C42">
        <v>16784289</v>
      </c>
      <c r="D42">
        <v>15204239</v>
      </c>
      <c r="E42">
        <v>1</v>
      </c>
      <c r="F42">
        <v>1</v>
      </c>
      <c r="G42">
        <v>1</v>
      </c>
      <c r="H42">
        <v>3</v>
      </c>
      <c r="I42" t="s">
        <v>524</v>
      </c>
      <c r="J42" t="s">
        <v>525</v>
      </c>
      <c r="K42" t="s">
        <v>526</v>
      </c>
      <c r="L42">
        <v>1354</v>
      </c>
      <c r="N42">
        <v>1010</v>
      </c>
      <c r="O42" t="s">
        <v>277</v>
      </c>
      <c r="P42" t="s">
        <v>277</v>
      </c>
      <c r="Q42">
        <v>1</v>
      </c>
      <c r="X42">
        <v>90.7</v>
      </c>
      <c r="Y42">
        <v>67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90.7</v>
      </c>
      <c r="AH42">
        <v>2</v>
      </c>
      <c r="AI42">
        <v>16784295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ROW(Source!A34)</f>
        <v>34</v>
      </c>
      <c r="B43">
        <v>16784314</v>
      </c>
      <c r="C43">
        <v>16784305</v>
      </c>
      <c r="D43">
        <v>15438286</v>
      </c>
      <c r="E43">
        <v>1</v>
      </c>
      <c r="F43">
        <v>1</v>
      </c>
      <c r="G43">
        <v>1</v>
      </c>
      <c r="H43">
        <v>1</v>
      </c>
      <c r="I43" t="s">
        <v>529</v>
      </c>
      <c r="J43" t="s">
        <v>6</v>
      </c>
      <c r="K43" t="s">
        <v>530</v>
      </c>
      <c r="L43">
        <v>1191</v>
      </c>
      <c r="N43">
        <v>1013</v>
      </c>
      <c r="O43" t="s">
        <v>495</v>
      </c>
      <c r="P43" t="s">
        <v>495</v>
      </c>
      <c r="Q43">
        <v>1</v>
      </c>
      <c r="X43">
        <v>166.47</v>
      </c>
      <c r="Y43">
        <v>0</v>
      </c>
      <c r="Z43">
        <v>0</v>
      </c>
      <c r="AA43">
        <v>0</v>
      </c>
      <c r="AB43">
        <v>9.18</v>
      </c>
      <c r="AC43">
        <v>0</v>
      </c>
      <c r="AD43">
        <v>1</v>
      </c>
      <c r="AE43">
        <v>1</v>
      </c>
      <c r="AF43" t="s">
        <v>28</v>
      </c>
      <c r="AG43">
        <v>191.44049999999999</v>
      </c>
      <c r="AH43">
        <v>2</v>
      </c>
      <c r="AI43">
        <v>16784306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ROW(Source!A34)</f>
        <v>34</v>
      </c>
      <c r="B44">
        <v>16784315</v>
      </c>
      <c r="C44">
        <v>16784305</v>
      </c>
      <c r="D44">
        <v>15430395</v>
      </c>
      <c r="E44">
        <v>1</v>
      </c>
      <c r="F44">
        <v>1</v>
      </c>
      <c r="G44">
        <v>1</v>
      </c>
      <c r="H44">
        <v>1</v>
      </c>
      <c r="I44" t="s">
        <v>496</v>
      </c>
      <c r="J44" t="s">
        <v>6</v>
      </c>
      <c r="K44" t="s">
        <v>497</v>
      </c>
      <c r="L44">
        <v>1191</v>
      </c>
      <c r="N44">
        <v>1013</v>
      </c>
      <c r="O44" t="s">
        <v>495</v>
      </c>
      <c r="P44" t="s">
        <v>495</v>
      </c>
      <c r="Q44">
        <v>1</v>
      </c>
      <c r="X44">
        <v>0.57999999999999996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27</v>
      </c>
      <c r="AG44">
        <v>0.72499999999999998</v>
      </c>
      <c r="AH44">
        <v>2</v>
      </c>
      <c r="AI44">
        <v>16784307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ROW(Source!A34)</f>
        <v>34</v>
      </c>
      <c r="B45">
        <v>16784316</v>
      </c>
      <c r="C45">
        <v>16784305</v>
      </c>
      <c r="D45">
        <v>15247974</v>
      </c>
      <c r="E45">
        <v>1</v>
      </c>
      <c r="F45">
        <v>1</v>
      </c>
      <c r="G45">
        <v>1</v>
      </c>
      <c r="H45">
        <v>2</v>
      </c>
      <c r="I45" t="s">
        <v>498</v>
      </c>
      <c r="J45" t="s">
        <v>499</v>
      </c>
      <c r="K45" t="s">
        <v>500</v>
      </c>
      <c r="L45">
        <v>1368</v>
      </c>
      <c r="N45">
        <v>1011</v>
      </c>
      <c r="O45" t="s">
        <v>501</v>
      </c>
      <c r="P45" t="s">
        <v>501</v>
      </c>
      <c r="Q45">
        <v>1</v>
      </c>
      <c r="X45">
        <v>0.08</v>
      </c>
      <c r="Y45">
        <v>0</v>
      </c>
      <c r="Z45">
        <v>31.26</v>
      </c>
      <c r="AA45">
        <v>13.5</v>
      </c>
      <c r="AB45">
        <v>0</v>
      </c>
      <c r="AC45">
        <v>0</v>
      </c>
      <c r="AD45">
        <v>1</v>
      </c>
      <c r="AE45">
        <v>0</v>
      </c>
      <c r="AF45" t="s">
        <v>27</v>
      </c>
      <c r="AG45">
        <v>0.1</v>
      </c>
      <c r="AH45">
        <v>2</v>
      </c>
      <c r="AI45">
        <v>16784308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ROW(Source!A34)</f>
        <v>34</v>
      </c>
      <c r="B46">
        <v>16784317</v>
      </c>
      <c r="C46">
        <v>16784305</v>
      </c>
      <c r="D46">
        <v>15249073</v>
      </c>
      <c r="E46">
        <v>1</v>
      </c>
      <c r="F46">
        <v>1</v>
      </c>
      <c r="G46">
        <v>1</v>
      </c>
      <c r="H46">
        <v>2</v>
      </c>
      <c r="I46" t="s">
        <v>504</v>
      </c>
      <c r="J46" t="s">
        <v>505</v>
      </c>
      <c r="K46" t="s">
        <v>506</v>
      </c>
      <c r="L46">
        <v>1368</v>
      </c>
      <c r="N46">
        <v>1011</v>
      </c>
      <c r="O46" t="s">
        <v>501</v>
      </c>
      <c r="P46" t="s">
        <v>501</v>
      </c>
      <c r="Q46">
        <v>1</v>
      </c>
      <c r="X46">
        <v>0.5</v>
      </c>
      <c r="Y46">
        <v>0</v>
      </c>
      <c r="Z46">
        <v>65.709999999999994</v>
      </c>
      <c r="AA46">
        <v>11.6</v>
      </c>
      <c r="AB46">
        <v>0</v>
      </c>
      <c r="AC46">
        <v>0</v>
      </c>
      <c r="AD46">
        <v>1</v>
      </c>
      <c r="AE46">
        <v>0</v>
      </c>
      <c r="AF46" t="s">
        <v>27</v>
      </c>
      <c r="AG46">
        <v>0.625</v>
      </c>
      <c r="AH46">
        <v>2</v>
      </c>
      <c r="AI46">
        <v>16784309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ROW(Source!A34)</f>
        <v>34</v>
      </c>
      <c r="B47">
        <v>16784318</v>
      </c>
      <c r="C47">
        <v>16784305</v>
      </c>
      <c r="D47">
        <v>15162966</v>
      </c>
      <c r="E47">
        <v>17</v>
      </c>
      <c r="F47">
        <v>1</v>
      </c>
      <c r="G47">
        <v>1</v>
      </c>
      <c r="H47">
        <v>3</v>
      </c>
      <c r="I47" t="s">
        <v>773</v>
      </c>
      <c r="J47" t="s">
        <v>6</v>
      </c>
      <c r="K47" t="s">
        <v>774</v>
      </c>
      <c r="L47">
        <v>1327</v>
      </c>
      <c r="N47">
        <v>1005</v>
      </c>
      <c r="O47" t="s">
        <v>35</v>
      </c>
      <c r="P47" t="s">
        <v>35</v>
      </c>
      <c r="Q47">
        <v>1</v>
      </c>
      <c r="X47">
        <v>105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6</v>
      </c>
      <c r="AG47">
        <v>105</v>
      </c>
      <c r="AH47">
        <v>3</v>
      </c>
      <c r="AI47">
        <v>-1</v>
      </c>
      <c r="AJ47" t="s">
        <v>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ROW(Source!A34)</f>
        <v>34</v>
      </c>
      <c r="B48">
        <v>16784319</v>
      </c>
      <c r="C48">
        <v>16784305</v>
      </c>
      <c r="D48">
        <v>15171018</v>
      </c>
      <c r="E48">
        <v>1</v>
      </c>
      <c r="F48">
        <v>1</v>
      </c>
      <c r="G48">
        <v>1</v>
      </c>
      <c r="H48">
        <v>3</v>
      </c>
      <c r="I48" t="s">
        <v>531</v>
      </c>
      <c r="J48" t="s">
        <v>532</v>
      </c>
      <c r="K48" t="s">
        <v>533</v>
      </c>
      <c r="L48">
        <v>1346</v>
      </c>
      <c r="N48">
        <v>1009</v>
      </c>
      <c r="O48" t="s">
        <v>60</v>
      </c>
      <c r="P48" t="s">
        <v>60</v>
      </c>
      <c r="Q48">
        <v>1</v>
      </c>
      <c r="X48">
        <v>0.2</v>
      </c>
      <c r="Y48">
        <v>1.82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6</v>
      </c>
      <c r="AG48">
        <v>0.2</v>
      </c>
      <c r="AH48">
        <v>2</v>
      </c>
      <c r="AI48">
        <v>16784310</v>
      </c>
      <c r="AJ48">
        <v>47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ROW(Source!A34)</f>
        <v>34</v>
      </c>
      <c r="B49">
        <v>16784320</v>
      </c>
      <c r="C49">
        <v>16784305</v>
      </c>
      <c r="D49">
        <v>15162257</v>
      </c>
      <c r="E49">
        <v>17</v>
      </c>
      <c r="F49">
        <v>1</v>
      </c>
      <c r="G49">
        <v>1</v>
      </c>
      <c r="H49">
        <v>3</v>
      </c>
      <c r="I49" t="s">
        <v>775</v>
      </c>
      <c r="J49" t="s">
        <v>6</v>
      </c>
      <c r="K49" t="s">
        <v>776</v>
      </c>
      <c r="L49">
        <v>1346</v>
      </c>
      <c r="N49">
        <v>1009</v>
      </c>
      <c r="O49" t="s">
        <v>60</v>
      </c>
      <c r="P49" t="s">
        <v>60</v>
      </c>
      <c r="Q49">
        <v>1</v>
      </c>
      <c r="X49">
        <v>30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 t="s">
        <v>6</v>
      </c>
      <c r="AG49">
        <v>30</v>
      </c>
      <c r="AH49">
        <v>3</v>
      </c>
      <c r="AI49">
        <v>-1</v>
      </c>
      <c r="AJ49" t="s">
        <v>6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ROW(Source!A34)</f>
        <v>34</v>
      </c>
      <c r="B50">
        <v>16784321</v>
      </c>
      <c r="C50">
        <v>16784305</v>
      </c>
      <c r="D50">
        <v>15162572</v>
      </c>
      <c r="E50">
        <v>17</v>
      </c>
      <c r="F50">
        <v>1</v>
      </c>
      <c r="G50">
        <v>1</v>
      </c>
      <c r="H50">
        <v>3</v>
      </c>
      <c r="I50" t="s">
        <v>155</v>
      </c>
      <c r="J50" t="s">
        <v>6</v>
      </c>
      <c r="K50" t="s">
        <v>156</v>
      </c>
      <c r="L50">
        <v>1348</v>
      </c>
      <c r="N50">
        <v>1009</v>
      </c>
      <c r="O50" t="s">
        <v>65</v>
      </c>
      <c r="P50" t="s">
        <v>65</v>
      </c>
      <c r="Q50">
        <v>1000</v>
      </c>
      <c r="X50">
        <v>8.8999999999999999E-3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6</v>
      </c>
      <c r="AG50">
        <v>8.8999999999999999E-3</v>
      </c>
      <c r="AH50">
        <v>3</v>
      </c>
      <c r="AI50">
        <v>-1</v>
      </c>
      <c r="AJ50" t="s">
        <v>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ROW(Source!A35)</f>
        <v>35</v>
      </c>
      <c r="B51">
        <v>16784314</v>
      </c>
      <c r="C51">
        <v>16784305</v>
      </c>
      <c r="D51">
        <v>15438286</v>
      </c>
      <c r="E51">
        <v>1</v>
      </c>
      <c r="F51">
        <v>1</v>
      </c>
      <c r="G51">
        <v>1</v>
      </c>
      <c r="H51">
        <v>1</v>
      </c>
      <c r="I51" t="s">
        <v>529</v>
      </c>
      <c r="J51" t="s">
        <v>6</v>
      </c>
      <c r="K51" t="s">
        <v>530</v>
      </c>
      <c r="L51">
        <v>1191</v>
      </c>
      <c r="N51">
        <v>1013</v>
      </c>
      <c r="O51" t="s">
        <v>495</v>
      </c>
      <c r="P51" t="s">
        <v>495</v>
      </c>
      <c r="Q51">
        <v>1</v>
      </c>
      <c r="X51">
        <v>166.47</v>
      </c>
      <c r="Y51">
        <v>0</v>
      </c>
      <c r="Z51">
        <v>0</v>
      </c>
      <c r="AA51">
        <v>0</v>
      </c>
      <c r="AB51">
        <v>9.18</v>
      </c>
      <c r="AC51">
        <v>0</v>
      </c>
      <c r="AD51">
        <v>1</v>
      </c>
      <c r="AE51">
        <v>1</v>
      </c>
      <c r="AF51" t="s">
        <v>28</v>
      </c>
      <c r="AG51">
        <v>191.44049999999999</v>
      </c>
      <c r="AH51">
        <v>2</v>
      </c>
      <c r="AI51">
        <v>16784306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ROW(Source!A35)</f>
        <v>35</v>
      </c>
      <c r="B52">
        <v>16784315</v>
      </c>
      <c r="C52">
        <v>16784305</v>
      </c>
      <c r="D52">
        <v>15430395</v>
      </c>
      <c r="E52">
        <v>1</v>
      </c>
      <c r="F52">
        <v>1</v>
      </c>
      <c r="G52">
        <v>1</v>
      </c>
      <c r="H52">
        <v>1</v>
      </c>
      <c r="I52" t="s">
        <v>496</v>
      </c>
      <c r="J52" t="s">
        <v>6</v>
      </c>
      <c r="K52" t="s">
        <v>497</v>
      </c>
      <c r="L52">
        <v>1191</v>
      </c>
      <c r="N52">
        <v>1013</v>
      </c>
      <c r="O52" t="s">
        <v>495</v>
      </c>
      <c r="P52" t="s">
        <v>495</v>
      </c>
      <c r="Q52">
        <v>1</v>
      </c>
      <c r="X52">
        <v>0.57999999999999996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2</v>
      </c>
      <c r="AF52" t="s">
        <v>27</v>
      </c>
      <c r="AG52">
        <v>0.72499999999999998</v>
      </c>
      <c r="AH52">
        <v>2</v>
      </c>
      <c r="AI52">
        <v>16784307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ROW(Source!A35)</f>
        <v>35</v>
      </c>
      <c r="B53">
        <v>16784316</v>
      </c>
      <c r="C53">
        <v>16784305</v>
      </c>
      <c r="D53">
        <v>15247974</v>
      </c>
      <c r="E53">
        <v>1</v>
      </c>
      <c r="F53">
        <v>1</v>
      </c>
      <c r="G53">
        <v>1</v>
      </c>
      <c r="H53">
        <v>2</v>
      </c>
      <c r="I53" t="s">
        <v>498</v>
      </c>
      <c r="J53" t="s">
        <v>499</v>
      </c>
      <c r="K53" t="s">
        <v>500</v>
      </c>
      <c r="L53">
        <v>1368</v>
      </c>
      <c r="N53">
        <v>1011</v>
      </c>
      <c r="O53" t="s">
        <v>501</v>
      </c>
      <c r="P53" t="s">
        <v>501</v>
      </c>
      <c r="Q53">
        <v>1</v>
      </c>
      <c r="X53">
        <v>0.08</v>
      </c>
      <c r="Y53">
        <v>0</v>
      </c>
      <c r="Z53">
        <v>31.26</v>
      </c>
      <c r="AA53">
        <v>13.5</v>
      </c>
      <c r="AB53">
        <v>0</v>
      </c>
      <c r="AC53">
        <v>0</v>
      </c>
      <c r="AD53">
        <v>1</v>
      </c>
      <c r="AE53">
        <v>0</v>
      </c>
      <c r="AF53" t="s">
        <v>27</v>
      </c>
      <c r="AG53">
        <v>0.1</v>
      </c>
      <c r="AH53">
        <v>2</v>
      </c>
      <c r="AI53">
        <v>16784308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ROW(Source!A35)</f>
        <v>35</v>
      </c>
      <c r="B54">
        <v>16784317</v>
      </c>
      <c r="C54">
        <v>16784305</v>
      </c>
      <c r="D54">
        <v>15249073</v>
      </c>
      <c r="E54">
        <v>1</v>
      </c>
      <c r="F54">
        <v>1</v>
      </c>
      <c r="G54">
        <v>1</v>
      </c>
      <c r="H54">
        <v>2</v>
      </c>
      <c r="I54" t="s">
        <v>504</v>
      </c>
      <c r="J54" t="s">
        <v>505</v>
      </c>
      <c r="K54" t="s">
        <v>506</v>
      </c>
      <c r="L54">
        <v>1368</v>
      </c>
      <c r="N54">
        <v>1011</v>
      </c>
      <c r="O54" t="s">
        <v>501</v>
      </c>
      <c r="P54" t="s">
        <v>501</v>
      </c>
      <c r="Q54">
        <v>1</v>
      </c>
      <c r="X54">
        <v>0.5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27</v>
      </c>
      <c r="AG54">
        <v>0.625</v>
      </c>
      <c r="AH54">
        <v>2</v>
      </c>
      <c r="AI54">
        <v>16784309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ROW(Source!A35)</f>
        <v>35</v>
      </c>
      <c r="B55">
        <v>16784318</v>
      </c>
      <c r="C55">
        <v>16784305</v>
      </c>
      <c r="D55">
        <v>15162966</v>
      </c>
      <c r="E55">
        <v>17</v>
      </c>
      <c r="F55">
        <v>1</v>
      </c>
      <c r="G55">
        <v>1</v>
      </c>
      <c r="H55">
        <v>3</v>
      </c>
      <c r="I55" t="s">
        <v>773</v>
      </c>
      <c r="J55" t="s">
        <v>6</v>
      </c>
      <c r="K55" t="s">
        <v>774</v>
      </c>
      <c r="L55">
        <v>1327</v>
      </c>
      <c r="N55">
        <v>1005</v>
      </c>
      <c r="O55" t="s">
        <v>35</v>
      </c>
      <c r="P55" t="s">
        <v>35</v>
      </c>
      <c r="Q55">
        <v>1</v>
      </c>
      <c r="X55">
        <v>105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6</v>
      </c>
      <c r="AG55">
        <v>105</v>
      </c>
      <c r="AH55">
        <v>3</v>
      </c>
      <c r="AI55">
        <v>-1</v>
      </c>
      <c r="AJ55" t="s">
        <v>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ROW(Source!A35)</f>
        <v>35</v>
      </c>
      <c r="B56">
        <v>16784319</v>
      </c>
      <c r="C56">
        <v>16784305</v>
      </c>
      <c r="D56">
        <v>15171018</v>
      </c>
      <c r="E56">
        <v>1</v>
      </c>
      <c r="F56">
        <v>1</v>
      </c>
      <c r="G56">
        <v>1</v>
      </c>
      <c r="H56">
        <v>3</v>
      </c>
      <c r="I56" t="s">
        <v>531</v>
      </c>
      <c r="J56" t="s">
        <v>532</v>
      </c>
      <c r="K56" t="s">
        <v>533</v>
      </c>
      <c r="L56">
        <v>1346</v>
      </c>
      <c r="N56">
        <v>1009</v>
      </c>
      <c r="O56" t="s">
        <v>60</v>
      </c>
      <c r="P56" t="s">
        <v>60</v>
      </c>
      <c r="Q56">
        <v>1</v>
      </c>
      <c r="X56">
        <v>0.2</v>
      </c>
      <c r="Y56">
        <v>1.82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</v>
      </c>
      <c r="AG56">
        <v>0.2</v>
      </c>
      <c r="AH56">
        <v>2</v>
      </c>
      <c r="AI56">
        <v>16784310</v>
      </c>
      <c r="AJ56">
        <v>55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ROW(Source!A35)</f>
        <v>35</v>
      </c>
      <c r="B57">
        <v>16784320</v>
      </c>
      <c r="C57">
        <v>16784305</v>
      </c>
      <c r="D57">
        <v>15162257</v>
      </c>
      <c r="E57">
        <v>17</v>
      </c>
      <c r="F57">
        <v>1</v>
      </c>
      <c r="G57">
        <v>1</v>
      </c>
      <c r="H57">
        <v>3</v>
      </c>
      <c r="I57" t="s">
        <v>775</v>
      </c>
      <c r="J57" t="s">
        <v>6</v>
      </c>
      <c r="K57" t="s">
        <v>776</v>
      </c>
      <c r="L57">
        <v>1346</v>
      </c>
      <c r="N57">
        <v>1009</v>
      </c>
      <c r="O57" t="s">
        <v>60</v>
      </c>
      <c r="P57" t="s">
        <v>60</v>
      </c>
      <c r="Q57">
        <v>1</v>
      </c>
      <c r="X57">
        <v>30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 t="s">
        <v>6</v>
      </c>
      <c r="AG57">
        <v>30</v>
      </c>
      <c r="AH57">
        <v>3</v>
      </c>
      <c r="AI57">
        <v>-1</v>
      </c>
      <c r="AJ57" t="s">
        <v>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ROW(Source!A35)</f>
        <v>35</v>
      </c>
      <c r="B58">
        <v>16784321</v>
      </c>
      <c r="C58">
        <v>16784305</v>
      </c>
      <c r="D58">
        <v>15162572</v>
      </c>
      <c r="E58">
        <v>17</v>
      </c>
      <c r="F58">
        <v>1</v>
      </c>
      <c r="G58">
        <v>1</v>
      </c>
      <c r="H58">
        <v>3</v>
      </c>
      <c r="I58" t="s">
        <v>155</v>
      </c>
      <c r="J58" t="s">
        <v>6</v>
      </c>
      <c r="K58" t="s">
        <v>156</v>
      </c>
      <c r="L58">
        <v>1348</v>
      </c>
      <c r="N58">
        <v>1009</v>
      </c>
      <c r="O58" t="s">
        <v>65</v>
      </c>
      <c r="P58" t="s">
        <v>65</v>
      </c>
      <c r="Q58">
        <v>1000</v>
      </c>
      <c r="X58">
        <v>8.8999999999999999E-3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6</v>
      </c>
      <c r="AG58">
        <v>8.8999999999999999E-3</v>
      </c>
      <c r="AH58">
        <v>3</v>
      </c>
      <c r="AI58">
        <v>-1</v>
      </c>
      <c r="AJ58" t="s">
        <v>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ROW(Source!A42)</f>
        <v>42</v>
      </c>
      <c r="B59">
        <v>16784329</v>
      </c>
      <c r="C59">
        <v>16784325</v>
      </c>
      <c r="D59">
        <v>15430767</v>
      </c>
      <c r="E59">
        <v>1</v>
      </c>
      <c r="F59">
        <v>1</v>
      </c>
      <c r="G59">
        <v>1</v>
      </c>
      <c r="H59">
        <v>1</v>
      </c>
      <c r="I59" t="s">
        <v>527</v>
      </c>
      <c r="J59" t="s">
        <v>6</v>
      </c>
      <c r="K59" t="s">
        <v>528</v>
      </c>
      <c r="L59">
        <v>1191</v>
      </c>
      <c r="N59">
        <v>1013</v>
      </c>
      <c r="O59" t="s">
        <v>495</v>
      </c>
      <c r="P59" t="s">
        <v>495</v>
      </c>
      <c r="Q59">
        <v>1</v>
      </c>
      <c r="X59">
        <v>6.7</v>
      </c>
      <c r="Y59">
        <v>0</v>
      </c>
      <c r="Z59">
        <v>0</v>
      </c>
      <c r="AA59">
        <v>0</v>
      </c>
      <c r="AB59">
        <v>8.5299999999999994</v>
      </c>
      <c r="AC59">
        <v>0</v>
      </c>
      <c r="AD59">
        <v>1</v>
      </c>
      <c r="AE59">
        <v>1</v>
      </c>
      <c r="AF59" t="s">
        <v>28</v>
      </c>
      <c r="AG59">
        <v>7.7049999999999992</v>
      </c>
      <c r="AH59">
        <v>2</v>
      </c>
      <c r="AI59">
        <v>16784326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ROW(Source!A42)</f>
        <v>42</v>
      </c>
      <c r="B60">
        <v>16784330</v>
      </c>
      <c r="C60">
        <v>16784325</v>
      </c>
      <c r="D60">
        <v>15162472</v>
      </c>
      <c r="E60">
        <v>17</v>
      </c>
      <c r="F60">
        <v>1</v>
      </c>
      <c r="G60">
        <v>1</v>
      </c>
      <c r="H60">
        <v>3</v>
      </c>
      <c r="I60" t="s">
        <v>777</v>
      </c>
      <c r="J60" t="s">
        <v>6</v>
      </c>
      <c r="K60" t="s">
        <v>778</v>
      </c>
      <c r="L60">
        <v>2233</v>
      </c>
      <c r="N60">
        <v>1013</v>
      </c>
      <c r="O60" t="s">
        <v>99</v>
      </c>
      <c r="P60" t="s">
        <v>99</v>
      </c>
      <c r="Q60">
        <v>1</v>
      </c>
      <c r="X60">
        <v>100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 t="s">
        <v>6</v>
      </c>
      <c r="AG60">
        <v>100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ROW(Source!A42)</f>
        <v>42</v>
      </c>
      <c r="B61">
        <v>16784331</v>
      </c>
      <c r="C61">
        <v>16784325</v>
      </c>
      <c r="D61">
        <v>15202504</v>
      </c>
      <c r="E61">
        <v>1</v>
      </c>
      <c r="F61">
        <v>1</v>
      </c>
      <c r="G61">
        <v>1</v>
      </c>
      <c r="H61">
        <v>3</v>
      </c>
      <c r="I61" t="s">
        <v>534</v>
      </c>
      <c r="J61" t="s">
        <v>535</v>
      </c>
      <c r="K61" t="s">
        <v>536</v>
      </c>
      <c r="L61">
        <v>1346</v>
      </c>
      <c r="N61">
        <v>1009</v>
      </c>
      <c r="O61" t="s">
        <v>60</v>
      </c>
      <c r="P61" t="s">
        <v>60</v>
      </c>
      <c r="Q61">
        <v>1</v>
      </c>
      <c r="X61">
        <v>0.8</v>
      </c>
      <c r="Y61">
        <v>45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0.8</v>
      </c>
      <c r="AH61">
        <v>2</v>
      </c>
      <c r="AI61">
        <v>16784327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ROW(Source!A43)</f>
        <v>43</v>
      </c>
      <c r="B62">
        <v>16784329</v>
      </c>
      <c r="C62">
        <v>16784325</v>
      </c>
      <c r="D62">
        <v>15430767</v>
      </c>
      <c r="E62">
        <v>1</v>
      </c>
      <c r="F62">
        <v>1</v>
      </c>
      <c r="G62">
        <v>1</v>
      </c>
      <c r="H62">
        <v>1</v>
      </c>
      <c r="I62" t="s">
        <v>527</v>
      </c>
      <c r="J62" t="s">
        <v>6</v>
      </c>
      <c r="K62" t="s">
        <v>528</v>
      </c>
      <c r="L62">
        <v>1191</v>
      </c>
      <c r="N62">
        <v>1013</v>
      </c>
      <c r="O62" t="s">
        <v>495</v>
      </c>
      <c r="P62" t="s">
        <v>495</v>
      </c>
      <c r="Q62">
        <v>1</v>
      </c>
      <c r="X62">
        <v>6.7</v>
      </c>
      <c r="Y62">
        <v>0</v>
      </c>
      <c r="Z62">
        <v>0</v>
      </c>
      <c r="AA62">
        <v>0</v>
      </c>
      <c r="AB62">
        <v>8.5299999999999994</v>
      </c>
      <c r="AC62">
        <v>0</v>
      </c>
      <c r="AD62">
        <v>1</v>
      </c>
      <c r="AE62">
        <v>1</v>
      </c>
      <c r="AF62" t="s">
        <v>28</v>
      </c>
      <c r="AG62">
        <v>7.7049999999999992</v>
      </c>
      <c r="AH62">
        <v>2</v>
      </c>
      <c r="AI62">
        <v>16784326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ROW(Source!A43)</f>
        <v>43</v>
      </c>
      <c r="B63">
        <v>16784330</v>
      </c>
      <c r="C63">
        <v>16784325</v>
      </c>
      <c r="D63">
        <v>15162472</v>
      </c>
      <c r="E63">
        <v>17</v>
      </c>
      <c r="F63">
        <v>1</v>
      </c>
      <c r="G63">
        <v>1</v>
      </c>
      <c r="H63">
        <v>3</v>
      </c>
      <c r="I63" t="s">
        <v>777</v>
      </c>
      <c r="J63" t="s">
        <v>6</v>
      </c>
      <c r="K63" t="s">
        <v>778</v>
      </c>
      <c r="L63">
        <v>2233</v>
      </c>
      <c r="N63">
        <v>1013</v>
      </c>
      <c r="O63" t="s">
        <v>99</v>
      </c>
      <c r="P63" t="s">
        <v>99</v>
      </c>
      <c r="Q63">
        <v>1</v>
      </c>
      <c r="X63">
        <v>100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6</v>
      </c>
      <c r="AG63">
        <v>100</v>
      </c>
      <c r="AH63">
        <v>3</v>
      </c>
      <c r="AI63">
        <v>-1</v>
      </c>
      <c r="AJ63" t="s">
        <v>6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ROW(Source!A43)</f>
        <v>43</v>
      </c>
      <c r="B64">
        <v>16784331</v>
      </c>
      <c r="C64">
        <v>16784325</v>
      </c>
      <c r="D64">
        <v>15202504</v>
      </c>
      <c r="E64">
        <v>1</v>
      </c>
      <c r="F64">
        <v>1</v>
      </c>
      <c r="G64">
        <v>1</v>
      </c>
      <c r="H64">
        <v>3</v>
      </c>
      <c r="I64" t="s">
        <v>534</v>
      </c>
      <c r="J64" t="s">
        <v>535</v>
      </c>
      <c r="K64" t="s">
        <v>536</v>
      </c>
      <c r="L64">
        <v>1346</v>
      </c>
      <c r="N64">
        <v>1009</v>
      </c>
      <c r="O64" t="s">
        <v>60</v>
      </c>
      <c r="P64" t="s">
        <v>60</v>
      </c>
      <c r="Q64">
        <v>1</v>
      </c>
      <c r="X64">
        <v>0.8</v>
      </c>
      <c r="Y64">
        <v>45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0.8</v>
      </c>
      <c r="AH64">
        <v>2</v>
      </c>
      <c r="AI64">
        <v>16784327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ROW(Source!A46)</f>
        <v>46</v>
      </c>
      <c r="B65">
        <v>16784352</v>
      </c>
      <c r="C65">
        <v>16784333</v>
      </c>
      <c r="D65">
        <v>15430767</v>
      </c>
      <c r="E65">
        <v>1</v>
      </c>
      <c r="F65">
        <v>1</v>
      </c>
      <c r="G65">
        <v>1</v>
      </c>
      <c r="H65">
        <v>1</v>
      </c>
      <c r="I65" t="s">
        <v>527</v>
      </c>
      <c r="J65" t="s">
        <v>6</v>
      </c>
      <c r="K65" t="s">
        <v>528</v>
      </c>
      <c r="L65">
        <v>1191</v>
      </c>
      <c r="N65">
        <v>1013</v>
      </c>
      <c r="O65" t="s">
        <v>495</v>
      </c>
      <c r="P65" t="s">
        <v>495</v>
      </c>
      <c r="Q65">
        <v>1</v>
      </c>
      <c r="X65">
        <v>50.79</v>
      </c>
      <c r="Y65">
        <v>0</v>
      </c>
      <c r="Z65">
        <v>0</v>
      </c>
      <c r="AA65">
        <v>0</v>
      </c>
      <c r="AB65">
        <v>8.5299999999999994</v>
      </c>
      <c r="AC65">
        <v>0</v>
      </c>
      <c r="AD65">
        <v>1</v>
      </c>
      <c r="AE65">
        <v>1</v>
      </c>
      <c r="AF65" t="s">
        <v>82</v>
      </c>
      <c r="AG65">
        <v>35.552999999999997</v>
      </c>
      <c r="AH65">
        <v>2</v>
      </c>
      <c r="AI65">
        <v>16784334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ROW(Source!A46)</f>
        <v>46</v>
      </c>
      <c r="B66">
        <v>16784353</v>
      </c>
      <c r="C66">
        <v>16784333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496</v>
      </c>
      <c r="J66" t="s">
        <v>6</v>
      </c>
      <c r="K66" t="s">
        <v>497</v>
      </c>
      <c r="L66">
        <v>1191</v>
      </c>
      <c r="N66">
        <v>1013</v>
      </c>
      <c r="O66" t="s">
        <v>495</v>
      </c>
      <c r="P66" t="s">
        <v>495</v>
      </c>
      <c r="Q66">
        <v>1</v>
      </c>
      <c r="X66">
        <v>0.31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82</v>
      </c>
      <c r="AG66">
        <v>0.217</v>
      </c>
      <c r="AH66">
        <v>2</v>
      </c>
      <c r="AI66">
        <v>16784335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ROW(Source!A46)</f>
        <v>46</v>
      </c>
      <c r="B67">
        <v>16784354</v>
      </c>
      <c r="C67">
        <v>16784333</v>
      </c>
      <c r="D67">
        <v>15247680</v>
      </c>
      <c r="E67">
        <v>1</v>
      </c>
      <c r="F67">
        <v>1</v>
      </c>
      <c r="G67">
        <v>1</v>
      </c>
      <c r="H67">
        <v>2</v>
      </c>
      <c r="I67" t="s">
        <v>537</v>
      </c>
      <c r="J67" t="s">
        <v>538</v>
      </c>
      <c r="K67" t="s">
        <v>539</v>
      </c>
      <c r="L67">
        <v>1368</v>
      </c>
      <c r="N67">
        <v>1011</v>
      </c>
      <c r="O67" t="s">
        <v>501</v>
      </c>
      <c r="P67" t="s">
        <v>501</v>
      </c>
      <c r="Q67">
        <v>1</v>
      </c>
      <c r="X67">
        <v>0.12</v>
      </c>
      <c r="Y67">
        <v>0</v>
      </c>
      <c r="Z67">
        <v>111.99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82</v>
      </c>
      <c r="AG67">
        <v>8.3999999999999991E-2</v>
      </c>
      <c r="AH67">
        <v>2</v>
      </c>
      <c r="AI67">
        <v>16784336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ROW(Source!A46)</f>
        <v>46</v>
      </c>
      <c r="B68">
        <v>16784355</v>
      </c>
      <c r="C68">
        <v>16784333</v>
      </c>
      <c r="D68">
        <v>15247880</v>
      </c>
      <c r="E68">
        <v>1</v>
      </c>
      <c r="F68">
        <v>1</v>
      </c>
      <c r="G68">
        <v>1</v>
      </c>
      <c r="H68">
        <v>2</v>
      </c>
      <c r="I68" t="s">
        <v>540</v>
      </c>
      <c r="J68" t="s">
        <v>541</v>
      </c>
      <c r="K68" t="s">
        <v>542</v>
      </c>
      <c r="L68">
        <v>1368</v>
      </c>
      <c r="N68">
        <v>1011</v>
      </c>
      <c r="O68" t="s">
        <v>501</v>
      </c>
      <c r="P68" t="s">
        <v>501</v>
      </c>
      <c r="Q68">
        <v>1</v>
      </c>
      <c r="X68">
        <v>10.53</v>
      </c>
      <c r="Y68">
        <v>0</v>
      </c>
      <c r="Z68">
        <v>6.9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82</v>
      </c>
      <c r="AG68">
        <v>7.3709999999999987</v>
      </c>
      <c r="AH68">
        <v>2</v>
      </c>
      <c r="AI68">
        <v>16784337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ROW(Source!A46)</f>
        <v>46</v>
      </c>
      <c r="B69">
        <v>16784356</v>
      </c>
      <c r="C69">
        <v>16784333</v>
      </c>
      <c r="D69">
        <v>15249073</v>
      </c>
      <c r="E69">
        <v>1</v>
      </c>
      <c r="F69">
        <v>1</v>
      </c>
      <c r="G69">
        <v>1</v>
      </c>
      <c r="H69">
        <v>2</v>
      </c>
      <c r="I69" t="s">
        <v>504</v>
      </c>
      <c r="J69" t="s">
        <v>505</v>
      </c>
      <c r="K69" t="s">
        <v>506</v>
      </c>
      <c r="L69">
        <v>1368</v>
      </c>
      <c r="N69">
        <v>1011</v>
      </c>
      <c r="O69" t="s">
        <v>501</v>
      </c>
      <c r="P69" t="s">
        <v>501</v>
      </c>
      <c r="Q69">
        <v>1</v>
      </c>
      <c r="X69">
        <v>0.19</v>
      </c>
      <c r="Y69">
        <v>0</v>
      </c>
      <c r="Z69">
        <v>65.709999999999994</v>
      </c>
      <c r="AA69">
        <v>11.6</v>
      </c>
      <c r="AB69">
        <v>0</v>
      </c>
      <c r="AC69">
        <v>0</v>
      </c>
      <c r="AD69">
        <v>1</v>
      </c>
      <c r="AE69">
        <v>0</v>
      </c>
      <c r="AF69" t="s">
        <v>82</v>
      </c>
      <c r="AG69">
        <v>0.13299999999999998</v>
      </c>
      <c r="AH69">
        <v>2</v>
      </c>
      <c r="AI69">
        <v>16784338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ROW(Source!A46)</f>
        <v>46</v>
      </c>
      <c r="B70">
        <v>16784357</v>
      </c>
      <c r="C70">
        <v>16784333</v>
      </c>
      <c r="D70">
        <v>15249308</v>
      </c>
      <c r="E70">
        <v>1</v>
      </c>
      <c r="F70">
        <v>1</v>
      </c>
      <c r="G70">
        <v>1</v>
      </c>
      <c r="H70">
        <v>2</v>
      </c>
      <c r="I70" t="s">
        <v>543</v>
      </c>
      <c r="J70" t="s">
        <v>544</v>
      </c>
      <c r="K70" t="s">
        <v>545</v>
      </c>
      <c r="L70">
        <v>1368</v>
      </c>
      <c r="N70">
        <v>1011</v>
      </c>
      <c r="O70" t="s">
        <v>501</v>
      </c>
      <c r="P70" t="s">
        <v>501</v>
      </c>
      <c r="Q70">
        <v>1</v>
      </c>
      <c r="X70">
        <v>1.86</v>
      </c>
      <c r="Y70">
        <v>0</v>
      </c>
      <c r="Z70">
        <v>1.2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82</v>
      </c>
      <c r="AG70">
        <v>1.302</v>
      </c>
      <c r="AH70">
        <v>2</v>
      </c>
      <c r="AI70">
        <v>16784339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ROW(Source!A46)</f>
        <v>46</v>
      </c>
      <c r="B71">
        <v>16784358</v>
      </c>
      <c r="C71">
        <v>16784333</v>
      </c>
      <c r="D71">
        <v>15249355</v>
      </c>
      <c r="E71">
        <v>1</v>
      </c>
      <c r="F71">
        <v>1</v>
      </c>
      <c r="G71">
        <v>1</v>
      </c>
      <c r="H71">
        <v>2</v>
      </c>
      <c r="I71" t="s">
        <v>546</v>
      </c>
      <c r="J71" t="s">
        <v>547</v>
      </c>
      <c r="K71" t="s">
        <v>548</v>
      </c>
      <c r="L71">
        <v>1368</v>
      </c>
      <c r="N71">
        <v>1011</v>
      </c>
      <c r="O71" t="s">
        <v>501</v>
      </c>
      <c r="P71" t="s">
        <v>501</v>
      </c>
      <c r="Q71">
        <v>1</v>
      </c>
      <c r="X71">
        <v>2.0299999999999998</v>
      </c>
      <c r="Y71">
        <v>0</v>
      </c>
      <c r="Z71">
        <v>12.31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82</v>
      </c>
      <c r="AG71">
        <v>1.4209999999999998</v>
      </c>
      <c r="AH71">
        <v>2</v>
      </c>
      <c r="AI71">
        <v>16784340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ROW(Source!A46)</f>
        <v>46</v>
      </c>
      <c r="B72">
        <v>16784359</v>
      </c>
      <c r="C72">
        <v>16784333</v>
      </c>
      <c r="D72">
        <v>15165653</v>
      </c>
      <c r="E72">
        <v>1</v>
      </c>
      <c r="F72">
        <v>1</v>
      </c>
      <c r="G72">
        <v>1</v>
      </c>
      <c r="H72">
        <v>3</v>
      </c>
      <c r="I72" t="s">
        <v>549</v>
      </c>
      <c r="J72" t="s">
        <v>550</v>
      </c>
      <c r="K72" t="s">
        <v>551</v>
      </c>
      <c r="L72">
        <v>1339</v>
      </c>
      <c r="N72">
        <v>1007</v>
      </c>
      <c r="O72" t="s">
        <v>128</v>
      </c>
      <c r="P72" t="s">
        <v>128</v>
      </c>
      <c r="Q72">
        <v>1</v>
      </c>
      <c r="X72">
        <v>1.5</v>
      </c>
      <c r="Y72">
        <v>6.22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81</v>
      </c>
      <c r="AG72">
        <v>0</v>
      </c>
      <c r="AH72">
        <v>2</v>
      </c>
      <c r="AI72">
        <v>16784341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ROW(Source!A46)</f>
        <v>46</v>
      </c>
      <c r="B73">
        <v>16784360</v>
      </c>
      <c r="C73">
        <v>16784333</v>
      </c>
      <c r="D73">
        <v>15165660</v>
      </c>
      <c r="E73">
        <v>1</v>
      </c>
      <c r="F73">
        <v>1</v>
      </c>
      <c r="G73">
        <v>1</v>
      </c>
      <c r="H73">
        <v>3</v>
      </c>
      <c r="I73" t="s">
        <v>552</v>
      </c>
      <c r="J73" t="s">
        <v>553</v>
      </c>
      <c r="K73" t="s">
        <v>554</v>
      </c>
      <c r="L73">
        <v>1346</v>
      </c>
      <c r="N73">
        <v>1009</v>
      </c>
      <c r="O73" t="s">
        <v>60</v>
      </c>
      <c r="P73" t="s">
        <v>60</v>
      </c>
      <c r="Q73">
        <v>1</v>
      </c>
      <c r="X73">
        <v>0.45</v>
      </c>
      <c r="Y73">
        <v>6.09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81</v>
      </c>
      <c r="AG73">
        <v>0</v>
      </c>
      <c r="AH73">
        <v>2</v>
      </c>
      <c r="AI73">
        <v>16784342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ROW(Source!A46)</f>
        <v>46</v>
      </c>
      <c r="B74">
        <v>16784361</v>
      </c>
      <c r="C74">
        <v>16784333</v>
      </c>
      <c r="D74">
        <v>15168753</v>
      </c>
      <c r="E74">
        <v>1</v>
      </c>
      <c r="F74">
        <v>1</v>
      </c>
      <c r="G74">
        <v>1</v>
      </c>
      <c r="H74">
        <v>3</v>
      </c>
      <c r="I74" t="s">
        <v>555</v>
      </c>
      <c r="J74" t="s">
        <v>556</v>
      </c>
      <c r="K74" t="s">
        <v>557</v>
      </c>
      <c r="L74">
        <v>1348</v>
      </c>
      <c r="N74">
        <v>1009</v>
      </c>
      <c r="O74" t="s">
        <v>65</v>
      </c>
      <c r="P74" t="s">
        <v>65</v>
      </c>
      <c r="Q74">
        <v>1000</v>
      </c>
      <c r="X74">
        <v>1.4E-3</v>
      </c>
      <c r="Y74">
        <v>10749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81</v>
      </c>
      <c r="AG74">
        <v>0</v>
      </c>
      <c r="AH74">
        <v>2</v>
      </c>
      <c r="AI74">
        <v>16784343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ROW(Source!A46)</f>
        <v>46</v>
      </c>
      <c r="B75">
        <v>16784362</v>
      </c>
      <c r="C75">
        <v>16784333</v>
      </c>
      <c r="D75">
        <v>15169941</v>
      </c>
      <c r="E75">
        <v>1</v>
      </c>
      <c r="F75">
        <v>1</v>
      </c>
      <c r="G75">
        <v>1</v>
      </c>
      <c r="H75">
        <v>3</v>
      </c>
      <c r="I75" t="s">
        <v>558</v>
      </c>
      <c r="J75" t="s">
        <v>559</v>
      </c>
      <c r="K75" t="s">
        <v>560</v>
      </c>
      <c r="L75">
        <v>1348</v>
      </c>
      <c r="N75">
        <v>1009</v>
      </c>
      <c r="O75" t="s">
        <v>65</v>
      </c>
      <c r="P75" t="s">
        <v>65</v>
      </c>
      <c r="Q75">
        <v>1000</v>
      </c>
      <c r="X75">
        <v>3.3E-3</v>
      </c>
      <c r="Y75">
        <v>9040.01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81</v>
      </c>
      <c r="AG75">
        <v>0</v>
      </c>
      <c r="AH75">
        <v>2</v>
      </c>
      <c r="AI75">
        <v>16784344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ROW(Source!A46)</f>
        <v>46</v>
      </c>
      <c r="B76">
        <v>16784363</v>
      </c>
      <c r="C76">
        <v>16784333</v>
      </c>
      <c r="D76">
        <v>15170039</v>
      </c>
      <c r="E76">
        <v>1</v>
      </c>
      <c r="F76">
        <v>1</v>
      </c>
      <c r="G76">
        <v>1</v>
      </c>
      <c r="H76">
        <v>3</v>
      </c>
      <c r="I76" t="s">
        <v>561</v>
      </c>
      <c r="J76" t="s">
        <v>562</v>
      </c>
      <c r="K76" t="s">
        <v>563</v>
      </c>
      <c r="L76">
        <v>1348</v>
      </c>
      <c r="N76">
        <v>1009</v>
      </c>
      <c r="O76" t="s">
        <v>65</v>
      </c>
      <c r="P76" t="s">
        <v>65</v>
      </c>
      <c r="Q76">
        <v>1000</v>
      </c>
      <c r="X76">
        <v>1.0000000000000001E-5</v>
      </c>
      <c r="Y76">
        <v>11978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81</v>
      </c>
      <c r="AG76">
        <v>0</v>
      </c>
      <c r="AH76">
        <v>2</v>
      </c>
      <c r="AI76">
        <v>16784345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ROW(Source!A46)</f>
        <v>46</v>
      </c>
      <c r="B77">
        <v>16784364</v>
      </c>
      <c r="C77">
        <v>16784333</v>
      </c>
      <c r="D77">
        <v>15171021</v>
      </c>
      <c r="E77">
        <v>1</v>
      </c>
      <c r="F77">
        <v>1</v>
      </c>
      <c r="G77">
        <v>1</v>
      </c>
      <c r="H77">
        <v>3</v>
      </c>
      <c r="I77" t="s">
        <v>564</v>
      </c>
      <c r="J77" t="s">
        <v>565</v>
      </c>
      <c r="K77" t="s">
        <v>566</v>
      </c>
      <c r="L77">
        <v>1348</v>
      </c>
      <c r="N77">
        <v>1009</v>
      </c>
      <c r="O77" t="s">
        <v>65</v>
      </c>
      <c r="P77" t="s">
        <v>65</v>
      </c>
      <c r="Q77">
        <v>1000</v>
      </c>
      <c r="X77">
        <v>1E-4</v>
      </c>
      <c r="Y77">
        <v>37900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81</v>
      </c>
      <c r="AG77">
        <v>0</v>
      </c>
      <c r="AH77">
        <v>2</v>
      </c>
      <c r="AI77">
        <v>16784346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ROW(Source!A46)</f>
        <v>46</v>
      </c>
      <c r="B78">
        <v>16784365</v>
      </c>
      <c r="C78">
        <v>16784333</v>
      </c>
      <c r="D78">
        <v>15161825</v>
      </c>
      <c r="E78">
        <v>17</v>
      </c>
      <c r="F78">
        <v>1</v>
      </c>
      <c r="G78">
        <v>1</v>
      </c>
      <c r="H78">
        <v>3</v>
      </c>
      <c r="I78" t="s">
        <v>779</v>
      </c>
      <c r="J78" t="s">
        <v>6</v>
      </c>
      <c r="K78" t="s">
        <v>780</v>
      </c>
      <c r="L78">
        <v>1348</v>
      </c>
      <c r="N78">
        <v>1009</v>
      </c>
      <c r="O78" t="s">
        <v>65</v>
      </c>
      <c r="P78" t="s">
        <v>65</v>
      </c>
      <c r="Q78">
        <v>1000</v>
      </c>
      <c r="X78">
        <v>1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 t="s">
        <v>81</v>
      </c>
      <c r="AG78">
        <v>0</v>
      </c>
      <c r="AH78">
        <v>3</v>
      </c>
      <c r="AI78">
        <v>-1</v>
      </c>
      <c r="AJ78" t="s">
        <v>6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ROW(Source!A46)</f>
        <v>46</v>
      </c>
      <c r="B79">
        <v>16784366</v>
      </c>
      <c r="C79">
        <v>16784333</v>
      </c>
      <c r="D79">
        <v>15190794</v>
      </c>
      <c r="E79">
        <v>1</v>
      </c>
      <c r="F79">
        <v>1</v>
      </c>
      <c r="G79">
        <v>1</v>
      </c>
      <c r="H79">
        <v>3</v>
      </c>
      <c r="I79" t="s">
        <v>567</v>
      </c>
      <c r="J79" t="s">
        <v>568</v>
      </c>
      <c r="K79" t="s">
        <v>569</v>
      </c>
      <c r="L79">
        <v>1302</v>
      </c>
      <c r="N79">
        <v>1003</v>
      </c>
      <c r="O79" t="s">
        <v>74</v>
      </c>
      <c r="P79" t="s">
        <v>74</v>
      </c>
      <c r="Q79">
        <v>10</v>
      </c>
      <c r="X79">
        <v>1.8700000000000001E-2</v>
      </c>
      <c r="Y79">
        <v>50.24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81</v>
      </c>
      <c r="AG79">
        <v>0</v>
      </c>
      <c r="AH79">
        <v>2</v>
      </c>
      <c r="AI79">
        <v>16784347</v>
      </c>
      <c r="AJ79">
        <v>78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ROW(Source!A46)</f>
        <v>46</v>
      </c>
      <c r="B80">
        <v>16784367</v>
      </c>
      <c r="C80">
        <v>16784333</v>
      </c>
      <c r="D80">
        <v>15191153</v>
      </c>
      <c r="E80">
        <v>1</v>
      </c>
      <c r="F80">
        <v>1</v>
      </c>
      <c r="G80">
        <v>1</v>
      </c>
      <c r="H80">
        <v>3</v>
      </c>
      <c r="I80" t="s">
        <v>570</v>
      </c>
      <c r="J80" t="s">
        <v>571</v>
      </c>
      <c r="K80" t="s">
        <v>572</v>
      </c>
      <c r="L80">
        <v>1348</v>
      </c>
      <c r="N80">
        <v>1009</v>
      </c>
      <c r="O80" t="s">
        <v>65</v>
      </c>
      <c r="P80" t="s">
        <v>65</v>
      </c>
      <c r="Q80">
        <v>1000</v>
      </c>
      <c r="X80">
        <v>3.0000000000000001E-5</v>
      </c>
      <c r="Y80">
        <v>4455.2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81</v>
      </c>
      <c r="AG80">
        <v>0</v>
      </c>
      <c r="AH80">
        <v>2</v>
      </c>
      <c r="AI80">
        <v>16784348</v>
      </c>
      <c r="AJ80">
        <v>79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ROW(Source!A46)</f>
        <v>46</v>
      </c>
      <c r="B81">
        <v>16784368</v>
      </c>
      <c r="C81">
        <v>16784333</v>
      </c>
      <c r="D81">
        <v>15191913</v>
      </c>
      <c r="E81">
        <v>1</v>
      </c>
      <c r="F81">
        <v>1</v>
      </c>
      <c r="G81">
        <v>1</v>
      </c>
      <c r="H81">
        <v>3</v>
      </c>
      <c r="I81" t="s">
        <v>573</v>
      </c>
      <c r="J81" t="s">
        <v>574</v>
      </c>
      <c r="K81" t="s">
        <v>575</v>
      </c>
      <c r="L81">
        <v>1348</v>
      </c>
      <c r="N81">
        <v>1009</v>
      </c>
      <c r="O81" t="s">
        <v>65</v>
      </c>
      <c r="P81" t="s">
        <v>65</v>
      </c>
      <c r="Q81">
        <v>1000</v>
      </c>
      <c r="X81">
        <v>1.9400000000000001E-3</v>
      </c>
      <c r="Y81">
        <v>4920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81</v>
      </c>
      <c r="AG81">
        <v>0</v>
      </c>
      <c r="AH81">
        <v>2</v>
      </c>
      <c r="AI81">
        <v>16784349</v>
      </c>
      <c r="AJ81">
        <v>80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ROW(Source!A46)</f>
        <v>46</v>
      </c>
      <c r="B82">
        <v>16784369</v>
      </c>
      <c r="C82">
        <v>16784333</v>
      </c>
      <c r="D82">
        <v>15203461</v>
      </c>
      <c r="E82">
        <v>1</v>
      </c>
      <c r="F82">
        <v>1</v>
      </c>
      <c r="G82">
        <v>1</v>
      </c>
      <c r="H82">
        <v>3</v>
      </c>
      <c r="I82" t="s">
        <v>576</v>
      </c>
      <c r="J82" t="s">
        <v>577</v>
      </c>
      <c r="K82" t="s">
        <v>578</v>
      </c>
      <c r="L82">
        <v>1348</v>
      </c>
      <c r="N82">
        <v>1009</v>
      </c>
      <c r="O82" t="s">
        <v>65</v>
      </c>
      <c r="P82" t="s">
        <v>65</v>
      </c>
      <c r="Q82">
        <v>1000</v>
      </c>
      <c r="X82">
        <v>3.1E-4</v>
      </c>
      <c r="Y82">
        <v>15620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81</v>
      </c>
      <c r="AG82">
        <v>0</v>
      </c>
      <c r="AH82">
        <v>2</v>
      </c>
      <c r="AI82">
        <v>16784350</v>
      </c>
      <c r="AJ82">
        <v>81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ROW(Source!A46)</f>
        <v>46</v>
      </c>
      <c r="B83">
        <v>16784370</v>
      </c>
      <c r="C83">
        <v>16784333</v>
      </c>
      <c r="D83">
        <v>15204663</v>
      </c>
      <c r="E83">
        <v>1</v>
      </c>
      <c r="F83">
        <v>1</v>
      </c>
      <c r="G83">
        <v>1</v>
      </c>
      <c r="H83">
        <v>3</v>
      </c>
      <c r="I83" t="s">
        <v>579</v>
      </c>
      <c r="J83" t="s">
        <v>580</v>
      </c>
      <c r="K83" t="s">
        <v>581</v>
      </c>
      <c r="L83">
        <v>1348</v>
      </c>
      <c r="N83">
        <v>1009</v>
      </c>
      <c r="O83" t="s">
        <v>65</v>
      </c>
      <c r="P83" t="s">
        <v>65</v>
      </c>
      <c r="Q83">
        <v>1000</v>
      </c>
      <c r="X83">
        <v>5.9999999999999995E-4</v>
      </c>
      <c r="Y83">
        <v>9420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81</v>
      </c>
      <c r="AG83">
        <v>0</v>
      </c>
      <c r="AH83">
        <v>2</v>
      </c>
      <c r="AI83">
        <v>16784351</v>
      </c>
      <c r="AJ83">
        <v>82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ROW(Source!A47)</f>
        <v>47</v>
      </c>
      <c r="B84">
        <v>16784352</v>
      </c>
      <c r="C84">
        <v>16784333</v>
      </c>
      <c r="D84">
        <v>15430767</v>
      </c>
      <c r="E84">
        <v>1</v>
      </c>
      <c r="F84">
        <v>1</v>
      </c>
      <c r="G84">
        <v>1</v>
      </c>
      <c r="H84">
        <v>1</v>
      </c>
      <c r="I84" t="s">
        <v>527</v>
      </c>
      <c r="J84" t="s">
        <v>6</v>
      </c>
      <c r="K84" t="s">
        <v>528</v>
      </c>
      <c r="L84">
        <v>1191</v>
      </c>
      <c r="N84">
        <v>1013</v>
      </c>
      <c r="O84" t="s">
        <v>495</v>
      </c>
      <c r="P84" t="s">
        <v>495</v>
      </c>
      <c r="Q84">
        <v>1</v>
      </c>
      <c r="X84">
        <v>50.79</v>
      </c>
      <c r="Y84">
        <v>0</v>
      </c>
      <c r="Z84">
        <v>0</v>
      </c>
      <c r="AA84">
        <v>0</v>
      </c>
      <c r="AB84">
        <v>8.5299999999999994</v>
      </c>
      <c r="AC84">
        <v>0</v>
      </c>
      <c r="AD84">
        <v>1</v>
      </c>
      <c r="AE84">
        <v>1</v>
      </c>
      <c r="AF84" t="s">
        <v>82</v>
      </c>
      <c r="AG84">
        <v>35.552999999999997</v>
      </c>
      <c r="AH84">
        <v>2</v>
      </c>
      <c r="AI84">
        <v>16784334</v>
      </c>
      <c r="AJ84">
        <v>83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ROW(Source!A47)</f>
        <v>47</v>
      </c>
      <c r="B85">
        <v>16784353</v>
      </c>
      <c r="C85">
        <v>16784333</v>
      </c>
      <c r="D85">
        <v>15430395</v>
      </c>
      <c r="E85">
        <v>1</v>
      </c>
      <c r="F85">
        <v>1</v>
      </c>
      <c r="G85">
        <v>1</v>
      </c>
      <c r="H85">
        <v>1</v>
      </c>
      <c r="I85" t="s">
        <v>496</v>
      </c>
      <c r="J85" t="s">
        <v>6</v>
      </c>
      <c r="K85" t="s">
        <v>497</v>
      </c>
      <c r="L85">
        <v>1191</v>
      </c>
      <c r="N85">
        <v>1013</v>
      </c>
      <c r="O85" t="s">
        <v>495</v>
      </c>
      <c r="P85" t="s">
        <v>495</v>
      </c>
      <c r="Q85">
        <v>1</v>
      </c>
      <c r="X85">
        <v>0.31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2</v>
      </c>
      <c r="AF85" t="s">
        <v>82</v>
      </c>
      <c r="AG85">
        <v>0.217</v>
      </c>
      <c r="AH85">
        <v>2</v>
      </c>
      <c r="AI85">
        <v>16784335</v>
      </c>
      <c r="AJ85">
        <v>84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ROW(Source!A47)</f>
        <v>47</v>
      </c>
      <c r="B86">
        <v>16784354</v>
      </c>
      <c r="C86">
        <v>16784333</v>
      </c>
      <c r="D86">
        <v>15247680</v>
      </c>
      <c r="E86">
        <v>1</v>
      </c>
      <c r="F86">
        <v>1</v>
      </c>
      <c r="G86">
        <v>1</v>
      </c>
      <c r="H86">
        <v>2</v>
      </c>
      <c r="I86" t="s">
        <v>537</v>
      </c>
      <c r="J86" t="s">
        <v>538</v>
      </c>
      <c r="K86" t="s">
        <v>539</v>
      </c>
      <c r="L86">
        <v>1368</v>
      </c>
      <c r="N86">
        <v>1011</v>
      </c>
      <c r="O86" t="s">
        <v>501</v>
      </c>
      <c r="P86" t="s">
        <v>501</v>
      </c>
      <c r="Q86">
        <v>1</v>
      </c>
      <c r="X86">
        <v>0.12</v>
      </c>
      <c r="Y86">
        <v>0</v>
      </c>
      <c r="Z86">
        <v>111.99</v>
      </c>
      <c r="AA86">
        <v>13.5</v>
      </c>
      <c r="AB86">
        <v>0</v>
      </c>
      <c r="AC86">
        <v>0</v>
      </c>
      <c r="AD86">
        <v>1</v>
      </c>
      <c r="AE86">
        <v>0</v>
      </c>
      <c r="AF86" t="s">
        <v>82</v>
      </c>
      <c r="AG86">
        <v>8.3999999999999991E-2</v>
      </c>
      <c r="AH86">
        <v>2</v>
      </c>
      <c r="AI86">
        <v>16784336</v>
      </c>
      <c r="AJ86">
        <v>85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ROW(Source!A47)</f>
        <v>47</v>
      </c>
      <c r="B87">
        <v>16784355</v>
      </c>
      <c r="C87">
        <v>16784333</v>
      </c>
      <c r="D87">
        <v>15247880</v>
      </c>
      <c r="E87">
        <v>1</v>
      </c>
      <c r="F87">
        <v>1</v>
      </c>
      <c r="G87">
        <v>1</v>
      </c>
      <c r="H87">
        <v>2</v>
      </c>
      <c r="I87" t="s">
        <v>540</v>
      </c>
      <c r="J87" t="s">
        <v>541</v>
      </c>
      <c r="K87" t="s">
        <v>542</v>
      </c>
      <c r="L87">
        <v>1368</v>
      </c>
      <c r="N87">
        <v>1011</v>
      </c>
      <c r="O87" t="s">
        <v>501</v>
      </c>
      <c r="P87" t="s">
        <v>501</v>
      </c>
      <c r="Q87">
        <v>1</v>
      </c>
      <c r="X87">
        <v>10.53</v>
      </c>
      <c r="Y87">
        <v>0</v>
      </c>
      <c r="Z87">
        <v>6.9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82</v>
      </c>
      <c r="AG87">
        <v>7.3709999999999987</v>
      </c>
      <c r="AH87">
        <v>2</v>
      </c>
      <c r="AI87">
        <v>16784337</v>
      </c>
      <c r="AJ87">
        <v>86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ROW(Source!A47)</f>
        <v>47</v>
      </c>
      <c r="B88">
        <v>16784356</v>
      </c>
      <c r="C88">
        <v>16784333</v>
      </c>
      <c r="D88">
        <v>15249073</v>
      </c>
      <c r="E88">
        <v>1</v>
      </c>
      <c r="F88">
        <v>1</v>
      </c>
      <c r="G88">
        <v>1</v>
      </c>
      <c r="H88">
        <v>2</v>
      </c>
      <c r="I88" t="s">
        <v>504</v>
      </c>
      <c r="J88" t="s">
        <v>505</v>
      </c>
      <c r="K88" t="s">
        <v>506</v>
      </c>
      <c r="L88">
        <v>1368</v>
      </c>
      <c r="N88">
        <v>1011</v>
      </c>
      <c r="O88" t="s">
        <v>501</v>
      </c>
      <c r="P88" t="s">
        <v>501</v>
      </c>
      <c r="Q88">
        <v>1</v>
      </c>
      <c r="X88">
        <v>0.19</v>
      </c>
      <c r="Y88">
        <v>0</v>
      </c>
      <c r="Z88">
        <v>65.709999999999994</v>
      </c>
      <c r="AA88">
        <v>11.6</v>
      </c>
      <c r="AB88">
        <v>0</v>
      </c>
      <c r="AC88">
        <v>0</v>
      </c>
      <c r="AD88">
        <v>1</v>
      </c>
      <c r="AE88">
        <v>0</v>
      </c>
      <c r="AF88" t="s">
        <v>82</v>
      </c>
      <c r="AG88">
        <v>0.13299999999999998</v>
      </c>
      <c r="AH88">
        <v>2</v>
      </c>
      <c r="AI88">
        <v>16784338</v>
      </c>
      <c r="AJ88">
        <v>87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ROW(Source!A47)</f>
        <v>47</v>
      </c>
      <c r="B89">
        <v>16784357</v>
      </c>
      <c r="C89">
        <v>16784333</v>
      </c>
      <c r="D89">
        <v>15249308</v>
      </c>
      <c r="E89">
        <v>1</v>
      </c>
      <c r="F89">
        <v>1</v>
      </c>
      <c r="G89">
        <v>1</v>
      </c>
      <c r="H89">
        <v>2</v>
      </c>
      <c r="I89" t="s">
        <v>543</v>
      </c>
      <c r="J89" t="s">
        <v>544</v>
      </c>
      <c r="K89" t="s">
        <v>545</v>
      </c>
      <c r="L89">
        <v>1368</v>
      </c>
      <c r="N89">
        <v>1011</v>
      </c>
      <c r="O89" t="s">
        <v>501</v>
      </c>
      <c r="P89" t="s">
        <v>501</v>
      </c>
      <c r="Q89">
        <v>1</v>
      </c>
      <c r="X89">
        <v>1.86</v>
      </c>
      <c r="Y89">
        <v>0</v>
      </c>
      <c r="Z89">
        <v>1.2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82</v>
      </c>
      <c r="AG89">
        <v>1.302</v>
      </c>
      <c r="AH89">
        <v>2</v>
      </c>
      <c r="AI89">
        <v>16784339</v>
      </c>
      <c r="AJ89">
        <v>88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ROW(Source!A47)</f>
        <v>47</v>
      </c>
      <c r="B90">
        <v>16784358</v>
      </c>
      <c r="C90">
        <v>16784333</v>
      </c>
      <c r="D90">
        <v>15249355</v>
      </c>
      <c r="E90">
        <v>1</v>
      </c>
      <c r="F90">
        <v>1</v>
      </c>
      <c r="G90">
        <v>1</v>
      </c>
      <c r="H90">
        <v>2</v>
      </c>
      <c r="I90" t="s">
        <v>546</v>
      </c>
      <c r="J90" t="s">
        <v>547</v>
      </c>
      <c r="K90" t="s">
        <v>548</v>
      </c>
      <c r="L90">
        <v>1368</v>
      </c>
      <c r="N90">
        <v>1011</v>
      </c>
      <c r="O90" t="s">
        <v>501</v>
      </c>
      <c r="P90" t="s">
        <v>501</v>
      </c>
      <c r="Q90">
        <v>1</v>
      </c>
      <c r="X90">
        <v>2.0299999999999998</v>
      </c>
      <c r="Y90">
        <v>0</v>
      </c>
      <c r="Z90">
        <v>12.31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82</v>
      </c>
      <c r="AG90">
        <v>1.4209999999999998</v>
      </c>
      <c r="AH90">
        <v>2</v>
      </c>
      <c r="AI90">
        <v>16784340</v>
      </c>
      <c r="AJ90">
        <v>89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ROW(Source!A47)</f>
        <v>47</v>
      </c>
      <c r="B91">
        <v>16784359</v>
      </c>
      <c r="C91">
        <v>16784333</v>
      </c>
      <c r="D91">
        <v>15165653</v>
      </c>
      <c r="E91">
        <v>1</v>
      </c>
      <c r="F91">
        <v>1</v>
      </c>
      <c r="G91">
        <v>1</v>
      </c>
      <c r="H91">
        <v>3</v>
      </c>
      <c r="I91" t="s">
        <v>549</v>
      </c>
      <c r="J91" t="s">
        <v>550</v>
      </c>
      <c r="K91" t="s">
        <v>551</v>
      </c>
      <c r="L91">
        <v>1339</v>
      </c>
      <c r="N91">
        <v>1007</v>
      </c>
      <c r="O91" t="s">
        <v>128</v>
      </c>
      <c r="P91" t="s">
        <v>128</v>
      </c>
      <c r="Q91">
        <v>1</v>
      </c>
      <c r="X91">
        <v>1.5</v>
      </c>
      <c r="Y91">
        <v>6.22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81</v>
      </c>
      <c r="AG91">
        <v>0</v>
      </c>
      <c r="AH91">
        <v>2</v>
      </c>
      <c r="AI91">
        <v>16784341</v>
      </c>
      <c r="AJ91">
        <v>90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ROW(Source!A47)</f>
        <v>47</v>
      </c>
      <c r="B92">
        <v>16784360</v>
      </c>
      <c r="C92">
        <v>16784333</v>
      </c>
      <c r="D92">
        <v>15165660</v>
      </c>
      <c r="E92">
        <v>1</v>
      </c>
      <c r="F92">
        <v>1</v>
      </c>
      <c r="G92">
        <v>1</v>
      </c>
      <c r="H92">
        <v>3</v>
      </c>
      <c r="I92" t="s">
        <v>552</v>
      </c>
      <c r="J92" t="s">
        <v>553</v>
      </c>
      <c r="K92" t="s">
        <v>554</v>
      </c>
      <c r="L92">
        <v>1346</v>
      </c>
      <c r="N92">
        <v>1009</v>
      </c>
      <c r="O92" t="s">
        <v>60</v>
      </c>
      <c r="P92" t="s">
        <v>60</v>
      </c>
      <c r="Q92">
        <v>1</v>
      </c>
      <c r="X92">
        <v>0.45</v>
      </c>
      <c r="Y92">
        <v>6.09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81</v>
      </c>
      <c r="AG92">
        <v>0</v>
      </c>
      <c r="AH92">
        <v>2</v>
      </c>
      <c r="AI92">
        <v>16784342</v>
      </c>
      <c r="AJ92">
        <v>91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ROW(Source!A47)</f>
        <v>47</v>
      </c>
      <c r="B93">
        <v>16784361</v>
      </c>
      <c r="C93">
        <v>16784333</v>
      </c>
      <c r="D93">
        <v>15168753</v>
      </c>
      <c r="E93">
        <v>1</v>
      </c>
      <c r="F93">
        <v>1</v>
      </c>
      <c r="G93">
        <v>1</v>
      </c>
      <c r="H93">
        <v>3</v>
      </c>
      <c r="I93" t="s">
        <v>555</v>
      </c>
      <c r="J93" t="s">
        <v>556</v>
      </c>
      <c r="K93" t="s">
        <v>557</v>
      </c>
      <c r="L93">
        <v>1348</v>
      </c>
      <c r="N93">
        <v>1009</v>
      </c>
      <c r="O93" t="s">
        <v>65</v>
      </c>
      <c r="P93" t="s">
        <v>65</v>
      </c>
      <c r="Q93">
        <v>1000</v>
      </c>
      <c r="X93">
        <v>1.4E-3</v>
      </c>
      <c r="Y93">
        <v>10749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81</v>
      </c>
      <c r="AG93">
        <v>0</v>
      </c>
      <c r="AH93">
        <v>2</v>
      </c>
      <c r="AI93">
        <v>16784343</v>
      </c>
      <c r="AJ93">
        <v>92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ROW(Source!A47)</f>
        <v>47</v>
      </c>
      <c r="B94">
        <v>16784362</v>
      </c>
      <c r="C94">
        <v>16784333</v>
      </c>
      <c r="D94">
        <v>15169941</v>
      </c>
      <c r="E94">
        <v>1</v>
      </c>
      <c r="F94">
        <v>1</v>
      </c>
      <c r="G94">
        <v>1</v>
      </c>
      <c r="H94">
        <v>3</v>
      </c>
      <c r="I94" t="s">
        <v>558</v>
      </c>
      <c r="J94" t="s">
        <v>559</v>
      </c>
      <c r="K94" t="s">
        <v>560</v>
      </c>
      <c r="L94">
        <v>1348</v>
      </c>
      <c r="N94">
        <v>1009</v>
      </c>
      <c r="O94" t="s">
        <v>65</v>
      </c>
      <c r="P94" t="s">
        <v>65</v>
      </c>
      <c r="Q94">
        <v>1000</v>
      </c>
      <c r="X94">
        <v>3.3E-3</v>
      </c>
      <c r="Y94">
        <v>9040.01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81</v>
      </c>
      <c r="AG94">
        <v>0</v>
      </c>
      <c r="AH94">
        <v>2</v>
      </c>
      <c r="AI94">
        <v>16784344</v>
      </c>
      <c r="AJ94">
        <v>93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ROW(Source!A47)</f>
        <v>47</v>
      </c>
      <c r="B95">
        <v>16784363</v>
      </c>
      <c r="C95">
        <v>16784333</v>
      </c>
      <c r="D95">
        <v>15170039</v>
      </c>
      <c r="E95">
        <v>1</v>
      </c>
      <c r="F95">
        <v>1</v>
      </c>
      <c r="G95">
        <v>1</v>
      </c>
      <c r="H95">
        <v>3</v>
      </c>
      <c r="I95" t="s">
        <v>561</v>
      </c>
      <c r="J95" t="s">
        <v>562</v>
      </c>
      <c r="K95" t="s">
        <v>563</v>
      </c>
      <c r="L95">
        <v>1348</v>
      </c>
      <c r="N95">
        <v>1009</v>
      </c>
      <c r="O95" t="s">
        <v>65</v>
      </c>
      <c r="P95" t="s">
        <v>65</v>
      </c>
      <c r="Q95">
        <v>1000</v>
      </c>
      <c r="X95">
        <v>1.0000000000000001E-5</v>
      </c>
      <c r="Y95">
        <v>11978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81</v>
      </c>
      <c r="AG95">
        <v>0</v>
      </c>
      <c r="AH95">
        <v>2</v>
      </c>
      <c r="AI95">
        <v>16784345</v>
      </c>
      <c r="AJ95">
        <v>94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ROW(Source!A47)</f>
        <v>47</v>
      </c>
      <c r="B96">
        <v>16784364</v>
      </c>
      <c r="C96">
        <v>16784333</v>
      </c>
      <c r="D96">
        <v>15171021</v>
      </c>
      <c r="E96">
        <v>1</v>
      </c>
      <c r="F96">
        <v>1</v>
      </c>
      <c r="G96">
        <v>1</v>
      </c>
      <c r="H96">
        <v>3</v>
      </c>
      <c r="I96" t="s">
        <v>564</v>
      </c>
      <c r="J96" t="s">
        <v>565</v>
      </c>
      <c r="K96" t="s">
        <v>566</v>
      </c>
      <c r="L96">
        <v>1348</v>
      </c>
      <c r="N96">
        <v>1009</v>
      </c>
      <c r="O96" t="s">
        <v>65</v>
      </c>
      <c r="P96" t="s">
        <v>65</v>
      </c>
      <c r="Q96">
        <v>1000</v>
      </c>
      <c r="X96">
        <v>1E-4</v>
      </c>
      <c r="Y96">
        <v>37900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81</v>
      </c>
      <c r="AG96">
        <v>0</v>
      </c>
      <c r="AH96">
        <v>2</v>
      </c>
      <c r="AI96">
        <v>16784346</v>
      </c>
      <c r="AJ96">
        <v>95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ROW(Source!A47)</f>
        <v>47</v>
      </c>
      <c r="B97">
        <v>16784365</v>
      </c>
      <c r="C97">
        <v>16784333</v>
      </c>
      <c r="D97">
        <v>15161825</v>
      </c>
      <c r="E97">
        <v>17</v>
      </c>
      <c r="F97">
        <v>1</v>
      </c>
      <c r="G97">
        <v>1</v>
      </c>
      <c r="H97">
        <v>3</v>
      </c>
      <c r="I97" t="s">
        <v>779</v>
      </c>
      <c r="J97" t="s">
        <v>6</v>
      </c>
      <c r="K97" t="s">
        <v>780</v>
      </c>
      <c r="L97">
        <v>1348</v>
      </c>
      <c r="N97">
        <v>1009</v>
      </c>
      <c r="O97" t="s">
        <v>65</v>
      </c>
      <c r="P97" t="s">
        <v>65</v>
      </c>
      <c r="Q97">
        <v>1000</v>
      </c>
      <c r="X97">
        <v>1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 t="s">
        <v>81</v>
      </c>
      <c r="AG97">
        <v>0</v>
      </c>
      <c r="AH97">
        <v>3</v>
      </c>
      <c r="AI97">
        <v>-1</v>
      </c>
      <c r="AJ97" t="s">
        <v>6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ROW(Source!A47)</f>
        <v>47</v>
      </c>
      <c r="B98">
        <v>16784366</v>
      </c>
      <c r="C98">
        <v>16784333</v>
      </c>
      <c r="D98">
        <v>15190794</v>
      </c>
      <c r="E98">
        <v>1</v>
      </c>
      <c r="F98">
        <v>1</v>
      </c>
      <c r="G98">
        <v>1</v>
      </c>
      <c r="H98">
        <v>3</v>
      </c>
      <c r="I98" t="s">
        <v>567</v>
      </c>
      <c r="J98" t="s">
        <v>568</v>
      </c>
      <c r="K98" t="s">
        <v>569</v>
      </c>
      <c r="L98">
        <v>1302</v>
      </c>
      <c r="N98">
        <v>1003</v>
      </c>
      <c r="O98" t="s">
        <v>74</v>
      </c>
      <c r="P98" t="s">
        <v>74</v>
      </c>
      <c r="Q98">
        <v>10</v>
      </c>
      <c r="X98">
        <v>1.8700000000000001E-2</v>
      </c>
      <c r="Y98">
        <v>50.24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81</v>
      </c>
      <c r="AG98">
        <v>0</v>
      </c>
      <c r="AH98">
        <v>2</v>
      </c>
      <c r="AI98">
        <v>16784347</v>
      </c>
      <c r="AJ98">
        <v>96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ROW(Source!A47)</f>
        <v>47</v>
      </c>
      <c r="B99">
        <v>16784367</v>
      </c>
      <c r="C99">
        <v>16784333</v>
      </c>
      <c r="D99">
        <v>15191153</v>
      </c>
      <c r="E99">
        <v>1</v>
      </c>
      <c r="F99">
        <v>1</v>
      </c>
      <c r="G99">
        <v>1</v>
      </c>
      <c r="H99">
        <v>3</v>
      </c>
      <c r="I99" t="s">
        <v>570</v>
      </c>
      <c r="J99" t="s">
        <v>571</v>
      </c>
      <c r="K99" t="s">
        <v>572</v>
      </c>
      <c r="L99">
        <v>1348</v>
      </c>
      <c r="N99">
        <v>1009</v>
      </c>
      <c r="O99" t="s">
        <v>65</v>
      </c>
      <c r="P99" t="s">
        <v>65</v>
      </c>
      <c r="Q99">
        <v>1000</v>
      </c>
      <c r="X99">
        <v>3.0000000000000001E-5</v>
      </c>
      <c r="Y99">
        <v>4455.2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81</v>
      </c>
      <c r="AG99">
        <v>0</v>
      </c>
      <c r="AH99">
        <v>2</v>
      </c>
      <c r="AI99">
        <v>16784348</v>
      </c>
      <c r="AJ99">
        <v>97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ROW(Source!A47)</f>
        <v>47</v>
      </c>
      <c r="B100">
        <v>16784368</v>
      </c>
      <c r="C100">
        <v>16784333</v>
      </c>
      <c r="D100">
        <v>15191913</v>
      </c>
      <c r="E100">
        <v>1</v>
      </c>
      <c r="F100">
        <v>1</v>
      </c>
      <c r="G100">
        <v>1</v>
      </c>
      <c r="H100">
        <v>3</v>
      </c>
      <c r="I100" t="s">
        <v>573</v>
      </c>
      <c r="J100" t="s">
        <v>574</v>
      </c>
      <c r="K100" t="s">
        <v>575</v>
      </c>
      <c r="L100">
        <v>1348</v>
      </c>
      <c r="N100">
        <v>1009</v>
      </c>
      <c r="O100" t="s">
        <v>65</v>
      </c>
      <c r="P100" t="s">
        <v>65</v>
      </c>
      <c r="Q100">
        <v>1000</v>
      </c>
      <c r="X100">
        <v>1.9400000000000001E-3</v>
      </c>
      <c r="Y100">
        <v>4920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81</v>
      </c>
      <c r="AG100">
        <v>0</v>
      </c>
      <c r="AH100">
        <v>2</v>
      </c>
      <c r="AI100">
        <v>16784349</v>
      </c>
      <c r="AJ100">
        <v>98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ROW(Source!A47)</f>
        <v>47</v>
      </c>
      <c r="B101">
        <v>16784369</v>
      </c>
      <c r="C101">
        <v>16784333</v>
      </c>
      <c r="D101">
        <v>15203461</v>
      </c>
      <c r="E101">
        <v>1</v>
      </c>
      <c r="F101">
        <v>1</v>
      </c>
      <c r="G101">
        <v>1</v>
      </c>
      <c r="H101">
        <v>3</v>
      </c>
      <c r="I101" t="s">
        <v>576</v>
      </c>
      <c r="J101" t="s">
        <v>577</v>
      </c>
      <c r="K101" t="s">
        <v>578</v>
      </c>
      <c r="L101">
        <v>1348</v>
      </c>
      <c r="N101">
        <v>1009</v>
      </c>
      <c r="O101" t="s">
        <v>65</v>
      </c>
      <c r="P101" t="s">
        <v>65</v>
      </c>
      <c r="Q101">
        <v>1000</v>
      </c>
      <c r="X101">
        <v>3.1E-4</v>
      </c>
      <c r="Y101">
        <v>15620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81</v>
      </c>
      <c r="AG101">
        <v>0</v>
      </c>
      <c r="AH101">
        <v>2</v>
      </c>
      <c r="AI101">
        <v>16784350</v>
      </c>
      <c r="AJ101">
        <v>99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ROW(Source!A47)</f>
        <v>47</v>
      </c>
      <c r="B102">
        <v>16784370</v>
      </c>
      <c r="C102">
        <v>16784333</v>
      </c>
      <c r="D102">
        <v>15204663</v>
      </c>
      <c r="E102">
        <v>1</v>
      </c>
      <c r="F102">
        <v>1</v>
      </c>
      <c r="G102">
        <v>1</v>
      </c>
      <c r="H102">
        <v>3</v>
      </c>
      <c r="I102" t="s">
        <v>579</v>
      </c>
      <c r="J102" t="s">
        <v>580</v>
      </c>
      <c r="K102" t="s">
        <v>581</v>
      </c>
      <c r="L102">
        <v>1348</v>
      </c>
      <c r="N102">
        <v>1009</v>
      </c>
      <c r="O102" t="s">
        <v>65</v>
      </c>
      <c r="P102" t="s">
        <v>65</v>
      </c>
      <c r="Q102">
        <v>1000</v>
      </c>
      <c r="X102">
        <v>5.9999999999999995E-4</v>
      </c>
      <c r="Y102">
        <v>9420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81</v>
      </c>
      <c r="AG102">
        <v>0</v>
      </c>
      <c r="AH102">
        <v>2</v>
      </c>
      <c r="AI102">
        <v>16784351</v>
      </c>
      <c r="AJ102">
        <v>100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ROW(Source!A48)</f>
        <v>48</v>
      </c>
      <c r="B103">
        <v>16784380</v>
      </c>
      <c r="C103">
        <v>16784371</v>
      </c>
      <c r="D103">
        <v>15430767</v>
      </c>
      <c r="E103">
        <v>1</v>
      </c>
      <c r="F103">
        <v>1</v>
      </c>
      <c r="G103">
        <v>1</v>
      </c>
      <c r="H103">
        <v>1</v>
      </c>
      <c r="I103" t="s">
        <v>527</v>
      </c>
      <c r="J103" t="s">
        <v>6</v>
      </c>
      <c r="K103" t="s">
        <v>528</v>
      </c>
      <c r="L103">
        <v>1191</v>
      </c>
      <c r="N103">
        <v>1013</v>
      </c>
      <c r="O103" t="s">
        <v>495</v>
      </c>
      <c r="P103" t="s">
        <v>495</v>
      </c>
      <c r="Q103">
        <v>1</v>
      </c>
      <c r="X103">
        <v>41.41</v>
      </c>
      <c r="Y103">
        <v>0</v>
      </c>
      <c r="Z103">
        <v>0</v>
      </c>
      <c r="AA103">
        <v>0</v>
      </c>
      <c r="AB103">
        <v>8.5299999999999994</v>
      </c>
      <c r="AC103">
        <v>0</v>
      </c>
      <c r="AD103">
        <v>1</v>
      </c>
      <c r="AE103">
        <v>1</v>
      </c>
      <c r="AF103" t="s">
        <v>6</v>
      </c>
      <c r="AG103">
        <v>41.41</v>
      </c>
      <c r="AH103">
        <v>2</v>
      </c>
      <c r="AI103">
        <v>16784372</v>
      </c>
      <c r="AJ103">
        <v>101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ROW(Source!A48)</f>
        <v>48</v>
      </c>
      <c r="B104">
        <v>16784381</v>
      </c>
      <c r="C104">
        <v>16784371</v>
      </c>
      <c r="D104">
        <v>15430395</v>
      </c>
      <c r="E104">
        <v>1</v>
      </c>
      <c r="F104">
        <v>1</v>
      </c>
      <c r="G104">
        <v>1</v>
      </c>
      <c r="H104">
        <v>1</v>
      </c>
      <c r="I104" t="s">
        <v>496</v>
      </c>
      <c r="J104" t="s">
        <v>6</v>
      </c>
      <c r="K104" t="s">
        <v>497</v>
      </c>
      <c r="L104">
        <v>1191</v>
      </c>
      <c r="N104">
        <v>1013</v>
      </c>
      <c r="O104" t="s">
        <v>495</v>
      </c>
      <c r="P104" t="s">
        <v>495</v>
      </c>
      <c r="Q104">
        <v>1</v>
      </c>
      <c r="X104">
        <v>0.12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6</v>
      </c>
      <c r="AG104">
        <v>0.12</v>
      </c>
      <c r="AH104">
        <v>2</v>
      </c>
      <c r="AI104">
        <v>16784373</v>
      </c>
      <c r="AJ104">
        <v>102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ROW(Source!A48)</f>
        <v>48</v>
      </c>
      <c r="B105">
        <v>16784382</v>
      </c>
      <c r="C105">
        <v>16784371</v>
      </c>
      <c r="D105">
        <v>15247974</v>
      </c>
      <c r="E105">
        <v>1</v>
      </c>
      <c r="F105">
        <v>1</v>
      </c>
      <c r="G105">
        <v>1</v>
      </c>
      <c r="H105">
        <v>2</v>
      </c>
      <c r="I105" t="s">
        <v>498</v>
      </c>
      <c r="J105" t="s">
        <v>499</v>
      </c>
      <c r="K105" t="s">
        <v>500</v>
      </c>
      <c r="L105">
        <v>1368</v>
      </c>
      <c r="N105">
        <v>1011</v>
      </c>
      <c r="O105" t="s">
        <v>501</v>
      </c>
      <c r="P105" t="s">
        <v>501</v>
      </c>
      <c r="Q105">
        <v>1</v>
      </c>
      <c r="X105">
        <v>0.08</v>
      </c>
      <c r="Y105">
        <v>0</v>
      </c>
      <c r="Z105">
        <v>31.26</v>
      </c>
      <c r="AA105">
        <v>13.5</v>
      </c>
      <c r="AB105">
        <v>0</v>
      </c>
      <c r="AC105">
        <v>0</v>
      </c>
      <c r="AD105">
        <v>1</v>
      </c>
      <c r="AE105">
        <v>0</v>
      </c>
      <c r="AF105" t="s">
        <v>6</v>
      </c>
      <c r="AG105">
        <v>0.08</v>
      </c>
      <c r="AH105">
        <v>2</v>
      </c>
      <c r="AI105">
        <v>16784374</v>
      </c>
      <c r="AJ105">
        <v>103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ROW(Source!A48)</f>
        <v>48</v>
      </c>
      <c r="B106">
        <v>16784383</v>
      </c>
      <c r="C106">
        <v>16784371</v>
      </c>
      <c r="D106">
        <v>15249073</v>
      </c>
      <c r="E106">
        <v>1</v>
      </c>
      <c r="F106">
        <v>1</v>
      </c>
      <c r="G106">
        <v>1</v>
      </c>
      <c r="H106">
        <v>2</v>
      </c>
      <c r="I106" t="s">
        <v>504</v>
      </c>
      <c r="J106" t="s">
        <v>505</v>
      </c>
      <c r="K106" t="s">
        <v>506</v>
      </c>
      <c r="L106">
        <v>1368</v>
      </c>
      <c r="N106">
        <v>1011</v>
      </c>
      <c r="O106" t="s">
        <v>501</v>
      </c>
      <c r="P106" t="s">
        <v>501</v>
      </c>
      <c r="Q106">
        <v>1</v>
      </c>
      <c r="X106">
        <v>0.04</v>
      </c>
      <c r="Y106">
        <v>0</v>
      </c>
      <c r="Z106">
        <v>65.709999999999994</v>
      </c>
      <c r="AA106">
        <v>11.6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0.04</v>
      </c>
      <c r="AH106">
        <v>2</v>
      </c>
      <c r="AI106">
        <v>16784375</v>
      </c>
      <c r="AJ106">
        <v>104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ROW(Source!A48)</f>
        <v>48</v>
      </c>
      <c r="B107">
        <v>16784384</v>
      </c>
      <c r="C107">
        <v>16784371</v>
      </c>
      <c r="D107">
        <v>15164566</v>
      </c>
      <c r="E107">
        <v>17</v>
      </c>
      <c r="F107">
        <v>1</v>
      </c>
      <c r="G107">
        <v>1</v>
      </c>
      <c r="H107">
        <v>3</v>
      </c>
      <c r="I107" t="s">
        <v>781</v>
      </c>
      <c r="J107" t="s">
        <v>6</v>
      </c>
      <c r="K107" t="s">
        <v>782</v>
      </c>
      <c r="L107">
        <v>1348</v>
      </c>
      <c r="N107">
        <v>1009</v>
      </c>
      <c r="O107" t="s">
        <v>65</v>
      </c>
      <c r="P107" t="s">
        <v>65</v>
      </c>
      <c r="Q107">
        <v>1000</v>
      </c>
      <c r="X107">
        <v>0.224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 t="s">
        <v>6</v>
      </c>
      <c r="AG107">
        <v>0.224</v>
      </c>
      <c r="AH107">
        <v>3</v>
      </c>
      <c r="AI107">
        <v>-1</v>
      </c>
      <c r="AJ107" t="s">
        <v>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ROW(Source!A48)</f>
        <v>48</v>
      </c>
      <c r="B108">
        <v>16784385</v>
      </c>
      <c r="C108">
        <v>16784371</v>
      </c>
      <c r="D108">
        <v>15170039</v>
      </c>
      <c r="E108">
        <v>1</v>
      </c>
      <c r="F108">
        <v>1</v>
      </c>
      <c r="G108">
        <v>1</v>
      </c>
      <c r="H108">
        <v>3</v>
      </c>
      <c r="I108" t="s">
        <v>561</v>
      </c>
      <c r="J108" t="s">
        <v>562</v>
      </c>
      <c r="K108" t="s">
        <v>563</v>
      </c>
      <c r="L108">
        <v>1348</v>
      </c>
      <c r="N108">
        <v>1009</v>
      </c>
      <c r="O108" t="s">
        <v>65</v>
      </c>
      <c r="P108" t="s">
        <v>65</v>
      </c>
      <c r="Q108">
        <v>1000</v>
      </c>
      <c r="X108">
        <v>4.0000000000000001E-3</v>
      </c>
      <c r="Y108">
        <v>11978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6</v>
      </c>
      <c r="AG108">
        <v>4.0000000000000001E-3</v>
      </c>
      <c r="AH108">
        <v>2</v>
      </c>
      <c r="AI108">
        <v>16784376</v>
      </c>
      <c r="AJ108">
        <v>105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ROW(Source!A48)</f>
        <v>48</v>
      </c>
      <c r="B109">
        <v>16784386</v>
      </c>
      <c r="C109">
        <v>16784371</v>
      </c>
      <c r="D109">
        <v>15191139</v>
      </c>
      <c r="E109">
        <v>1</v>
      </c>
      <c r="F109">
        <v>1</v>
      </c>
      <c r="G109">
        <v>1</v>
      </c>
      <c r="H109">
        <v>3</v>
      </c>
      <c r="I109" t="s">
        <v>582</v>
      </c>
      <c r="J109" t="s">
        <v>583</v>
      </c>
      <c r="K109" t="s">
        <v>584</v>
      </c>
      <c r="L109">
        <v>1348</v>
      </c>
      <c r="N109">
        <v>1009</v>
      </c>
      <c r="O109" t="s">
        <v>65</v>
      </c>
      <c r="P109" t="s">
        <v>65</v>
      </c>
      <c r="Q109">
        <v>1000</v>
      </c>
      <c r="X109">
        <v>6.0000000000000001E-3</v>
      </c>
      <c r="Y109">
        <v>8023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6</v>
      </c>
      <c r="AG109">
        <v>6.0000000000000001E-3</v>
      </c>
      <c r="AH109">
        <v>2</v>
      </c>
      <c r="AI109">
        <v>16784377</v>
      </c>
      <c r="AJ109">
        <v>107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ROW(Source!A48)</f>
        <v>48</v>
      </c>
      <c r="B110">
        <v>16784387</v>
      </c>
      <c r="C110">
        <v>16784371</v>
      </c>
      <c r="D110">
        <v>15164570</v>
      </c>
      <c r="E110">
        <v>17</v>
      </c>
      <c r="F110">
        <v>1</v>
      </c>
      <c r="G110">
        <v>1</v>
      </c>
      <c r="H110">
        <v>3</v>
      </c>
      <c r="I110" t="s">
        <v>94</v>
      </c>
      <c r="J110" t="s">
        <v>6</v>
      </c>
      <c r="K110" t="s">
        <v>95</v>
      </c>
      <c r="L110">
        <v>1348</v>
      </c>
      <c r="N110">
        <v>1009</v>
      </c>
      <c r="O110" t="s">
        <v>65</v>
      </c>
      <c r="P110" t="s">
        <v>65</v>
      </c>
      <c r="Q110">
        <v>1000</v>
      </c>
      <c r="X110">
        <v>0.184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6</v>
      </c>
      <c r="AG110">
        <v>0.184</v>
      </c>
      <c r="AH110">
        <v>2</v>
      </c>
      <c r="AI110">
        <v>16784378</v>
      </c>
      <c r="AJ110">
        <v>108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ROW(Source!A49)</f>
        <v>49</v>
      </c>
      <c r="B111">
        <v>16784380</v>
      </c>
      <c r="C111">
        <v>16784371</v>
      </c>
      <c r="D111">
        <v>15430767</v>
      </c>
      <c r="E111">
        <v>1</v>
      </c>
      <c r="F111">
        <v>1</v>
      </c>
      <c r="G111">
        <v>1</v>
      </c>
      <c r="H111">
        <v>1</v>
      </c>
      <c r="I111" t="s">
        <v>527</v>
      </c>
      <c r="J111" t="s">
        <v>6</v>
      </c>
      <c r="K111" t="s">
        <v>528</v>
      </c>
      <c r="L111">
        <v>1191</v>
      </c>
      <c r="N111">
        <v>1013</v>
      </c>
      <c r="O111" t="s">
        <v>495</v>
      </c>
      <c r="P111" t="s">
        <v>495</v>
      </c>
      <c r="Q111">
        <v>1</v>
      </c>
      <c r="X111">
        <v>41.41</v>
      </c>
      <c r="Y111">
        <v>0</v>
      </c>
      <c r="Z111">
        <v>0</v>
      </c>
      <c r="AA111">
        <v>0</v>
      </c>
      <c r="AB111">
        <v>8.5299999999999994</v>
      </c>
      <c r="AC111">
        <v>0</v>
      </c>
      <c r="AD111">
        <v>1</v>
      </c>
      <c r="AE111">
        <v>1</v>
      </c>
      <c r="AF111" t="s">
        <v>6</v>
      </c>
      <c r="AG111">
        <v>41.41</v>
      </c>
      <c r="AH111">
        <v>2</v>
      </c>
      <c r="AI111">
        <v>16784372</v>
      </c>
      <c r="AJ111">
        <v>109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ROW(Source!A49)</f>
        <v>49</v>
      </c>
      <c r="B112">
        <v>16784381</v>
      </c>
      <c r="C112">
        <v>16784371</v>
      </c>
      <c r="D112">
        <v>15430395</v>
      </c>
      <c r="E112">
        <v>1</v>
      </c>
      <c r="F112">
        <v>1</v>
      </c>
      <c r="G112">
        <v>1</v>
      </c>
      <c r="H112">
        <v>1</v>
      </c>
      <c r="I112" t="s">
        <v>496</v>
      </c>
      <c r="J112" t="s">
        <v>6</v>
      </c>
      <c r="K112" t="s">
        <v>497</v>
      </c>
      <c r="L112">
        <v>1191</v>
      </c>
      <c r="N112">
        <v>1013</v>
      </c>
      <c r="O112" t="s">
        <v>495</v>
      </c>
      <c r="P112" t="s">
        <v>495</v>
      </c>
      <c r="Q112">
        <v>1</v>
      </c>
      <c r="X112">
        <v>0.12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2</v>
      </c>
      <c r="AF112" t="s">
        <v>6</v>
      </c>
      <c r="AG112">
        <v>0.12</v>
      </c>
      <c r="AH112">
        <v>2</v>
      </c>
      <c r="AI112">
        <v>16784373</v>
      </c>
      <c r="AJ112">
        <v>110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ROW(Source!A49)</f>
        <v>49</v>
      </c>
      <c r="B113">
        <v>16784382</v>
      </c>
      <c r="C113">
        <v>16784371</v>
      </c>
      <c r="D113">
        <v>15247974</v>
      </c>
      <c r="E113">
        <v>1</v>
      </c>
      <c r="F113">
        <v>1</v>
      </c>
      <c r="G113">
        <v>1</v>
      </c>
      <c r="H113">
        <v>2</v>
      </c>
      <c r="I113" t="s">
        <v>498</v>
      </c>
      <c r="J113" t="s">
        <v>499</v>
      </c>
      <c r="K113" t="s">
        <v>500</v>
      </c>
      <c r="L113">
        <v>1368</v>
      </c>
      <c r="N113">
        <v>1011</v>
      </c>
      <c r="O113" t="s">
        <v>501</v>
      </c>
      <c r="P113" t="s">
        <v>501</v>
      </c>
      <c r="Q113">
        <v>1</v>
      </c>
      <c r="X113">
        <v>0.08</v>
      </c>
      <c r="Y113">
        <v>0</v>
      </c>
      <c r="Z113">
        <v>31.26</v>
      </c>
      <c r="AA113">
        <v>13.5</v>
      </c>
      <c r="AB113">
        <v>0</v>
      </c>
      <c r="AC113">
        <v>0</v>
      </c>
      <c r="AD113">
        <v>1</v>
      </c>
      <c r="AE113">
        <v>0</v>
      </c>
      <c r="AF113" t="s">
        <v>6</v>
      </c>
      <c r="AG113">
        <v>0.08</v>
      </c>
      <c r="AH113">
        <v>2</v>
      </c>
      <c r="AI113">
        <v>16784374</v>
      </c>
      <c r="AJ113">
        <v>111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ROW(Source!A49)</f>
        <v>49</v>
      </c>
      <c r="B114">
        <v>16784383</v>
      </c>
      <c r="C114">
        <v>16784371</v>
      </c>
      <c r="D114">
        <v>15249073</v>
      </c>
      <c r="E114">
        <v>1</v>
      </c>
      <c r="F114">
        <v>1</v>
      </c>
      <c r="G114">
        <v>1</v>
      </c>
      <c r="H114">
        <v>2</v>
      </c>
      <c r="I114" t="s">
        <v>504</v>
      </c>
      <c r="J114" t="s">
        <v>505</v>
      </c>
      <c r="K114" t="s">
        <v>506</v>
      </c>
      <c r="L114">
        <v>1368</v>
      </c>
      <c r="N114">
        <v>1011</v>
      </c>
      <c r="O114" t="s">
        <v>501</v>
      </c>
      <c r="P114" t="s">
        <v>501</v>
      </c>
      <c r="Q114">
        <v>1</v>
      </c>
      <c r="X114">
        <v>0.04</v>
      </c>
      <c r="Y114">
        <v>0</v>
      </c>
      <c r="Z114">
        <v>65.709999999999994</v>
      </c>
      <c r="AA114">
        <v>11.6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0.04</v>
      </c>
      <c r="AH114">
        <v>2</v>
      </c>
      <c r="AI114">
        <v>16784375</v>
      </c>
      <c r="AJ114">
        <v>112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ROW(Source!A49)</f>
        <v>49</v>
      </c>
      <c r="B115">
        <v>16784384</v>
      </c>
      <c r="C115">
        <v>16784371</v>
      </c>
      <c r="D115">
        <v>15164566</v>
      </c>
      <c r="E115">
        <v>17</v>
      </c>
      <c r="F115">
        <v>1</v>
      </c>
      <c r="G115">
        <v>1</v>
      </c>
      <c r="H115">
        <v>3</v>
      </c>
      <c r="I115" t="s">
        <v>781</v>
      </c>
      <c r="J115" t="s">
        <v>6</v>
      </c>
      <c r="K115" t="s">
        <v>782</v>
      </c>
      <c r="L115">
        <v>1348</v>
      </c>
      <c r="N115">
        <v>1009</v>
      </c>
      <c r="O115" t="s">
        <v>65</v>
      </c>
      <c r="P115" t="s">
        <v>65</v>
      </c>
      <c r="Q115">
        <v>1000</v>
      </c>
      <c r="X115">
        <v>0.224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 t="s">
        <v>6</v>
      </c>
      <c r="AG115">
        <v>0.224</v>
      </c>
      <c r="AH115">
        <v>3</v>
      </c>
      <c r="AI115">
        <v>-1</v>
      </c>
      <c r="AJ115" t="s">
        <v>6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ROW(Source!A49)</f>
        <v>49</v>
      </c>
      <c r="B116">
        <v>16784385</v>
      </c>
      <c r="C116">
        <v>16784371</v>
      </c>
      <c r="D116">
        <v>15170039</v>
      </c>
      <c r="E116">
        <v>1</v>
      </c>
      <c r="F116">
        <v>1</v>
      </c>
      <c r="G116">
        <v>1</v>
      </c>
      <c r="H116">
        <v>3</v>
      </c>
      <c r="I116" t="s">
        <v>561</v>
      </c>
      <c r="J116" t="s">
        <v>562</v>
      </c>
      <c r="K116" t="s">
        <v>563</v>
      </c>
      <c r="L116">
        <v>1348</v>
      </c>
      <c r="N116">
        <v>1009</v>
      </c>
      <c r="O116" t="s">
        <v>65</v>
      </c>
      <c r="P116" t="s">
        <v>65</v>
      </c>
      <c r="Q116">
        <v>1000</v>
      </c>
      <c r="X116">
        <v>4.0000000000000001E-3</v>
      </c>
      <c r="Y116">
        <v>11978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6</v>
      </c>
      <c r="AG116">
        <v>4.0000000000000001E-3</v>
      </c>
      <c r="AH116">
        <v>2</v>
      </c>
      <c r="AI116">
        <v>16784376</v>
      </c>
      <c r="AJ116">
        <v>113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ROW(Source!A49)</f>
        <v>49</v>
      </c>
      <c r="B117">
        <v>16784386</v>
      </c>
      <c r="C117">
        <v>16784371</v>
      </c>
      <c r="D117">
        <v>15191139</v>
      </c>
      <c r="E117">
        <v>1</v>
      </c>
      <c r="F117">
        <v>1</v>
      </c>
      <c r="G117">
        <v>1</v>
      </c>
      <c r="H117">
        <v>3</v>
      </c>
      <c r="I117" t="s">
        <v>582</v>
      </c>
      <c r="J117" t="s">
        <v>583</v>
      </c>
      <c r="K117" t="s">
        <v>584</v>
      </c>
      <c r="L117">
        <v>1348</v>
      </c>
      <c r="N117">
        <v>1009</v>
      </c>
      <c r="O117" t="s">
        <v>65</v>
      </c>
      <c r="P117" t="s">
        <v>65</v>
      </c>
      <c r="Q117">
        <v>1000</v>
      </c>
      <c r="X117">
        <v>6.0000000000000001E-3</v>
      </c>
      <c r="Y117">
        <v>8023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6</v>
      </c>
      <c r="AG117">
        <v>6.0000000000000001E-3</v>
      </c>
      <c r="AH117">
        <v>2</v>
      </c>
      <c r="AI117">
        <v>16784377</v>
      </c>
      <c r="AJ117">
        <v>115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ROW(Source!A49)</f>
        <v>49</v>
      </c>
      <c r="B118">
        <v>16784387</v>
      </c>
      <c r="C118">
        <v>16784371</v>
      </c>
      <c r="D118">
        <v>15164570</v>
      </c>
      <c r="E118">
        <v>17</v>
      </c>
      <c r="F118">
        <v>1</v>
      </c>
      <c r="G118">
        <v>1</v>
      </c>
      <c r="H118">
        <v>3</v>
      </c>
      <c r="I118" t="s">
        <v>94</v>
      </c>
      <c r="J118" t="s">
        <v>6</v>
      </c>
      <c r="K118" t="s">
        <v>95</v>
      </c>
      <c r="L118">
        <v>1348</v>
      </c>
      <c r="N118">
        <v>1009</v>
      </c>
      <c r="O118" t="s">
        <v>65</v>
      </c>
      <c r="P118" t="s">
        <v>65</v>
      </c>
      <c r="Q118">
        <v>1000</v>
      </c>
      <c r="X118">
        <v>0.184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 t="s">
        <v>6</v>
      </c>
      <c r="AG118">
        <v>0.184</v>
      </c>
      <c r="AH118">
        <v>2</v>
      </c>
      <c r="AI118">
        <v>16784378</v>
      </c>
      <c r="AJ118">
        <v>116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ROW(Source!A54)</f>
        <v>54</v>
      </c>
      <c r="B119">
        <v>16784927</v>
      </c>
      <c r="C119">
        <v>16784926</v>
      </c>
      <c r="D119">
        <v>15430397</v>
      </c>
      <c r="E119">
        <v>1</v>
      </c>
      <c r="F119">
        <v>1</v>
      </c>
      <c r="G119">
        <v>1</v>
      </c>
      <c r="H119">
        <v>1</v>
      </c>
      <c r="I119" t="s">
        <v>585</v>
      </c>
      <c r="J119" t="s">
        <v>6</v>
      </c>
      <c r="K119" t="s">
        <v>586</v>
      </c>
      <c r="L119">
        <v>1191</v>
      </c>
      <c r="N119">
        <v>1013</v>
      </c>
      <c r="O119" t="s">
        <v>495</v>
      </c>
      <c r="P119" t="s">
        <v>495</v>
      </c>
      <c r="Q119">
        <v>1</v>
      </c>
      <c r="X119">
        <v>102.46</v>
      </c>
      <c r="Y119">
        <v>0</v>
      </c>
      <c r="Z119">
        <v>0</v>
      </c>
      <c r="AA119">
        <v>0</v>
      </c>
      <c r="AB119">
        <v>9.4</v>
      </c>
      <c r="AC119">
        <v>0</v>
      </c>
      <c r="AD119">
        <v>1</v>
      </c>
      <c r="AE119">
        <v>1</v>
      </c>
      <c r="AF119" t="s">
        <v>28</v>
      </c>
      <c r="AG119">
        <v>117.82899999999998</v>
      </c>
      <c r="AH119">
        <v>2</v>
      </c>
      <c r="AI119">
        <v>16784927</v>
      </c>
      <c r="AJ119">
        <v>117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ROW(Source!A54)</f>
        <v>54</v>
      </c>
      <c r="B120">
        <v>16784928</v>
      </c>
      <c r="C120">
        <v>16784926</v>
      </c>
      <c r="D120">
        <v>15430395</v>
      </c>
      <c r="E120">
        <v>1</v>
      </c>
      <c r="F120">
        <v>1</v>
      </c>
      <c r="G120">
        <v>1</v>
      </c>
      <c r="H120">
        <v>1</v>
      </c>
      <c r="I120" t="s">
        <v>496</v>
      </c>
      <c r="J120" t="s">
        <v>6</v>
      </c>
      <c r="K120" t="s">
        <v>497</v>
      </c>
      <c r="L120">
        <v>1191</v>
      </c>
      <c r="N120">
        <v>1013</v>
      </c>
      <c r="O120" t="s">
        <v>495</v>
      </c>
      <c r="P120" t="s">
        <v>495</v>
      </c>
      <c r="Q120">
        <v>1</v>
      </c>
      <c r="X120">
        <v>5.34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2</v>
      </c>
      <c r="AF120" t="s">
        <v>27</v>
      </c>
      <c r="AG120">
        <v>6.6749999999999998</v>
      </c>
      <c r="AH120">
        <v>2</v>
      </c>
      <c r="AI120">
        <v>16784928</v>
      </c>
      <c r="AJ120">
        <v>118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ROW(Source!A54)</f>
        <v>54</v>
      </c>
      <c r="B121">
        <v>16784929</v>
      </c>
      <c r="C121">
        <v>16784926</v>
      </c>
      <c r="D121">
        <v>15247974</v>
      </c>
      <c r="E121">
        <v>1</v>
      </c>
      <c r="F121">
        <v>1</v>
      </c>
      <c r="G121">
        <v>1</v>
      </c>
      <c r="H121">
        <v>2</v>
      </c>
      <c r="I121" t="s">
        <v>498</v>
      </c>
      <c r="J121" t="s">
        <v>499</v>
      </c>
      <c r="K121" t="s">
        <v>500</v>
      </c>
      <c r="L121">
        <v>1368</v>
      </c>
      <c r="N121">
        <v>1011</v>
      </c>
      <c r="O121" t="s">
        <v>501</v>
      </c>
      <c r="P121" t="s">
        <v>501</v>
      </c>
      <c r="Q121">
        <v>1</v>
      </c>
      <c r="X121">
        <v>0.76</v>
      </c>
      <c r="Y121">
        <v>0</v>
      </c>
      <c r="Z121">
        <v>31.26</v>
      </c>
      <c r="AA121">
        <v>13.5</v>
      </c>
      <c r="AB121">
        <v>0</v>
      </c>
      <c r="AC121">
        <v>0</v>
      </c>
      <c r="AD121">
        <v>1</v>
      </c>
      <c r="AE121">
        <v>0</v>
      </c>
      <c r="AF121" t="s">
        <v>27</v>
      </c>
      <c r="AG121">
        <v>0.95</v>
      </c>
      <c r="AH121">
        <v>2</v>
      </c>
      <c r="AI121">
        <v>16784929</v>
      </c>
      <c r="AJ121">
        <v>119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ROW(Source!A54)</f>
        <v>54</v>
      </c>
      <c r="B122">
        <v>16784930</v>
      </c>
      <c r="C122">
        <v>16784926</v>
      </c>
      <c r="D122">
        <v>15249073</v>
      </c>
      <c r="E122">
        <v>1</v>
      </c>
      <c r="F122">
        <v>1</v>
      </c>
      <c r="G122">
        <v>1</v>
      </c>
      <c r="H122">
        <v>2</v>
      </c>
      <c r="I122" t="s">
        <v>504</v>
      </c>
      <c r="J122" t="s">
        <v>505</v>
      </c>
      <c r="K122" t="s">
        <v>506</v>
      </c>
      <c r="L122">
        <v>1368</v>
      </c>
      <c r="N122">
        <v>1011</v>
      </c>
      <c r="O122" t="s">
        <v>501</v>
      </c>
      <c r="P122" t="s">
        <v>501</v>
      </c>
      <c r="Q122">
        <v>1</v>
      </c>
      <c r="X122">
        <v>4.58</v>
      </c>
      <c r="Y122">
        <v>0</v>
      </c>
      <c r="Z122">
        <v>65.709999999999994</v>
      </c>
      <c r="AA122">
        <v>11.6</v>
      </c>
      <c r="AB122">
        <v>0</v>
      </c>
      <c r="AC122">
        <v>0</v>
      </c>
      <c r="AD122">
        <v>1</v>
      </c>
      <c r="AE122">
        <v>0</v>
      </c>
      <c r="AF122" t="s">
        <v>27</v>
      </c>
      <c r="AG122">
        <v>5.7249999999999996</v>
      </c>
      <c r="AH122">
        <v>2</v>
      </c>
      <c r="AI122">
        <v>16784930</v>
      </c>
      <c r="AJ122">
        <v>120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ROW(Source!A54)</f>
        <v>54</v>
      </c>
      <c r="B123">
        <v>16784931</v>
      </c>
      <c r="C123">
        <v>16784926</v>
      </c>
      <c r="D123">
        <v>15167143</v>
      </c>
      <c r="E123">
        <v>1</v>
      </c>
      <c r="F123">
        <v>1</v>
      </c>
      <c r="G123">
        <v>1</v>
      </c>
      <c r="H123">
        <v>3</v>
      </c>
      <c r="I123" t="s">
        <v>587</v>
      </c>
      <c r="J123" t="s">
        <v>588</v>
      </c>
      <c r="K123" t="s">
        <v>589</v>
      </c>
      <c r="L123">
        <v>1327</v>
      </c>
      <c r="N123">
        <v>1005</v>
      </c>
      <c r="O123" t="s">
        <v>35</v>
      </c>
      <c r="P123" t="s">
        <v>35</v>
      </c>
      <c r="Q123">
        <v>1</v>
      </c>
      <c r="X123">
        <v>103</v>
      </c>
      <c r="Y123">
        <v>51.8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103</v>
      </c>
      <c r="AH123">
        <v>2</v>
      </c>
      <c r="AI123">
        <v>16784931</v>
      </c>
      <c r="AJ123">
        <v>121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ROW(Source!A55)</f>
        <v>55</v>
      </c>
      <c r="B124">
        <v>16784927</v>
      </c>
      <c r="C124">
        <v>16784926</v>
      </c>
      <c r="D124">
        <v>15430397</v>
      </c>
      <c r="E124">
        <v>1</v>
      </c>
      <c r="F124">
        <v>1</v>
      </c>
      <c r="G124">
        <v>1</v>
      </c>
      <c r="H124">
        <v>1</v>
      </c>
      <c r="I124" t="s">
        <v>585</v>
      </c>
      <c r="J124" t="s">
        <v>6</v>
      </c>
      <c r="K124" t="s">
        <v>586</v>
      </c>
      <c r="L124">
        <v>1191</v>
      </c>
      <c r="N124">
        <v>1013</v>
      </c>
      <c r="O124" t="s">
        <v>495</v>
      </c>
      <c r="P124" t="s">
        <v>495</v>
      </c>
      <c r="Q124">
        <v>1</v>
      </c>
      <c r="X124">
        <v>102.46</v>
      </c>
      <c r="Y124">
        <v>0</v>
      </c>
      <c r="Z124">
        <v>0</v>
      </c>
      <c r="AA124">
        <v>0</v>
      </c>
      <c r="AB124">
        <v>9.4</v>
      </c>
      <c r="AC124">
        <v>0</v>
      </c>
      <c r="AD124">
        <v>1</v>
      </c>
      <c r="AE124">
        <v>1</v>
      </c>
      <c r="AF124" t="s">
        <v>28</v>
      </c>
      <c r="AG124">
        <v>117.82899999999998</v>
      </c>
      <c r="AH124">
        <v>2</v>
      </c>
      <c r="AI124">
        <v>16784927</v>
      </c>
      <c r="AJ124">
        <v>122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ROW(Source!A55)</f>
        <v>55</v>
      </c>
      <c r="B125">
        <v>16784928</v>
      </c>
      <c r="C125">
        <v>16784926</v>
      </c>
      <c r="D125">
        <v>15430395</v>
      </c>
      <c r="E125">
        <v>1</v>
      </c>
      <c r="F125">
        <v>1</v>
      </c>
      <c r="G125">
        <v>1</v>
      </c>
      <c r="H125">
        <v>1</v>
      </c>
      <c r="I125" t="s">
        <v>496</v>
      </c>
      <c r="J125" t="s">
        <v>6</v>
      </c>
      <c r="K125" t="s">
        <v>497</v>
      </c>
      <c r="L125">
        <v>1191</v>
      </c>
      <c r="N125">
        <v>1013</v>
      </c>
      <c r="O125" t="s">
        <v>495</v>
      </c>
      <c r="P125" t="s">
        <v>495</v>
      </c>
      <c r="Q125">
        <v>1</v>
      </c>
      <c r="X125">
        <v>5.34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2</v>
      </c>
      <c r="AF125" t="s">
        <v>27</v>
      </c>
      <c r="AG125">
        <v>6.6749999999999998</v>
      </c>
      <c r="AH125">
        <v>2</v>
      </c>
      <c r="AI125">
        <v>16784928</v>
      </c>
      <c r="AJ125">
        <v>123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ROW(Source!A55)</f>
        <v>55</v>
      </c>
      <c r="B126">
        <v>16784929</v>
      </c>
      <c r="C126">
        <v>16784926</v>
      </c>
      <c r="D126">
        <v>15247974</v>
      </c>
      <c r="E126">
        <v>1</v>
      </c>
      <c r="F126">
        <v>1</v>
      </c>
      <c r="G126">
        <v>1</v>
      </c>
      <c r="H126">
        <v>2</v>
      </c>
      <c r="I126" t="s">
        <v>498</v>
      </c>
      <c r="J126" t="s">
        <v>499</v>
      </c>
      <c r="K126" t="s">
        <v>500</v>
      </c>
      <c r="L126">
        <v>1368</v>
      </c>
      <c r="N126">
        <v>1011</v>
      </c>
      <c r="O126" t="s">
        <v>501</v>
      </c>
      <c r="P126" t="s">
        <v>501</v>
      </c>
      <c r="Q126">
        <v>1</v>
      </c>
      <c r="X126">
        <v>0.76</v>
      </c>
      <c r="Y126">
        <v>0</v>
      </c>
      <c r="Z126">
        <v>31.26</v>
      </c>
      <c r="AA126">
        <v>13.5</v>
      </c>
      <c r="AB126">
        <v>0</v>
      </c>
      <c r="AC126">
        <v>0</v>
      </c>
      <c r="AD126">
        <v>1</v>
      </c>
      <c r="AE126">
        <v>0</v>
      </c>
      <c r="AF126" t="s">
        <v>27</v>
      </c>
      <c r="AG126">
        <v>0.95</v>
      </c>
      <c r="AH126">
        <v>2</v>
      </c>
      <c r="AI126">
        <v>16784929</v>
      </c>
      <c r="AJ126">
        <v>124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ROW(Source!A55)</f>
        <v>55</v>
      </c>
      <c r="B127">
        <v>16784930</v>
      </c>
      <c r="C127">
        <v>16784926</v>
      </c>
      <c r="D127">
        <v>15249073</v>
      </c>
      <c r="E127">
        <v>1</v>
      </c>
      <c r="F127">
        <v>1</v>
      </c>
      <c r="G127">
        <v>1</v>
      </c>
      <c r="H127">
        <v>2</v>
      </c>
      <c r="I127" t="s">
        <v>504</v>
      </c>
      <c r="J127" t="s">
        <v>505</v>
      </c>
      <c r="K127" t="s">
        <v>506</v>
      </c>
      <c r="L127">
        <v>1368</v>
      </c>
      <c r="N127">
        <v>1011</v>
      </c>
      <c r="O127" t="s">
        <v>501</v>
      </c>
      <c r="P127" t="s">
        <v>501</v>
      </c>
      <c r="Q127">
        <v>1</v>
      </c>
      <c r="X127">
        <v>4.58</v>
      </c>
      <c r="Y127">
        <v>0</v>
      </c>
      <c r="Z127">
        <v>65.709999999999994</v>
      </c>
      <c r="AA127">
        <v>11.6</v>
      </c>
      <c r="AB127">
        <v>0</v>
      </c>
      <c r="AC127">
        <v>0</v>
      </c>
      <c r="AD127">
        <v>1</v>
      </c>
      <c r="AE127">
        <v>0</v>
      </c>
      <c r="AF127" t="s">
        <v>27</v>
      </c>
      <c r="AG127">
        <v>5.7249999999999996</v>
      </c>
      <c r="AH127">
        <v>2</v>
      </c>
      <c r="AI127">
        <v>16784930</v>
      </c>
      <c r="AJ127">
        <v>125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ROW(Source!A55)</f>
        <v>55</v>
      </c>
      <c r="B128">
        <v>16784931</v>
      </c>
      <c r="C128">
        <v>16784926</v>
      </c>
      <c r="D128">
        <v>15167143</v>
      </c>
      <c r="E128">
        <v>1</v>
      </c>
      <c r="F128">
        <v>1</v>
      </c>
      <c r="G128">
        <v>1</v>
      </c>
      <c r="H128">
        <v>3</v>
      </c>
      <c r="I128" t="s">
        <v>587</v>
      </c>
      <c r="J128" t="s">
        <v>588</v>
      </c>
      <c r="K128" t="s">
        <v>589</v>
      </c>
      <c r="L128">
        <v>1327</v>
      </c>
      <c r="N128">
        <v>1005</v>
      </c>
      <c r="O128" t="s">
        <v>35</v>
      </c>
      <c r="P128" t="s">
        <v>35</v>
      </c>
      <c r="Q128">
        <v>1</v>
      </c>
      <c r="X128">
        <v>103</v>
      </c>
      <c r="Y128">
        <v>51.8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6</v>
      </c>
      <c r="AG128">
        <v>103</v>
      </c>
      <c r="AH128">
        <v>2</v>
      </c>
      <c r="AI128">
        <v>16784931</v>
      </c>
      <c r="AJ128">
        <v>126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ROW(Source!A56)</f>
        <v>56</v>
      </c>
      <c r="B129">
        <v>16784408</v>
      </c>
      <c r="C129">
        <v>16784404</v>
      </c>
      <c r="D129">
        <v>15430767</v>
      </c>
      <c r="E129">
        <v>1</v>
      </c>
      <c r="F129">
        <v>1</v>
      </c>
      <c r="G129">
        <v>1</v>
      </c>
      <c r="H129">
        <v>1</v>
      </c>
      <c r="I129" t="s">
        <v>527</v>
      </c>
      <c r="J129" t="s">
        <v>6</v>
      </c>
      <c r="K129" t="s">
        <v>528</v>
      </c>
      <c r="L129">
        <v>1191</v>
      </c>
      <c r="N129">
        <v>1013</v>
      </c>
      <c r="O129" t="s">
        <v>495</v>
      </c>
      <c r="P129" t="s">
        <v>495</v>
      </c>
      <c r="Q129">
        <v>1</v>
      </c>
      <c r="X129">
        <v>69.87</v>
      </c>
      <c r="Y129">
        <v>0</v>
      </c>
      <c r="Z129">
        <v>0</v>
      </c>
      <c r="AA129">
        <v>0</v>
      </c>
      <c r="AB129">
        <v>8.5299999999999994</v>
      </c>
      <c r="AC129">
        <v>0</v>
      </c>
      <c r="AD129">
        <v>1</v>
      </c>
      <c r="AE129">
        <v>1</v>
      </c>
      <c r="AF129" t="s">
        <v>6</v>
      </c>
      <c r="AG129">
        <v>69.87</v>
      </c>
      <c r="AH129">
        <v>2</v>
      </c>
      <c r="AI129">
        <v>16784405</v>
      </c>
      <c r="AJ129">
        <v>127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ROW(Source!A56)</f>
        <v>56</v>
      </c>
      <c r="B130">
        <v>16784409</v>
      </c>
      <c r="C130">
        <v>16784404</v>
      </c>
      <c r="D130">
        <v>15430395</v>
      </c>
      <c r="E130">
        <v>1</v>
      </c>
      <c r="F130">
        <v>1</v>
      </c>
      <c r="G130">
        <v>1</v>
      </c>
      <c r="H130">
        <v>1</v>
      </c>
      <c r="I130" t="s">
        <v>496</v>
      </c>
      <c r="J130" t="s">
        <v>6</v>
      </c>
      <c r="K130" t="s">
        <v>497</v>
      </c>
      <c r="L130">
        <v>1191</v>
      </c>
      <c r="N130">
        <v>1013</v>
      </c>
      <c r="O130" t="s">
        <v>495</v>
      </c>
      <c r="P130" t="s">
        <v>495</v>
      </c>
      <c r="Q130">
        <v>1</v>
      </c>
      <c r="X130">
        <v>1.44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2</v>
      </c>
      <c r="AF130" t="s">
        <v>6</v>
      </c>
      <c r="AG130">
        <v>1.44</v>
      </c>
      <c r="AH130">
        <v>2</v>
      </c>
      <c r="AI130">
        <v>16784406</v>
      </c>
      <c r="AJ130">
        <v>128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ROW(Source!A56)</f>
        <v>56</v>
      </c>
      <c r="B131">
        <v>16784410</v>
      </c>
      <c r="C131">
        <v>16784404</v>
      </c>
      <c r="D131">
        <v>15247974</v>
      </c>
      <c r="E131">
        <v>1</v>
      </c>
      <c r="F131">
        <v>1</v>
      </c>
      <c r="G131">
        <v>1</v>
      </c>
      <c r="H131">
        <v>2</v>
      </c>
      <c r="I131" t="s">
        <v>498</v>
      </c>
      <c r="J131" t="s">
        <v>499</v>
      </c>
      <c r="K131" t="s">
        <v>500</v>
      </c>
      <c r="L131">
        <v>1368</v>
      </c>
      <c r="N131">
        <v>1011</v>
      </c>
      <c r="O131" t="s">
        <v>501</v>
      </c>
      <c r="P131" t="s">
        <v>501</v>
      </c>
      <c r="Q131">
        <v>1</v>
      </c>
      <c r="X131">
        <v>1.44</v>
      </c>
      <c r="Y131">
        <v>0</v>
      </c>
      <c r="Z131">
        <v>31.26</v>
      </c>
      <c r="AA131">
        <v>13.5</v>
      </c>
      <c r="AB131">
        <v>0</v>
      </c>
      <c r="AC131">
        <v>0</v>
      </c>
      <c r="AD131">
        <v>1</v>
      </c>
      <c r="AE131">
        <v>0</v>
      </c>
      <c r="AF131" t="s">
        <v>6</v>
      </c>
      <c r="AG131">
        <v>1.44</v>
      </c>
      <c r="AH131">
        <v>2</v>
      </c>
      <c r="AI131">
        <v>16784407</v>
      </c>
      <c r="AJ131">
        <v>129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ROW(Source!A56)</f>
        <v>56</v>
      </c>
      <c r="B132">
        <v>16784411</v>
      </c>
      <c r="C132">
        <v>16784404</v>
      </c>
      <c r="D132">
        <v>15164566</v>
      </c>
      <c r="E132">
        <v>17</v>
      </c>
      <c r="F132">
        <v>1</v>
      </c>
      <c r="G132">
        <v>1</v>
      </c>
      <c r="H132">
        <v>3</v>
      </c>
      <c r="I132" t="s">
        <v>781</v>
      </c>
      <c r="J132" t="s">
        <v>6</v>
      </c>
      <c r="K132" t="s">
        <v>782</v>
      </c>
      <c r="L132">
        <v>1348</v>
      </c>
      <c r="N132">
        <v>1009</v>
      </c>
      <c r="O132" t="s">
        <v>65</v>
      </c>
      <c r="P132" t="s">
        <v>65</v>
      </c>
      <c r="Q132">
        <v>1000</v>
      </c>
      <c r="X132">
        <v>5.2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6</v>
      </c>
      <c r="AG132">
        <v>5.2</v>
      </c>
      <c r="AH132">
        <v>3</v>
      </c>
      <c r="AI132">
        <v>-1</v>
      </c>
      <c r="AJ132" t="s">
        <v>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ROW(Source!A57)</f>
        <v>57</v>
      </c>
      <c r="B133">
        <v>16784408</v>
      </c>
      <c r="C133">
        <v>16784404</v>
      </c>
      <c r="D133">
        <v>15430767</v>
      </c>
      <c r="E133">
        <v>1</v>
      </c>
      <c r="F133">
        <v>1</v>
      </c>
      <c r="G133">
        <v>1</v>
      </c>
      <c r="H133">
        <v>1</v>
      </c>
      <c r="I133" t="s">
        <v>527</v>
      </c>
      <c r="J133" t="s">
        <v>6</v>
      </c>
      <c r="K133" t="s">
        <v>528</v>
      </c>
      <c r="L133">
        <v>1191</v>
      </c>
      <c r="N133">
        <v>1013</v>
      </c>
      <c r="O133" t="s">
        <v>495</v>
      </c>
      <c r="P133" t="s">
        <v>495</v>
      </c>
      <c r="Q133">
        <v>1</v>
      </c>
      <c r="X133">
        <v>69.87</v>
      </c>
      <c r="Y133">
        <v>0</v>
      </c>
      <c r="Z133">
        <v>0</v>
      </c>
      <c r="AA133">
        <v>0</v>
      </c>
      <c r="AB133">
        <v>8.5299999999999994</v>
      </c>
      <c r="AC133">
        <v>0</v>
      </c>
      <c r="AD133">
        <v>1</v>
      </c>
      <c r="AE133">
        <v>1</v>
      </c>
      <c r="AF133" t="s">
        <v>6</v>
      </c>
      <c r="AG133">
        <v>69.87</v>
      </c>
      <c r="AH133">
        <v>2</v>
      </c>
      <c r="AI133">
        <v>16784405</v>
      </c>
      <c r="AJ133">
        <v>130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ROW(Source!A57)</f>
        <v>57</v>
      </c>
      <c r="B134">
        <v>16784409</v>
      </c>
      <c r="C134">
        <v>16784404</v>
      </c>
      <c r="D134">
        <v>15430395</v>
      </c>
      <c r="E134">
        <v>1</v>
      </c>
      <c r="F134">
        <v>1</v>
      </c>
      <c r="G134">
        <v>1</v>
      </c>
      <c r="H134">
        <v>1</v>
      </c>
      <c r="I134" t="s">
        <v>496</v>
      </c>
      <c r="J134" t="s">
        <v>6</v>
      </c>
      <c r="K134" t="s">
        <v>497</v>
      </c>
      <c r="L134">
        <v>1191</v>
      </c>
      <c r="N134">
        <v>1013</v>
      </c>
      <c r="O134" t="s">
        <v>495</v>
      </c>
      <c r="P134" t="s">
        <v>495</v>
      </c>
      <c r="Q134">
        <v>1</v>
      </c>
      <c r="X134">
        <v>1.44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2</v>
      </c>
      <c r="AF134" t="s">
        <v>6</v>
      </c>
      <c r="AG134">
        <v>1.44</v>
      </c>
      <c r="AH134">
        <v>2</v>
      </c>
      <c r="AI134">
        <v>16784406</v>
      </c>
      <c r="AJ134">
        <v>131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ROW(Source!A57)</f>
        <v>57</v>
      </c>
      <c r="B135">
        <v>16784410</v>
      </c>
      <c r="C135">
        <v>16784404</v>
      </c>
      <c r="D135">
        <v>15247974</v>
      </c>
      <c r="E135">
        <v>1</v>
      </c>
      <c r="F135">
        <v>1</v>
      </c>
      <c r="G135">
        <v>1</v>
      </c>
      <c r="H135">
        <v>2</v>
      </c>
      <c r="I135" t="s">
        <v>498</v>
      </c>
      <c r="J135" t="s">
        <v>499</v>
      </c>
      <c r="K135" t="s">
        <v>500</v>
      </c>
      <c r="L135">
        <v>1368</v>
      </c>
      <c r="N135">
        <v>1011</v>
      </c>
      <c r="O135" t="s">
        <v>501</v>
      </c>
      <c r="P135" t="s">
        <v>501</v>
      </c>
      <c r="Q135">
        <v>1</v>
      </c>
      <c r="X135">
        <v>1.44</v>
      </c>
      <c r="Y135">
        <v>0</v>
      </c>
      <c r="Z135">
        <v>31.26</v>
      </c>
      <c r="AA135">
        <v>13.5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1.44</v>
      </c>
      <c r="AH135">
        <v>2</v>
      </c>
      <c r="AI135">
        <v>16784407</v>
      </c>
      <c r="AJ135">
        <v>132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ROW(Source!A57)</f>
        <v>57</v>
      </c>
      <c r="B136">
        <v>16784411</v>
      </c>
      <c r="C136">
        <v>16784404</v>
      </c>
      <c r="D136">
        <v>15164566</v>
      </c>
      <c r="E136">
        <v>17</v>
      </c>
      <c r="F136">
        <v>1</v>
      </c>
      <c r="G136">
        <v>1</v>
      </c>
      <c r="H136">
        <v>3</v>
      </c>
      <c r="I136" t="s">
        <v>781</v>
      </c>
      <c r="J136" t="s">
        <v>6</v>
      </c>
      <c r="K136" t="s">
        <v>782</v>
      </c>
      <c r="L136">
        <v>1348</v>
      </c>
      <c r="N136">
        <v>1009</v>
      </c>
      <c r="O136" t="s">
        <v>65</v>
      </c>
      <c r="P136" t="s">
        <v>65</v>
      </c>
      <c r="Q136">
        <v>1000</v>
      </c>
      <c r="X136">
        <v>5.2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6</v>
      </c>
      <c r="AG136">
        <v>5.2</v>
      </c>
      <c r="AH136">
        <v>3</v>
      </c>
      <c r="AI136">
        <v>-1</v>
      </c>
      <c r="AJ136" t="s">
        <v>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ROW(Source!A58)</f>
        <v>58</v>
      </c>
      <c r="B137">
        <v>16784947</v>
      </c>
      <c r="C137">
        <v>16784946</v>
      </c>
      <c r="D137">
        <v>15430517</v>
      </c>
      <c r="E137">
        <v>1</v>
      </c>
      <c r="F137">
        <v>1</v>
      </c>
      <c r="G137">
        <v>1</v>
      </c>
      <c r="H137">
        <v>1</v>
      </c>
      <c r="I137" t="s">
        <v>590</v>
      </c>
      <c r="J137" t="s">
        <v>6</v>
      </c>
      <c r="K137" t="s">
        <v>591</v>
      </c>
      <c r="L137">
        <v>1191</v>
      </c>
      <c r="N137">
        <v>1013</v>
      </c>
      <c r="O137" t="s">
        <v>495</v>
      </c>
      <c r="P137" t="s">
        <v>495</v>
      </c>
      <c r="Q137">
        <v>1</v>
      </c>
      <c r="X137">
        <v>35.49</v>
      </c>
      <c r="Y137">
        <v>0</v>
      </c>
      <c r="Z137">
        <v>0</v>
      </c>
      <c r="AA137">
        <v>0</v>
      </c>
      <c r="AB137">
        <v>7.8</v>
      </c>
      <c r="AC137">
        <v>0</v>
      </c>
      <c r="AD137">
        <v>1</v>
      </c>
      <c r="AE137">
        <v>1</v>
      </c>
      <c r="AF137" t="s">
        <v>28</v>
      </c>
      <c r="AG137">
        <v>40.813499999999998</v>
      </c>
      <c r="AH137">
        <v>2</v>
      </c>
      <c r="AI137">
        <v>16784947</v>
      </c>
      <c r="AJ137">
        <v>133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ROW(Source!A58)</f>
        <v>58</v>
      </c>
      <c r="B138">
        <v>16784948</v>
      </c>
      <c r="C138">
        <v>16784946</v>
      </c>
      <c r="D138">
        <v>15430395</v>
      </c>
      <c r="E138">
        <v>1</v>
      </c>
      <c r="F138">
        <v>1</v>
      </c>
      <c r="G138">
        <v>1</v>
      </c>
      <c r="H138">
        <v>1</v>
      </c>
      <c r="I138" t="s">
        <v>496</v>
      </c>
      <c r="J138" t="s">
        <v>6</v>
      </c>
      <c r="K138" t="s">
        <v>497</v>
      </c>
      <c r="L138">
        <v>1191</v>
      </c>
      <c r="N138">
        <v>1013</v>
      </c>
      <c r="O138" t="s">
        <v>495</v>
      </c>
      <c r="P138" t="s">
        <v>495</v>
      </c>
      <c r="Q138">
        <v>1</v>
      </c>
      <c r="X138">
        <v>0.13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2</v>
      </c>
      <c r="AF138" t="s">
        <v>6</v>
      </c>
      <c r="AG138">
        <v>0.13</v>
      </c>
      <c r="AH138">
        <v>2</v>
      </c>
      <c r="AI138">
        <v>16784948</v>
      </c>
      <c r="AJ138">
        <v>134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ROW(Source!A58)</f>
        <v>58</v>
      </c>
      <c r="B139">
        <v>16784949</v>
      </c>
      <c r="C139">
        <v>16784946</v>
      </c>
      <c r="D139">
        <v>15247974</v>
      </c>
      <c r="E139">
        <v>1</v>
      </c>
      <c r="F139">
        <v>1</v>
      </c>
      <c r="G139">
        <v>1</v>
      </c>
      <c r="H139">
        <v>2</v>
      </c>
      <c r="I139" t="s">
        <v>498</v>
      </c>
      <c r="J139" t="s">
        <v>499</v>
      </c>
      <c r="K139" t="s">
        <v>500</v>
      </c>
      <c r="L139">
        <v>1368</v>
      </c>
      <c r="N139">
        <v>1011</v>
      </c>
      <c r="O139" t="s">
        <v>501</v>
      </c>
      <c r="P139" t="s">
        <v>501</v>
      </c>
      <c r="Q139">
        <v>1</v>
      </c>
      <c r="X139">
        <v>0.13</v>
      </c>
      <c r="Y139">
        <v>0</v>
      </c>
      <c r="Z139">
        <v>31.26</v>
      </c>
      <c r="AA139">
        <v>13.5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0.13</v>
      </c>
      <c r="AH139">
        <v>2</v>
      </c>
      <c r="AI139">
        <v>16784949</v>
      </c>
      <c r="AJ139">
        <v>135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ROW(Source!A58)</f>
        <v>58</v>
      </c>
      <c r="B140">
        <v>16784950</v>
      </c>
      <c r="C140">
        <v>16784946</v>
      </c>
      <c r="D140">
        <v>15164566</v>
      </c>
      <c r="E140">
        <v>17</v>
      </c>
      <c r="F140">
        <v>1</v>
      </c>
      <c r="G140">
        <v>1</v>
      </c>
      <c r="H140">
        <v>3</v>
      </c>
      <c r="I140" t="s">
        <v>781</v>
      </c>
      <c r="J140" t="s">
        <v>6</v>
      </c>
      <c r="K140" t="s">
        <v>782</v>
      </c>
      <c r="L140">
        <v>1348</v>
      </c>
      <c r="N140">
        <v>1009</v>
      </c>
      <c r="O140" t="s">
        <v>65</v>
      </c>
      <c r="P140" t="s">
        <v>65</v>
      </c>
      <c r="Q140">
        <v>1000</v>
      </c>
      <c r="X140">
        <v>1.4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 t="s">
        <v>6</v>
      </c>
      <c r="AG140">
        <v>1.4</v>
      </c>
      <c r="AH140">
        <v>3</v>
      </c>
      <c r="AI140">
        <v>-1</v>
      </c>
      <c r="AJ140" t="s">
        <v>6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ROW(Source!A59)</f>
        <v>59</v>
      </c>
      <c r="B141">
        <v>16784947</v>
      </c>
      <c r="C141">
        <v>16784946</v>
      </c>
      <c r="D141">
        <v>15430517</v>
      </c>
      <c r="E141">
        <v>1</v>
      </c>
      <c r="F141">
        <v>1</v>
      </c>
      <c r="G141">
        <v>1</v>
      </c>
      <c r="H141">
        <v>1</v>
      </c>
      <c r="I141" t="s">
        <v>590</v>
      </c>
      <c r="J141" t="s">
        <v>6</v>
      </c>
      <c r="K141" t="s">
        <v>591</v>
      </c>
      <c r="L141">
        <v>1191</v>
      </c>
      <c r="N141">
        <v>1013</v>
      </c>
      <c r="O141" t="s">
        <v>495</v>
      </c>
      <c r="P141" t="s">
        <v>495</v>
      </c>
      <c r="Q141">
        <v>1</v>
      </c>
      <c r="X141">
        <v>35.49</v>
      </c>
      <c r="Y141">
        <v>0</v>
      </c>
      <c r="Z141">
        <v>0</v>
      </c>
      <c r="AA141">
        <v>0</v>
      </c>
      <c r="AB141">
        <v>7.8</v>
      </c>
      <c r="AC141">
        <v>0</v>
      </c>
      <c r="AD141">
        <v>1</v>
      </c>
      <c r="AE141">
        <v>1</v>
      </c>
      <c r="AF141" t="s">
        <v>28</v>
      </c>
      <c r="AG141">
        <v>40.813499999999998</v>
      </c>
      <c r="AH141">
        <v>2</v>
      </c>
      <c r="AI141">
        <v>16784947</v>
      </c>
      <c r="AJ141">
        <v>136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ROW(Source!A59)</f>
        <v>59</v>
      </c>
      <c r="B142">
        <v>16784948</v>
      </c>
      <c r="C142">
        <v>16784946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496</v>
      </c>
      <c r="J142" t="s">
        <v>6</v>
      </c>
      <c r="K142" t="s">
        <v>497</v>
      </c>
      <c r="L142">
        <v>1191</v>
      </c>
      <c r="N142">
        <v>1013</v>
      </c>
      <c r="O142" t="s">
        <v>495</v>
      </c>
      <c r="P142" t="s">
        <v>495</v>
      </c>
      <c r="Q142">
        <v>1</v>
      </c>
      <c r="X142">
        <v>0.13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2</v>
      </c>
      <c r="AF142" t="s">
        <v>6</v>
      </c>
      <c r="AG142">
        <v>0.13</v>
      </c>
      <c r="AH142">
        <v>2</v>
      </c>
      <c r="AI142">
        <v>16784948</v>
      </c>
      <c r="AJ142">
        <v>137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ROW(Source!A59)</f>
        <v>59</v>
      </c>
      <c r="B143">
        <v>16784949</v>
      </c>
      <c r="C143">
        <v>16784946</v>
      </c>
      <c r="D143">
        <v>15247974</v>
      </c>
      <c r="E143">
        <v>1</v>
      </c>
      <c r="F143">
        <v>1</v>
      </c>
      <c r="G143">
        <v>1</v>
      </c>
      <c r="H143">
        <v>2</v>
      </c>
      <c r="I143" t="s">
        <v>498</v>
      </c>
      <c r="J143" t="s">
        <v>499</v>
      </c>
      <c r="K143" t="s">
        <v>500</v>
      </c>
      <c r="L143">
        <v>1368</v>
      </c>
      <c r="N143">
        <v>1011</v>
      </c>
      <c r="O143" t="s">
        <v>501</v>
      </c>
      <c r="P143" t="s">
        <v>501</v>
      </c>
      <c r="Q143">
        <v>1</v>
      </c>
      <c r="X143">
        <v>0.13</v>
      </c>
      <c r="Y143">
        <v>0</v>
      </c>
      <c r="Z143">
        <v>31.26</v>
      </c>
      <c r="AA143">
        <v>13.5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0.13</v>
      </c>
      <c r="AH143">
        <v>2</v>
      </c>
      <c r="AI143">
        <v>16784949</v>
      </c>
      <c r="AJ143">
        <v>138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ROW(Source!A59)</f>
        <v>59</v>
      </c>
      <c r="B144">
        <v>16784950</v>
      </c>
      <c r="C144">
        <v>16784946</v>
      </c>
      <c r="D144">
        <v>15164566</v>
      </c>
      <c r="E144">
        <v>17</v>
      </c>
      <c r="F144">
        <v>1</v>
      </c>
      <c r="G144">
        <v>1</v>
      </c>
      <c r="H144">
        <v>3</v>
      </c>
      <c r="I144" t="s">
        <v>781</v>
      </c>
      <c r="J144" t="s">
        <v>6</v>
      </c>
      <c r="K144" t="s">
        <v>782</v>
      </c>
      <c r="L144">
        <v>1348</v>
      </c>
      <c r="N144">
        <v>1009</v>
      </c>
      <c r="O144" t="s">
        <v>65</v>
      </c>
      <c r="P144" t="s">
        <v>65</v>
      </c>
      <c r="Q144">
        <v>1000</v>
      </c>
      <c r="X144">
        <v>1.4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 t="s">
        <v>6</v>
      </c>
      <c r="AG144">
        <v>1.4</v>
      </c>
      <c r="AH144">
        <v>3</v>
      </c>
      <c r="AI144">
        <v>-1</v>
      </c>
      <c r="AJ144" t="s">
        <v>6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ROW(Source!A60)</f>
        <v>60</v>
      </c>
      <c r="B145">
        <v>16784943</v>
      </c>
      <c r="C145">
        <v>16784942</v>
      </c>
      <c r="D145">
        <v>15430517</v>
      </c>
      <c r="E145">
        <v>1</v>
      </c>
      <c r="F145">
        <v>1</v>
      </c>
      <c r="G145">
        <v>1</v>
      </c>
      <c r="H145">
        <v>1</v>
      </c>
      <c r="I145" t="s">
        <v>590</v>
      </c>
      <c r="J145" t="s">
        <v>6</v>
      </c>
      <c r="K145" t="s">
        <v>591</v>
      </c>
      <c r="L145">
        <v>1191</v>
      </c>
      <c r="N145">
        <v>1013</v>
      </c>
      <c r="O145" t="s">
        <v>495</v>
      </c>
      <c r="P145" t="s">
        <v>495</v>
      </c>
      <c r="Q145">
        <v>1</v>
      </c>
      <c r="X145">
        <v>14.28</v>
      </c>
      <c r="Y145">
        <v>0</v>
      </c>
      <c r="Z145">
        <v>0</v>
      </c>
      <c r="AA145">
        <v>0</v>
      </c>
      <c r="AB145">
        <v>7.8</v>
      </c>
      <c r="AC145">
        <v>0</v>
      </c>
      <c r="AD145">
        <v>1</v>
      </c>
      <c r="AE145">
        <v>1</v>
      </c>
      <c r="AF145" t="s">
        <v>28</v>
      </c>
      <c r="AG145">
        <v>16.421999999999997</v>
      </c>
      <c r="AH145">
        <v>2</v>
      </c>
      <c r="AI145">
        <v>16784943</v>
      </c>
      <c r="AJ145">
        <v>139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ROW(Source!A60)</f>
        <v>60</v>
      </c>
      <c r="B146">
        <v>16784944</v>
      </c>
      <c r="C146">
        <v>16784942</v>
      </c>
      <c r="D146">
        <v>15164566</v>
      </c>
      <c r="E146">
        <v>17</v>
      </c>
      <c r="F146">
        <v>1</v>
      </c>
      <c r="G146">
        <v>1</v>
      </c>
      <c r="H146">
        <v>3</v>
      </c>
      <c r="I146" t="s">
        <v>781</v>
      </c>
      <c r="J146" t="s">
        <v>6</v>
      </c>
      <c r="K146" t="s">
        <v>782</v>
      </c>
      <c r="L146">
        <v>1348</v>
      </c>
      <c r="N146">
        <v>1009</v>
      </c>
      <c r="O146" t="s">
        <v>65</v>
      </c>
      <c r="P146" t="s">
        <v>65</v>
      </c>
      <c r="Q146">
        <v>1000</v>
      </c>
      <c r="X146">
        <v>0.62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 t="s">
        <v>6</v>
      </c>
      <c r="AG146">
        <v>0.62</v>
      </c>
      <c r="AH146">
        <v>3</v>
      </c>
      <c r="AI146">
        <v>-1</v>
      </c>
      <c r="AJ146" t="s">
        <v>6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ROW(Source!A61)</f>
        <v>61</v>
      </c>
      <c r="B147">
        <v>16784943</v>
      </c>
      <c r="C147">
        <v>16784942</v>
      </c>
      <c r="D147">
        <v>15430517</v>
      </c>
      <c r="E147">
        <v>1</v>
      </c>
      <c r="F147">
        <v>1</v>
      </c>
      <c r="G147">
        <v>1</v>
      </c>
      <c r="H147">
        <v>1</v>
      </c>
      <c r="I147" t="s">
        <v>590</v>
      </c>
      <c r="J147" t="s">
        <v>6</v>
      </c>
      <c r="K147" t="s">
        <v>591</v>
      </c>
      <c r="L147">
        <v>1191</v>
      </c>
      <c r="N147">
        <v>1013</v>
      </c>
      <c r="O147" t="s">
        <v>495</v>
      </c>
      <c r="P147" t="s">
        <v>495</v>
      </c>
      <c r="Q147">
        <v>1</v>
      </c>
      <c r="X147">
        <v>14.28</v>
      </c>
      <c r="Y147">
        <v>0</v>
      </c>
      <c r="Z147">
        <v>0</v>
      </c>
      <c r="AA147">
        <v>0</v>
      </c>
      <c r="AB147">
        <v>7.8</v>
      </c>
      <c r="AC147">
        <v>0</v>
      </c>
      <c r="AD147">
        <v>1</v>
      </c>
      <c r="AE147">
        <v>1</v>
      </c>
      <c r="AF147" t="s">
        <v>28</v>
      </c>
      <c r="AG147">
        <v>16.421999999999997</v>
      </c>
      <c r="AH147">
        <v>2</v>
      </c>
      <c r="AI147">
        <v>16784943</v>
      </c>
      <c r="AJ147">
        <v>140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ROW(Source!A61)</f>
        <v>61</v>
      </c>
      <c r="B148">
        <v>16784944</v>
      </c>
      <c r="C148">
        <v>16784942</v>
      </c>
      <c r="D148">
        <v>15164566</v>
      </c>
      <c r="E148">
        <v>17</v>
      </c>
      <c r="F148">
        <v>1</v>
      </c>
      <c r="G148">
        <v>1</v>
      </c>
      <c r="H148">
        <v>3</v>
      </c>
      <c r="I148" t="s">
        <v>781</v>
      </c>
      <c r="J148" t="s">
        <v>6</v>
      </c>
      <c r="K148" t="s">
        <v>782</v>
      </c>
      <c r="L148">
        <v>1348</v>
      </c>
      <c r="N148">
        <v>1009</v>
      </c>
      <c r="O148" t="s">
        <v>65</v>
      </c>
      <c r="P148" t="s">
        <v>65</v>
      </c>
      <c r="Q148">
        <v>1000</v>
      </c>
      <c r="X148">
        <v>0.62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 t="s">
        <v>6</v>
      </c>
      <c r="AG148">
        <v>0.62</v>
      </c>
      <c r="AH148">
        <v>3</v>
      </c>
      <c r="AI148">
        <v>-1</v>
      </c>
      <c r="AJ148" t="s">
        <v>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ROW(Source!A62)</f>
        <v>62</v>
      </c>
      <c r="B149">
        <v>16784423</v>
      </c>
      <c r="C149">
        <v>16784416</v>
      </c>
      <c r="D149">
        <v>15433640</v>
      </c>
      <c r="E149">
        <v>1</v>
      </c>
      <c r="F149">
        <v>1</v>
      </c>
      <c r="G149">
        <v>1</v>
      </c>
      <c r="H149">
        <v>1</v>
      </c>
      <c r="I149" t="s">
        <v>592</v>
      </c>
      <c r="J149" t="s">
        <v>6</v>
      </c>
      <c r="K149" t="s">
        <v>593</v>
      </c>
      <c r="L149">
        <v>1191</v>
      </c>
      <c r="N149">
        <v>1013</v>
      </c>
      <c r="O149" t="s">
        <v>495</v>
      </c>
      <c r="P149" t="s">
        <v>495</v>
      </c>
      <c r="Q149">
        <v>1</v>
      </c>
      <c r="X149">
        <v>39.51</v>
      </c>
      <c r="Y149">
        <v>0</v>
      </c>
      <c r="Z149">
        <v>0</v>
      </c>
      <c r="AA149">
        <v>0</v>
      </c>
      <c r="AB149">
        <v>7.94</v>
      </c>
      <c r="AC149">
        <v>0</v>
      </c>
      <c r="AD149">
        <v>1</v>
      </c>
      <c r="AE149">
        <v>1</v>
      </c>
      <c r="AF149" t="s">
        <v>28</v>
      </c>
      <c r="AG149">
        <v>45.436499999999995</v>
      </c>
      <c r="AH149">
        <v>2</v>
      </c>
      <c r="AI149">
        <v>16784417</v>
      </c>
      <c r="AJ149">
        <v>141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ROW(Source!A62)</f>
        <v>62</v>
      </c>
      <c r="B150">
        <v>16784424</v>
      </c>
      <c r="C150">
        <v>16784416</v>
      </c>
      <c r="D150">
        <v>15430395</v>
      </c>
      <c r="E150">
        <v>1</v>
      </c>
      <c r="F150">
        <v>1</v>
      </c>
      <c r="G150">
        <v>1</v>
      </c>
      <c r="H150">
        <v>1</v>
      </c>
      <c r="I150" t="s">
        <v>496</v>
      </c>
      <c r="J150" t="s">
        <v>6</v>
      </c>
      <c r="K150" t="s">
        <v>497</v>
      </c>
      <c r="L150">
        <v>1191</v>
      </c>
      <c r="N150">
        <v>1013</v>
      </c>
      <c r="O150" t="s">
        <v>495</v>
      </c>
      <c r="P150" t="s">
        <v>495</v>
      </c>
      <c r="Q150">
        <v>1</v>
      </c>
      <c r="X150">
        <v>1.27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1</v>
      </c>
      <c r="AE150">
        <v>2</v>
      </c>
      <c r="AF150" t="s">
        <v>27</v>
      </c>
      <c r="AG150">
        <v>1.5874999999999999</v>
      </c>
      <c r="AH150">
        <v>2</v>
      </c>
      <c r="AI150">
        <v>16784418</v>
      </c>
      <c r="AJ150">
        <v>142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ROW(Source!A62)</f>
        <v>62</v>
      </c>
      <c r="B151">
        <v>16784425</v>
      </c>
      <c r="C151">
        <v>16784416</v>
      </c>
      <c r="D151">
        <v>15247974</v>
      </c>
      <c r="E151">
        <v>1</v>
      </c>
      <c r="F151">
        <v>1</v>
      </c>
      <c r="G151">
        <v>1</v>
      </c>
      <c r="H151">
        <v>2</v>
      </c>
      <c r="I151" t="s">
        <v>498</v>
      </c>
      <c r="J151" t="s">
        <v>499</v>
      </c>
      <c r="K151" t="s">
        <v>500</v>
      </c>
      <c r="L151">
        <v>1368</v>
      </c>
      <c r="N151">
        <v>1011</v>
      </c>
      <c r="O151" t="s">
        <v>501</v>
      </c>
      <c r="P151" t="s">
        <v>501</v>
      </c>
      <c r="Q151">
        <v>1</v>
      </c>
      <c r="X151">
        <v>1.27</v>
      </c>
      <c r="Y151">
        <v>0</v>
      </c>
      <c r="Z151">
        <v>31.26</v>
      </c>
      <c r="AA151">
        <v>13.5</v>
      </c>
      <c r="AB151">
        <v>0</v>
      </c>
      <c r="AC151">
        <v>0</v>
      </c>
      <c r="AD151">
        <v>1</v>
      </c>
      <c r="AE151">
        <v>0</v>
      </c>
      <c r="AF151" t="s">
        <v>27</v>
      </c>
      <c r="AG151">
        <v>1.5874999999999999</v>
      </c>
      <c r="AH151">
        <v>2</v>
      </c>
      <c r="AI151">
        <v>16784419</v>
      </c>
      <c r="AJ151">
        <v>143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ROW(Source!A62)</f>
        <v>62</v>
      </c>
      <c r="B152">
        <v>16784426</v>
      </c>
      <c r="C152">
        <v>16784416</v>
      </c>
      <c r="D152">
        <v>15248091</v>
      </c>
      <c r="E152">
        <v>1</v>
      </c>
      <c r="F152">
        <v>1</v>
      </c>
      <c r="G152">
        <v>1</v>
      </c>
      <c r="H152">
        <v>2</v>
      </c>
      <c r="I152" t="s">
        <v>594</v>
      </c>
      <c r="J152" t="s">
        <v>595</v>
      </c>
      <c r="K152" t="s">
        <v>596</v>
      </c>
      <c r="L152">
        <v>1368</v>
      </c>
      <c r="N152">
        <v>1011</v>
      </c>
      <c r="O152" t="s">
        <v>501</v>
      </c>
      <c r="P152" t="s">
        <v>501</v>
      </c>
      <c r="Q152">
        <v>1</v>
      </c>
      <c r="X152">
        <v>9.07</v>
      </c>
      <c r="Y152">
        <v>0</v>
      </c>
      <c r="Z152">
        <v>0.5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27</v>
      </c>
      <c r="AG152">
        <v>11.3375</v>
      </c>
      <c r="AH152">
        <v>2</v>
      </c>
      <c r="AI152">
        <v>16784420</v>
      </c>
      <c r="AJ152">
        <v>144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ROW(Source!A62)</f>
        <v>62</v>
      </c>
      <c r="B153">
        <v>16784427</v>
      </c>
      <c r="C153">
        <v>16784416</v>
      </c>
      <c r="D153">
        <v>15167286</v>
      </c>
      <c r="E153">
        <v>1</v>
      </c>
      <c r="F153">
        <v>1</v>
      </c>
      <c r="G153">
        <v>1</v>
      </c>
      <c r="H153">
        <v>3</v>
      </c>
      <c r="I153" t="s">
        <v>597</v>
      </c>
      <c r="J153" t="s">
        <v>598</v>
      </c>
      <c r="K153" t="s">
        <v>599</v>
      </c>
      <c r="L153">
        <v>1339</v>
      </c>
      <c r="N153">
        <v>1007</v>
      </c>
      <c r="O153" t="s">
        <v>128</v>
      </c>
      <c r="P153" t="s">
        <v>128</v>
      </c>
      <c r="Q153">
        <v>1</v>
      </c>
      <c r="X153">
        <v>3.5</v>
      </c>
      <c r="Y153">
        <v>2.44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3.5</v>
      </c>
      <c r="AH153">
        <v>2</v>
      </c>
      <c r="AI153">
        <v>16784421</v>
      </c>
      <c r="AJ153">
        <v>145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ROW(Source!A62)</f>
        <v>62</v>
      </c>
      <c r="B154">
        <v>16784428</v>
      </c>
      <c r="C154">
        <v>16784416</v>
      </c>
      <c r="D154">
        <v>15161703</v>
      </c>
      <c r="E154">
        <v>17</v>
      </c>
      <c r="F154">
        <v>1</v>
      </c>
      <c r="G154">
        <v>1</v>
      </c>
      <c r="H154">
        <v>3</v>
      </c>
      <c r="I154" t="s">
        <v>783</v>
      </c>
      <c r="J154" t="s">
        <v>6</v>
      </c>
      <c r="K154" t="s">
        <v>784</v>
      </c>
      <c r="L154">
        <v>1339</v>
      </c>
      <c r="N154">
        <v>1007</v>
      </c>
      <c r="O154" t="s">
        <v>128</v>
      </c>
      <c r="P154" t="s">
        <v>128</v>
      </c>
      <c r="Q154">
        <v>1</v>
      </c>
      <c r="X154">
        <v>2.04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 t="s">
        <v>6</v>
      </c>
      <c r="AG154">
        <v>2.04</v>
      </c>
      <c r="AH154">
        <v>3</v>
      </c>
      <c r="AI154">
        <v>-1</v>
      </c>
      <c r="AJ154" t="s">
        <v>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ROW(Source!A63)</f>
        <v>63</v>
      </c>
      <c r="B155">
        <v>16784423</v>
      </c>
      <c r="C155">
        <v>16784416</v>
      </c>
      <c r="D155">
        <v>15433640</v>
      </c>
      <c r="E155">
        <v>1</v>
      </c>
      <c r="F155">
        <v>1</v>
      </c>
      <c r="G155">
        <v>1</v>
      </c>
      <c r="H155">
        <v>1</v>
      </c>
      <c r="I155" t="s">
        <v>592</v>
      </c>
      <c r="J155" t="s">
        <v>6</v>
      </c>
      <c r="K155" t="s">
        <v>593</v>
      </c>
      <c r="L155">
        <v>1191</v>
      </c>
      <c r="N155">
        <v>1013</v>
      </c>
      <c r="O155" t="s">
        <v>495</v>
      </c>
      <c r="P155" t="s">
        <v>495</v>
      </c>
      <c r="Q155">
        <v>1</v>
      </c>
      <c r="X155">
        <v>39.51</v>
      </c>
      <c r="Y155">
        <v>0</v>
      </c>
      <c r="Z155">
        <v>0</v>
      </c>
      <c r="AA155">
        <v>0</v>
      </c>
      <c r="AB155">
        <v>7.94</v>
      </c>
      <c r="AC155">
        <v>0</v>
      </c>
      <c r="AD155">
        <v>1</v>
      </c>
      <c r="AE155">
        <v>1</v>
      </c>
      <c r="AF155" t="s">
        <v>28</v>
      </c>
      <c r="AG155">
        <v>45.436499999999995</v>
      </c>
      <c r="AH155">
        <v>2</v>
      </c>
      <c r="AI155">
        <v>16784417</v>
      </c>
      <c r="AJ155">
        <v>147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ROW(Source!A63)</f>
        <v>63</v>
      </c>
      <c r="B156">
        <v>16784424</v>
      </c>
      <c r="C156">
        <v>16784416</v>
      </c>
      <c r="D156">
        <v>15430395</v>
      </c>
      <c r="E156">
        <v>1</v>
      </c>
      <c r="F156">
        <v>1</v>
      </c>
      <c r="G156">
        <v>1</v>
      </c>
      <c r="H156">
        <v>1</v>
      </c>
      <c r="I156" t="s">
        <v>496</v>
      </c>
      <c r="J156" t="s">
        <v>6</v>
      </c>
      <c r="K156" t="s">
        <v>497</v>
      </c>
      <c r="L156">
        <v>1191</v>
      </c>
      <c r="N156">
        <v>1013</v>
      </c>
      <c r="O156" t="s">
        <v>495</v>
      </c>
      <c r="P156" t="s">
        <v>495</v>
      </c>
      <c r="Q156">
        <v>1</v>
      </c>
      <c r="X156">
        <v>1.27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2</v>
      </c>
      <c r="AF156" t="s">
        <v>27</v>
      </c>
      <c r="AG156">
        <v>1.5874999999999999</v>
      </c>
      <c r="AH156">
        <v>2</v>
      </c>
      <c r="AI156">
        <v>16784418</v>
      </c>
      <c r="AJ156">
        <v>148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ROW(Source!A63)</f>
        <v>63</v>
      </c>
      <c r="B157">
        <v>16784425</v>
      </c>
      <c r="C157">
        <v>16784416</v>
      </c>
      <c r="D157">
        <v>15247974</v>
      </c>
      <c r="E157">
        <v>1</v>
      </c>
      <c r="F157">
        <v>1</v>
      </c>
      <c r="G157">
        <v>1</v>
      </c>
      <c r="H157">
        <v>2</v>
      </c>
      <c r="I157" t="s">
        <v>498</v>
      </c>
      <c r="J157" t="s">
        <v>499</v>
      </c>
      <c r="K157" t="s">
        <v>500</v>
      </c>
      <c r="L157">
        <v>1368</v>
      </c>
      <c r="N157">
        <v>1011</v>
      </c>
      <c r="O157" t="s">
        <v>501</v>
      </c>
      <c r="P157" t="s">
        <v>501</v>
      </c>
      <c r="Q157">
        <v>1</v>
      </c>
      <c r="X157">
        <v>1.27</v>
      </c>
      <c r="Y157">
        <v>0</v>
      </c>
      <c r="Z157">
        <v>31.26</v>
      </c>
      <c r="AA157">
        <v>13.5</v>
      </c>
      <c r="AB157">
        <v>0</v>
      </c>
      <c r="AC157">
        <v>0</v>
      </c>
      <c r="AD157">
        <v>1</v>
      </c>
      <c r="AE157">
        <v>0</v>
      </c>
      <c r="AF157" t="s">
        <v>27</v>
      </c>
      <c r="AG157">
        <v>1.5874999999999999</v>
      </c>
      <c r="AH157">
        <v>2</v>
      </c>
      <c r="AI157">
        <v>16784419</v>
      </c>
      <c r="AJ157">
        <v>149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ROW(Source!A63)</f>
        <v>63</v>
      </c>
      <c r="B158">
        <v>16784426</v>
      </c>
      <c r="C158">
        <v>16784416</v>
      </c>
      <c r="D158">
        <v>15248091</v>
      </c>
      <c r="E158">
        <v>1</v>
      </c>
      <c r="F158">
        <v>1</v>
      </c>
      <c r="G158">
        <v>1</v>
      </c>
      <c r="H158">
        <v>2</v>
      </c>
      <c r="I158" t="s">
        <v>594</v>
      </c>
      <c r="J158" t="s">
        <v>595</v>
      </c>
      <c r="K158" t="s">
        <v>596</v>
      </c>
      <c r="L158">
        <v>1368</v>
      </c>
      <c r="N158">
        <v>1011</v>
      </c>
      <c r="O158" t="s">
        <v>501</v>
      </c>
      <c r="P158" t="s">
        <v>501</v>
      </c>
      <c r="Q158">
        <v>1</v>
      </c>
      <c r="X158">
        <v>9.07</v>
      </c>
      <c r="Y158">
        <v>0</v>
      </c>
      <c r="Z158">
        <v>0.5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27</v>
      </c>
      <c r="AG158">
        <v>11.3375</v>
      </c>
      <c r="AH158">
        <v>2</v>
      </c>
      <c r="AI158">
        <v>16784420</v>
      </c>
      <c r="AJ158">
        <v>150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ROW(Source!A63)</f>
        <v>63</v>
      </c>
      <c r="B159">
        <v>16784427</v>
      </c>
      <c r="C159">
        <v>16784416</v>
      </c>
      <c r="D159">
        <v>15167286</v>
      </c>
      <c r="E159">
        <v>1</v>
      </c>
      <c r="F159">
        <v>1</v>
      </c>
      <c r="G159">
        <v>1</v>
      </c>
      <c r="H159">
        <v>3</v>
      </c>
      <c r="I159" t="s">
        <v>597</v>
      </c>
      <c r="J159" t="s">
        <v>598</v>
      </c>
      <c r="K159" t="s">
        <v>599</v>
      </c>
      <c r="L159">
        <v>1339</v>
      </c>
      <c r="N159">
        <v>1007</v>
      </c>
      <c r="O159" t="s">
        <v>128</v>
      </c>
      <c r="P159" t="s">
        <v>128</v>
      </c>
      <c r="Q159">
        <v>1</v>
      </c>
      <c r="X159">
        <v>3.5</v>
      </c>
      <c r="Y159">
        <v>2.44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3.5</v>
      </c>
      <c r="AH159">
        <v>2</v>
      </c>
      <c r="AI159">
        <v>16784421</v>
      </c>
      <c r="AJ159">
        <v>151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ROW(Source!A63)</f>
        <v>63</v>
      </c>
      <c r="B160">
        <v>16784428</v>
      </c>
      <c r="C160">
        <v>16784416</v>
      </c>
      <c r="D160">
        <v>15161703</v>
      </c>
      <c r="E160">
        <v>17</v>
      </c>
      <c r="F160">
        <v>1</v>
      </c>
      <c r="G160">
        <v>1</v>
      </c>
      <c r="H160">
        <v>3</v>
      </c>
      <c r="I160" t="s">
        <v>783</v>
      </c>
      <c r="J160" t="s">
        <v>6</v>
      </c>
      <c r="K160" t="s">
        <v>784</v>
      </c>
      <c r="L160">
        <v>1339</v>
      </c>
      <c r="N160">
        <v>1007</v>
      </c>
      <c r="O160" t="s">
        <v>128</v>
      </c>
      <c r="P160" t="s">
        <v>128</v>
      </c>
      <c r="Q160">
        <v>1</v>
      </c>
      <c r="X160">
        <v>2.04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 t="s">
        <v>6</v>
      </c>
      <c r="AG160">
        <v>2.04</v>
      </c>
      <c r="AH160">
        <v>3</v>
      </c>
      <c r="AI160">
        <v>-1</v>
      </c>
      <c r="AJ160" t="s">
        <v>6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ROW(Source!A66)</f>
        <v>66</v>
      </c>
      <c r="B161">
        <v>16784438</v>
      </c>
      <c r="C161">
        <v>16784430</v>
      </c>
      <c r="D161">
        <v>15430767</v>
      </c>
      <c r="E161">
        <v>1</v>
      </c>
      <c r="F161">
        <v>1</v>
      </c>
      <c r="G161">
        <v>1</v>
      </c>
      <c r="H161">
        <v>1</v>
      </c>
      <c r="I161" t="s">
        <v>527</v>
      </c>
      <c r="J161" t="s">
        <v>6</v>
      </c>
      <c r="K161" t="s">
        <v>528</v>
      </c>
      <c r="L161">
        <v>1191</v>
      </c>
      <c r="N161">
        <v>1013</v>
      </c>
      <c r="O161" t="s">
        <v>495</v>
      </c>
      <c r="P161" t="s">
        <v>495</v>
      </c>
      <c r="Q161">
        <v>1</v>
      </c>
      <c r="X161">
        <v>37.67</v>
      </c>
      <c r="Y161">
        <v>0</v>
      </c>
      <c r="Z161">
        <v>0</v>
      </c>
      <c r="AA161">
        <v>0</v>
      </c>
      <c r="AB161">
        <v>8.5299999999999994</v>
      </c>
      <c r="AC161">
        <v>0</v>
      </c>
      <c r="AD161">
        <v>1</v>
      </c>
      <c r="AE161">
        <v>1</v>
      </c>
      <c r="AF161" t="s">
        <v>28</v>
      </c>
      <c r="AG161">
        <v>43.320499999999996</v>
      </c>
      <c r="AH161">
        <v>2</v>
      </c>
      <c r="AI161">
        <v>16784431</v>
      </c>
      <c r="AJ161">
        <v>153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ROW(Source!A66)</f>
        <v>66</v>
      </c>
      <c r="B162">
        <v>16784439</v>
      </c>
      <c r="C162">
        <v>16784430</v>
      </c>
      <c r="D162">
        <v>15430395</v>
      </c>
      <c r="E162">
        <v>1</v>
      </c>
      <c r="F162">
        <v>1</v>
      </c>
      <c r="G162">
        <v>1</v>
      </c>
      <c r="H162">
        <v>1</v>
      </c>
      <c r="I162" t="s">
        <v>496</v>
      </c>
      <c r="J162" t="s">
        <v>6</v>
      </c>
      <c r="K162" t="s">
        <v>497</v>
      </c>
      <c r="L162">
        <v>1191</v>
      </c>
      <c r="N162">
        <v>1013</v>
      </c>
      <c r="O162" t="s">
        <v>495</v>
      </c>
      <c r="P162" t="s">
        <v>495</v>
      </c>
      <c r="Q162">
        <v>1</v>
      </c>
      <c r="X162">
        <v>0.17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2</v>
      </c>
      <c r="AF162" t="s">
        <v>27</v>
      </c>
      <c r="AG162">
        <v>0.21250000000000002</v>
      </c>
      <c r="AH162">
        <v>2</v>
      </c>
      <c r="AI162">
        <v>16784432</v>
      </c>
      <c r="AJ162">
        <v>154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ROW(Source!A66)</f>
        <v>66</v>
      </c>
      <c r="B163">
        <v>16784440</v>
      </c>
      <c r="C163">
        <v>16784430</v>
      </c>
      <c r="D163">
        <v>15247970</v>
      </c>
      <c r="E163">
        <v>1</v>
      </c>
      <c r="F163">
        <v>1</v>
      </c>
      <c r="G163">
        <v>1</v>
      </c>
      <c r="H163">
        <v>2</v>
      </c>
      <c r="I163" t="s">
        <v>600</v>
      </c>
      <c r="J163" t="s">
        <v>601</v>
      </c>
      <c r="K163" t="s">
        <v>602</v>
      </c>
      <c r="L163">
        <v>1368</v>
      </c>
      <c r="N163">
        <v>1011</v>
      </c>
      <c r="O163" t="s">
        <v>501</v>
      </c>
      <c r="P163" t="s">
        <v>501</v>
      </c>
      <c r="Q163">
        <v>1</v>
      </c>
      <c r="X163">
        <v>0.13</v>
      </c>
      <c r="Y163">
        <v>0</v>
      </c>
      <c r="Z163">
        <v>27.66</v>
      </c>
      <c r="AA163">
        <v>11.6</v>
      </c>
      <c r="AB163">
        <v>0</v>
      </c>
      <c r="AC163">
        <v>0</v>
      </c>
      <c r="AD163">
        <v>1</v>
      </c>
      <c r="AE163">
        <v>0</v>
      </c>
      <c r="AF163" t="s">
        <v>27</v>
      </c>
      <c r="AG163">
        <v>0.16250000000000001</v>
      </c>
      <c r="AH163">
        <v>2</v>
      </c>
      <c r="AI163">
        <v>16784433</v>
      </c>
      <c r="AJ163">
        <v>155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ROW(Source!A66)</f>
        <v>66</v>
      </c>
      <c r="B164">
        <v>16784441</v>
      </c>
      <c r="C164">
        <v>16784430</v>
      </c>
      <c r="D164">
        <v>15249073</v>
      </c>
      <c r="E164">
        <v>1</v>
      </c>
      <c r="F164">
        <v>1</v>
      </c>
      <c r="G164">
        <v>1</v>
      </c>
      <c r="H164">
        <v>2</v>
      </c>
      <c r="I164" t="s">
        <v>504</v>
      </c>
      <c r="J164" t="s">
        <v>505</v>
      </c>
      <c r="K164" t="s">
        <v>506</v>
      </c>
      <c r="L164">
        <v>1368</v>
      </c>
      <c r="N164">
        <v>1011</v>
      </c>
      <c r="O164" t="s">
        <v>501</v>
      </c>
      <c r="P164" t="s">
        <v>501</v>
      </c>
      <c r="Q164">
        <v>1</v>
      </c>
      <c r="X164">
        <v>0.04</v>
      </c>
      <c r="Y164">
        <v>0</v>
      </c>
      <c r="Z164">
        <v>65.709999999999994</v>
      </c>
      <c r="AA164">
        <v>11.6</v>
      </c>
      <c r="AB164">
        <v>0</v>
      </c>
      <c r="AC164">
        <v>0</v>
      </c>
      <c r="AD164">
        <v>1</v>
      </c>
      <c r="AE164">
        <v>0</v>
      </c>
      <c r="AF164" t="s">
        <v>27</v>
      </c>
      <c r="AG164">
        <v>0.05</v>
      </c>
      <c r="AH164">
        <v>2</v>
      </c>
      <c r="AI164">
        <v>16784434</v>
      </c>
      <c r="AJ164">
        <v>156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ROW(Source!A66)</f>
        <v>66</v>
      </c>
      <c r="B165">
        <v>16784442</v>
      </c>
      <c r="C165">
        <v>16784430</v>
      </c>
      <c r="D165">
        <v>15167286</v>
      </c>
      <c r="E165">
        <v>1</v>
      </c>
      <c r="F165">
        <v>1</v>
      </c>
      <c r="G165">
        <v>1</v>
      </c>
      <c r="H165">
        <v>3</v>
      </c>
      <c r="I165" t="s">
        <v>597</v>
      </c>
      <c r="J165" t="s">
        <v>598</v>
      </c>
      <c r="K165" t="s">
        <v>599</v>
      </c>
      <c r="L165">
        <v>1339</v>
      </c>
      <c r="N165">
        <v>1007</v>
      </c>
      <c r="O165" t="s">
        <v>128</v>
      </c>
      <c r="P165" t="s">
        <v>128</v>
      </c>
      <c r="Q165">
        <v>1</v>
      </c>
      <c r="X165">
        <v>0.17399999999999999</v>
      </c>
      <c r="Y165">
        <v>2.44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0.17399999999999999</v>
      </c>
      <c r="AH165">
        <v>2</v>
      </c>
      <c r="AI165">
        <v>16784435</v>
      </c>
      <c r="AJ165">
        <v>157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ROW(Source!A66)</f>
        <v>66</v>
      </c>
      <c r="B166">
        <v>16784443</v>
      </c>
      <c r="C166">
        <v>16784430</v>
      </c>
      <c r="D166">
        <v>15172906</v>
      </c>
      <c r="E166">
        <v>1</v>
      </c>
      <c r="F166">
        <v>1</v>
      </c>
      <c r="G166">
        <v>1</v>
      </c>
      <c r="H166">
        <v>3</v>
      </c>
      <c r="I166" t="s">
        <v>603</v>
      </c>
      <c r="J166" t="s">
        <v>604</v>
      </c>
      <c r="K166" t="s">
        <v>605</v>
      </c>
      <c r="L166">
        <v>1348</v>
      </c>
      <c r="N166">
        <v>1009</v>
      </c>
      <c r="O166" t="s">
        <v>65</v>
      </c>
      <c r="P166" t="s">
        <v>65</v>
      </c>
      <c r="Q166">
        <v>1000</v>
      </c>
      <c r="X166">
        <v>0.9</v>
      </c>
      <c r="Y166">
        <v>11381.57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0.9</v>
      </c>
      <c r="AH166">
        <v>2</v>
      </c>
      <c r="AI166">
        <v>16784436</v>
      </c>
      <c r="AJ166">
        <v>158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ROW(Source!A66)</f>
        <v>66</v>
      </c>
      <c r="B167">
        <v>16784444</v>
      </c>
      <c r="C167">
        <v>16784430</v>
      </c>
      <c r="D167">
        <v>15203485</v>
      </c>
      <c r="E167">
        <v>1</v>
      </c>
      <c r="F167">
        <v>1</v>
      </c>
      <c r="G167">
        <v>1</v>
      </c>
      <c r="H167">
        <v>3</v>
      </c>
      <c r="I167" t="s">
        <v>139</v>
      </c>
      <c r="J167" t="s">
        <v>141</v>
      </c>
      <c r="K167" t="s">
        <v>140</v>
      </c>
      <c r="L167">
        <v>1346</v>
      </c>
      <c r="N167">
        <v>1009</v>
      </c>
      <c r="O167" t="s">
        <v>60</v>
      </c>
      <c r="P167" t="s">
        <v>60</v>
      </c>
      <c r="Q167">
        <v>1</v>
      </c>
      <c r="X167">
        <v>30</v>
      </c>
      <c r="Y167">
        <v>15.25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30</v>
      </c>
      <c r="AH167">
        <v>2</v>
      </c>
      <c r="AI167">
        <v>16784437</v>
      </c>
      <c r="AJ167">
        <v>159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ROW(Source!A67)</f>
        <v>67</v>
      </c>
      <c r="B168">
        <v>16784438</v>
      </c>
      <c r="C168">
        <v>16784430</v>
      </c>
      <c r="D168">
        <v>15430767</v>
      </c>
      <c r="E168">
        <v>1</v>
      </c>
      <c r="F168">
        <v>1</v>
      </c>
      <c r="G168">
        <v>1</v>
      </c>
      <c r="H168">
        <v>1</v>
      </c>
      <c r="I168" t="s">
        <v>527</v>
      </c>
      <c r="J168" t="s">
        <v>6</v>
      </c>
      <c r="K168" t="s">
        <v>528</v>
      </c>
      <c r="L168">
        <v>1191</v>
      </c>
      <c r="N168">
        <v>1013</v>
      </c>
      <c r="O168" t="s">
        <v>495</v>
      </c>
      <c r="P168" t="s">
        <v>495</v>
      </c>
      <c r="Q168">
        <v>1</v>
      </c>
      <c r="X168">
        <v>37.67</v>
      </c>
      <c r="Y168">
        <v>0</v>
      </c>
      <c r="Z168">
        <v>0</v>
      </c>
      <c r="AA168">
        <v>0</v>
      </c>
      <c r="AB168">
        <v>8.5299999999999994</v>
      </c>
      <c r="AC168">
        <v>0</v>
      </c>
      <c r="AD168">
        <v>1</v>
      </c>
      <c r="AE168">
        <v>1</v>
      </c>
      <c r="AF168" t="s">
        <v>28</v>
      </c>
      <c r="AG168">
        <v>43.320499999999996</v>
      </c>
      <c r="AH168">
        <v>2</v>
      </c>
      <c r="AI168">
        <v>16784431</v>
      </c>
      <c r="AJ168">
        <v>160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ROW(Source!A67)</f>
        <v>67</v>
      </c>
      <c r="B169">
        <v>16784439</v>
      </c>
      <c r="C169">
        <v>16784430</v>
      </c>
      <c r="D169">
        <v>15430395</v>
      </c>
      <c r="E169">
        <v>1</v>
      </c>
      <c r="F169">
        <v>1</v>
      </c>
      <c r="G169">
        <v>1</v>
      </c>
      <c r="H169">
        <v>1</v>
      </c>
      <c r="I169" t="s">
        <v>496</v>
      </c>
      <c r="J169" t="s">
        <v>6</v>
      </c>
      <c r="K169" t="s">
        <v>497</v>
      </c>
      <c r="L169">
        <v>1191</v>
      </c>
      <c r="N169">
        <v>1013</v>
      </c>
      <c r="O169" t="s">
        <v>495</v>
      </c>
      <c r="P169" t="s">
        <v>495</v>
      </c>
      <c r="Q169">
        <v>1</v>
      </c>
      <c r="X169">
        <v>0.17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2</v>
      </c>
      <c r="AF169" t="s">
        <v>27</v>
      </c>
      <c r="AG169">
        <v>0.21250000000000002</v>
      </c>
      <c r="AH169">
        <v>2</v>
      </c>
      <c r="AI169">
        <v>16784432</v>
      </c>
      <c r="AJ169">
        <v>161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ROW(Source!A67)</f>
        <v>67</v>
      </c>
      <c r="B170">
        <v>16784440</v>
      </c>
      <c r="C170">
        <v>16784430</v>
      </c>
      <c r="D170">
        <v>15247970</v>
      </c>
      <c r="E170">
        <v>1</v>
      </c>
      <c r="F170">
        <v>1</v>
      </c>
      <c r="G170">
        <v>1</v>
      </c>
      <c r="H170">
        <v>2</v>
      </c>
      <c r="I170" t="s">
        <v>600</v>
      </c>
      <c r="J170" t="s">
        <v>601</v>
      </c>
      <c r="K170" t="s">
        <v>602</v>
      </c>
      <c r="L170">
        <v>1368</v>
      </c>
      <c r="N170">
        <v>1011</v>
      </c>
      <c r="O170" t="s">
        <v>501</v>
      </c>
      <c r="P170" t="s">
        <v>501</v>
      </c>
      <c r="Q170">
        <v>1</v>
      </c>
      <c r="X170">
        <v>0.13</v>
      </c>
      <c r="Y170">
        <v>0</v>
      </c>
      <c r="Z170">
        <v>27.66</v>
      </c>
      <c r="AA170">
        <v>11.6</v>
      </c>
      <c r="AB170">
        <v>0</v>
      </c>
      <c r="AC170">
        <v>0</v>
      </c>
      <c r="AD170">
        <v>1</v>
      </c>
      <c r="AE170">
        <v>0</v>
      </c>
      <c r="AF170" t="s">
        <v>27</v>
      </c>
      <c r="AG170">
        <v>0.16250000000000001</v>
      </c>
      <c r="AH170">
        <v>2</v>
      </c>
      <c r="AI170">
        <v>16784433</v>
      </c>
      <c r="AJ170">
        <v>162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ROW(Source!A67)</f>
        <v>67</v>
      </c>
      <c r="B171">
        <v>16784441</v>
      </c>
      <c r="C171">
        <v>16784430</v>
      </c>
      <c r="D171">
        <v>15249073</v>
      </c>
      <c r="E171">
        <v>1</v>
      </c>
      <c r="F171">
        <v>1</v>
      </c>
      <c r="G171">
        <v>1</v>
      </c>
      <c r="H171">
        <v>2</v>
      </c>
      <c r="I171" t="s">
        <v>504</v>
      </c>
      <c r="J171" t="s">
        <v>505</v>
      </c>
      <c r="K171" t="s">
        <v>506</v>
      </c>
      <c r="L171">
        <v>1368</v>
      </c>
      <c r="N171">
        <v>1011</v>
      </c>
      <c r="O171" t="s">
        <v>501</v>
      </c>
      <c r="P171" t="s">
        <v>501</v>
      </c>
      <c r="Q171">
        <v>1</v>
      </c>
      <c r="X171">
        <v>0.04</v>
      </c>
      <c r="Y171">
        <v>0</v>
      </c>
      <c r="Z171">
        <v>65.709999999999994</v>
      </c>
      <c r="AA171">
        <v>11.6</v>
      </c>
      <c r="AB171">
        <v>0</v>
      </c>
      <c r="AC171">
        <v>0</v>
      </c>
      <c r="AD171">
        <v>1</v>
      </c>
      <c r="AE171">
        <v>0</v>
      </c>
      <c r="AF171" t="s">
        <v>27</v>
      </c>
      <c r="AG171">
        <v>0.05</v>
      </c>
      <c r="AH171">
        <v>2</v>
      </c>
      <c r="AI171">
        <v>16784434</v>
      </c>
      <c r="AJ171">
        <v>163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ROW(Source!A67)</f>
        <v>67</v>
      </c>
      <c r="B172">
        <v>16784442</v>
      </c>
      <c r="C172">
        <v>16784430</v>
      </c>
      <c r="D172">
        <v>15167286</v>
      </c>
      <c r="E172">
        <v>1</v>
      </c>
      <c r="F172">
        <v>1</v>
      </c>
      <c r="G172">
        <v>1</v>
      </c>
      <c r="H172">
        <v>3</v>
      </c>
      <c r="I172" t="s">
        <v>597</v>
      </c>
      <c r="J172" t="s">
        <v>598</v>
      </c>
      <c r="K172" t="s">
        <v>599</v>
      </c>
      <c r="L172">
        <v>1339</v>
      </c>
      <c r="N172">
        <v>1007</v>
      </c>
      <c r="O172" t="s">
        <v>128</v>
      </c>
      <c r="P172" t="s">
        <v>128</v>
      </c>
      <c r="Q172">
        <v>1</v>
      </c>
      <c r="X172">
        <v>0.17399999999999999</v>
      </c>
      <c r="Y172">
        <v>2.44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0.17399999999999999</v>
      </c>
      <c r="AH172">
        <v>2</v>
      </c>
      <c r="AI172">
        <v>16784435</v>
      </c>
      <c r="AJ172">
        <v>164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ROW(Source!A67)</f>
        <v>67</v>
      </c>
      <c r="B173">
        <v>16784443</v>
      </c>
      <c r="C173">
        <v>16784430</v>
      </c>
      <c r="D173">
        <v>15172906</v>
      </c>
      <c r="E173">
        <v>1</v>
      </c>
      <c r="F173">
        <v>1</v>
      </c>
      <c r="G173">
        <v>1</v>
      </c>
      <c r="H173">
        <v>3</v>
      </c>
      <c r="I173" t="s">
        <v>603</v>
      </c>
      <c r="J173" t="s">
        <v>604</v>
      </c>
      <c r="K173" t="s">
        <v>605</v>
      </c>
      <c r="L173">
        <v>1348</v>
      </c>
      <c r="N173">
        <v>1009</v>
      </c>
      <c r="O173" t="s">
        <v>65</v>
      </c>
      <c r="P173" t="s">
        <v>65</v>
      </c>
      <c r="Q173">
        <v>1000</v>
      </c>
      <c r="X173">
        <v>0.9</v>
      </c>
      <c r="Y173">
        <v>11381.57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0.9</v>
      </c>
      <c r="AH173">
        <v>2</v>
      </c>
      <c r="AI173">
        <v>16784436</v>
      </c>
      <c r="AJ173">
        <v>165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ROW(Source!A67)</f>
        <v>67</v>
      </c>
      <c r="B174">
        <v>16784444</v>
      </c>
      <c r="C174">
        <v>16784430</v>
      </c>
      <c r="D174">
        <v>15203485</v>
      </c>
      <c r="E174">
        <v>1</v>
      </c>
      <c r="F174">
        <v>1</v>
      </c>
      <c r="G174">
        <v>1</v>
      </c>
      <c r="H174">
        <v>3</v>
      </c>
      <c r="I174" t="s">
        <v>139</v>
      </c>
      <c r="J174" t="s">
        <v>141</v>
      </c>
      <c r="K174" t="s">
        <v>140</v>
      </c>
      <c r="L174">
        <v>1346</v>
      </c>
      <c r="N174">
        <v>1009</v>
      </c>
      <c r="O174" t="s">
        <v>60</v>
      </c>
      <c r="P174" t="s">
        <v>60</v>
      </c>
      <c r="Q174">
        <v>1</v>
      </c>
      <c r="X174">
        <v>30</v>
      </c>
      <c r="Y174">
        <v>15.25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6</v>
      </c>
      <c r="AG174">
        <v>30</v>
      </c>
      <c r="AH174">
        <v>2</v>
      </c>
      <c r="AI174">
        <v>16784437</v>
      </c>
      <c r="AJ174">
        <v>166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ROW(Source!A68)</f>
        <v>68</v>
      </c>
      <c r="B175">
        <v>16784458</v>
      </c>
      <c r="C175">
        <v>16784445</v>
      </c>
      <c r="D175">
        <v>15436014</v>
      </c>
      <c r="E175">
        <v>1</v>
      </c>
      <c r="F175">
        <v>1</v>
      </c>
      <c r="G175">
        <v>1</v>
      </c>
      <c r="H175">
        <v>1</v>
      </c>
      <c r="I175" t="s">
        <v>502</v>
      </c>
      <c r="J175" t="s">
        <v>6</v>
      </c>
      <c r="K175" t="s">
        <v>503</v>
      </c>
      <c r="L175">
        <v>1191</v>
      </c>
      <c r="N175">
        <v>1013</v>
      </c>
      <c r="O175" t="s">
        <v>495</v>
      </c>
      <c r="P175" t="s">
        <v>495</v>
      </c>
      <c r="Q175">
        <v>1</v>
      </c>
      <c r="X175">
        <v>310.42</v>
      </c>
      <c r="Y175">
        <v>0</v>
      </c>
      <c r="Z175">
        <v>0</v>
      </c>
      <c r="AA175">
        <v>0</v>
      </c>
      <c r="AB175">
        <v>8.74</v>
      </c>
      <c r="AC175">
        <v>0</v>
      </c>
      <c r="AD175">
        <v>1</v>
      </c>
      <c r="AE175">
        <v>1</v>
      </c>
      <c r="AF175" t="s">
        <v>28</v>
      </c>
      <c r="AG175">
        <v>356.983</v>
      </c>
      <c r="AH175">
        <v>2</v>
      </c>
      <c r="AI175">
        <v>16784446</v>
      </c>
      <c r="AJ175">
        <v>167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ROW(Source!A68)</f>
        <v>68</v>
      </c>
      <c r="B176">
        <v>16784459</v>
      </c>
      <c r="C176">
        <v>16784445</v>
      </c>
      <c r="D176">
        <v>15430395</v>
      </c>
      <c r="E176">
        <v>1</v>
      </c>
      <c r="F176">
        <v>1</v>
      </c>
      <c r="G176">
        <v>1</v>
      </c>
      <c r="H176">
        <v>1</v>
      </c>
      <c r="I176" t="s">
        <v>496</v>
      </c>
      <c r="J176" t="s">
        <v>6</v>
      </c>
      <c r="K176" t="s">
        <v>497</v>
      </c>
      <c r="L176">
        <v>1191</v>
      </c>
      <c r="N176">
        <v>1013</v>
      </c>
      <c r="O176" t="s">
        <v>495</v>
      </c>
      <c r="P176" t="s">
        <v>495</v>
      </c>
      <c r="Q176">
        <v>1</v>
      </c>
      <c r="X176">
        <v>1.73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2</v>
      </c>
      <c r="AF176" t="s">
        <v>27</v>
      </c>
      <c r="AG176">
        <v>2.1625000000000001</v>
      </c>
      <c r="AH176">
        <v>2</v>
      </c>
      <c r="AI176">
        <v>16784447</v>
      </c>
      <c r="AJ176">
        <v>168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ROW(Source!A68)</f>
        <v>68</v>
      </c>
      <c r="B177">
        <v>16784460</v>
      </c>
      <c r="C177">
        <v>16784445</v>
      </c>
      <c r="D177">
        <v>15247576</v>
      </c>
      <c r="E177">
        <v>1</v>
      </c>
      <c r="F177">
        <v>1</v>
      </c>
      <c r="G177">
        <v>1</v>
      </c>
      <c r="H177">
        <v>2</v>
      </c>
      <c r="I177" t="s">
        <v>606</v>
      </c>
      <c r="J177" t="s">
        <v>607</v>
      </c>
      <c r="K177" t="s">
        <v>608</v>
      </c>
      <c r="L177">
        <v>1368</v>
      </c>
      <c r="N177">
        <v>1011</v>
      </c>
      <c r="O177" t="s">
        <v>501</v>
      </c>
      <c r="P177" t="s">
        <v>501</v>
      </c>
      <c r="Q177">
        <v>1</v>
      </c>
      <c r="X177">
        <v>0.02</v>
      </c>
      <c r="Y177">
        <v>0</v>
      </c>
      <c r="Z177">
        <v>83.43</v>
      </c>
      <c r="AA177">
        <v>13.5</v>
      </c>
      <c r="AB177">
        <v>0</v>
      </c>
      <c r="AC177">
        <v>0</v>
      </c>
      <c r="AD177">
        <v>1</v>
      </c>
      <c r="AE177">
        <v>0</v>
      </c>
      <c r="AF177" t="s">
        <v>27</v>
      </c>
      <c r="AG177">
        <v>2.5000000000000001E-2</v>
      </c>
      <c r="AH177">
        <v>2</v>
      </c>
      <c r="AI177">
        <v>16784448</v>
      </c>
      <c r="AJ177">
        <v>169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ROW(Source!A68)</f>
        <v>68</v>
      </c>
      <c r="B178">
        <v>16784461</v>
      </c>
      <c r="C178">
        <v>16784445</v>
      </c>
      <c r="D178">
        <v>15247678</v>
      </c>
      <c r="E178">
        <v>1</v>
      </c>
      <c r="F178">
        <v>1</v>
      </c>
      <c r="G178">
        <v>1</v>
      </c>
      <c r="H178">
        <v>2</v>
      </c>
      <c r="I178" t="s">
        <v>609</v>
      </c>
      <c r="J178" t="s">
        <v>610</v>
      </c>
      <c r="K178" t="s">
        <v>611</v>
      </c>
      <c r="L178">
        <v>1368</v>
      </c>
      <c r="N178">
        <v>1011</v>
      </c>
      <c r="O178" t="s">
        <v>501</v>
      </c>
      <c r="P178" t="s">
        <v>501</v>
      </c>
      <c r="Q178">
        <v>1</v>
      </c>
      <c r="X178">
        <v>0.01</v>
      </c>
      <c r="Y178">
        <v>0</v>
      </c>
      <c r="Z178">
        <v>88.01</v>
      </c>
      <c r="AA178">
        <v>11.6</v>
      </c>
      <c r="AB178">
        <v>0</v>
      </c>
      <c r="AC178">
        <v>0</v>
      </c>
      <c r="AD178">
        <v>1</v>
      </c>
      <c r="AE178">
        <v>0</v>
      </c>
      <c r="AF178" t="s">
        <v>27</v>
      </c>
      <c r="AG178">
        <v>1.2500000000000001E-2</v>
      </c>
      <c r="AH178">
        <v>2</v>
      </c>
      <c r="AI178">
        <v>16784449</v>
      </c>
      <c r="AJ178">
        <v>170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ROW(Source!A68)</f>
        <v>68</v>
      </c>
      <c r="B179">
        <v>16784462</v>
      </c>
      <c r="C179">
        <v>16784445</v>
      </c>
      <c r="D179">
        <v>15248143</v>
      </c>
      <c r="E179">
        <v>1</v>
      </c>
      <c r="F179">
        <v>1</v>
      </c>
      <c r="G179">
        <v>1</v>
      </c>
      <c r="H179">
        <v>2</v>
      </c>
      <c r="I179" t="s">
        <v>612</v>
      </c>
      <c r="J179" t="s">
        <v>613</v>
      </c>
      <c r="K179" t="s">
        <v>614</v>
      </c>
      <c r="L179">
        <v>1368</v>
      </c>
      <c r="N179">
        <v>1011</v>
      </c>
      <c r="O179" t="s">
        <v>501</v>
      </c>
      <c r="P179" t="s">
        <v>501</v>
      </c>
      <c r="Q179">
        <v>1</v>
      </c>
      <c r="X179">
        <v>1.69</v>
      </c>
      <c r="Y179">
        <v>0</v>
      </c>
      <c r="Z179">
        <v>12.39</v>
      </c>
      <c r="AA179">
        <v>10.06</v>
      </c>
      <c r="AB179">
        <v>0</v>
      </c>
      <c r="AC179">
        <v>0</v>
      </c>
      <c r="AD179">
        <v>1</v>
      </c>
      <c r="AE179">
        <v>0</v>
      </c>
      <c r="AF179" t="s">
        <v>27</v>
      </c>
      <c r="AG179">
        <v>2.1124999999999998</v>
      </c>
      <c r="AH179">
        <v>2</v>
      </c>
      <c r="AI179">
        <v>16784450</v>
      </c>
      <c r="AJ179">
        <v>171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ROW(Source!A68)</f>
        <v>68</v>
      </c>
      <c r="B180">
        <v>16784463</v>
      </c>
      <c r="C180">
        <v>16784445</v>
      </c>
      <c r="D180">
        <v>15249073</v>
      </c>
      <c r="E180">
        <v>1</v>
      </c>
      <c r="F180">
        <v>1</v>
      </c>
      <c r="G180">
        <v>1</v>
      </c>
      <c r="H180">
        <v>2</v>
      </c>
      <c r="I180" t="s">
        <v>504</v>
      </c>
      <c r="J180" t="s">
        <v>505</v>
      </c>
      <c r="K180" t="s">
        <v>506</v>
      </c>
      <c r="L180">
        <v>1368</v>
      </c>
      <c r="N180">
        <v>1011</v>
      </c>
      <c r="O180" t="s">
        <v>501</v>
      </c>
      <c r="P180" t="s">
        <v>501</v>
      </c>
      <c r="Q180">
        <v>1</v>
      </c>
      <c r="X180">
        <v>0.01</v>
      </c>
      <c r="Y180">
        <v>0</v>
      </c>
      <c r="Z180">
        <v>65.709999999999994</v>
      </c>
      <c r="AA180">
        <v>11.6</v>
      </c>
      <c r="AB180">
        <v>0</v>
      </c>
      <c r="AC180">
        <v>0</v>
      </c>
      <c r="AD180">
        <v>1</v>
      </c>
      <c r="AE180">
        <v>0</v>
      </c>
      <c r="AF180" t="s">
        <v>27</v>
      </c>
      <c r="AG180">
        <v>1.2500000000000001E-2</v>
      </c>
      <c r="AH180">
        <v>2</v>
      </c>
      <c r="AI180">
        <v>16784451</v>
      </c>
      <c r="AJ180">
        <v>172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ROW(Source!A68)</f>
        <v>68</v>
      </c>
      <c r="B181">
        <v>16784464</v>
      </c>
      <c r="C181">
        <v>16784445</v>
      </c>
      <c r="D181">
        <v>15167286</v>
      </c>
      <c r="E181">
        <v>1</v>
      </c>
      <c r="F181">
        <v>1</v>
      </c>
      <c r="G181">
        <v>1</v>
      </c>
      <c r="H181">
        <v>3</v>
      </c>
      <c r="I181" t="s">
        <v>597</v>
      </c>
      <c r="J181" t="s">
        <v>598</v>
      </c>
      <c r="K181" t="s">
        <v>599</v>
      </c>
      <c r="L181">
        <v>1339</v>
      </c>
      <c r="N181">
        <v>1007</v>
      </c>
      <c r="O181" t="s">
        <v>128</v>
      </c>
      <c r="P181" t="s">
        <v>128</v>
      </c>
      <c r="Q181">
        <v>1</v>
      </c>
      <c r="X181">
        <v>0.44</v>
      </c>
      <c r="Y181">
        <v>2.44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6</v>
      </c>
      <c r="AG181">
        <v>0.44</v>
      </c>
      <c r="AH181">
        <v>2</v>
      </c>
      <c r="AI181">
        <v>16784452</v>
      </c>
      <c r="AJ181">
        <v>173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ROW(Source!A68)</f>
        <v>68</v>
      </c>
      <c r="B182">
        <v>16784465</v>
      </c>
      <c r="C182">
        <v>16784445</v>
      </c>
      <c r="D182">
        <v>15173044</v>
      </c>
      <c r="E182">
        <v>1</v>
      </c>
      <c r="F182">
        <v>1</v>
      </c>
      <c r="G182">
        <v>1</v>
      </c>
      <c r="H182">
        <v>3</v>
      </c>
      <c r="I182" t="s">
        <v>615</v>
      </c>
      <c r="J182" t="s">
        <v>616</v>
      </c>
      <c r="K182" t="s">
        <v>617</v>
      </c>
      <c r="L182">
        <v>1348</v>
      </c>
      <c r="N182">
        <v>1009</v>
      </c>
      <c r="O182" t="s">
        <v>65</v>
      </c>
      <c r="P182" t="s">
        <v>65</v>
      </c>
      <c r="Q182">
        <v>1000</v>
      </c>
      <c r="X182">
        <v>1.2999999999999999E-2</v>
      </c>
      <c r="Y182">
        <v>6513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6</v>
      </c>
      <c r="AG182">
        <v>1.2999999999999999E-2</v>
      </c>
      <c r="AH182">
        <v>2</v>
      </c>
      <c r="AI182">
        <v>16784453</v>
      </c>
      <c r="AJ182">
        <v>174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ROW(Source!A68)</f>
        <v>68</v>
      </c>
      <c r="B183">
        <v>16784466</v>
      </c>
      <c r="C183">
        <v>16784445</v>
      </c>
      <c r="D183">
        <v>15187102</v>
      </c>
      <c r="E183">
        <v>1</v>
      </c>
      <c r="F183">
        <v>1</v>
      </c>
      <c r="G183">
        <v>1</v>
      </c>
      <c r="H183">
        <v>3</v>
      </c>
      <c r="I183" t="s">
        <v>143</v>
      </c>
      <c r="J183" t="s">
        <v>145</v>
      </c>
      <c r="K183" t="s">
        <v>144</v>
      </c>
      <c r="L183">
        <v>1327</v>
      </c>
      <c r="N183">
        <v>1005</v>
      </c>
      <c r="O183" t="s">
        <v>35</v>
      </c>
      <c r="P183" t="s">
        <v>35</v>
      </c>
      <c r="Q183">
        <v>1</v>
      </c>
      <c r="X183">
        <v>102</v>
      </c>
      <c r="Y183">
        <v>140.44999999999999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102</v>
      </c>
      <c r="AH183">
        <v>2</v>
      </c>
      <c r="AI183">
        <v>16784454</v>
      </c>
      <c r="AJ183">
        <v>175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ROW(Source!A68)</f>
        <v>68</v>
      </c>
      <c r="B184">
        <v>16784467</v>
      </c>
      <c r="C184">
        <v>16784445</v>
      </c>
      <c r="D184">
        <v>15162768</v>
      </c>
      <c r="E184">
        <v>17</v>
      </c>
      <c r="F184">
        <v>1</v>
      </c>
      <c r="G184">
        <v>1</v>
      </c>
      <c r="H184">
        <v>3</v>
      </c>
      <c r="I184" t="s">
        <v>785</v>
      </c>
      <c r="J184" t="s">
        <v>6</v>
      </c>
      <c r="K184" t="s">
        <v>786</v>
      </c>
      <c r="L184">
        <v>1339</v>
      </c>
      <c r="N184">
        <v>1007</v>
      </c>
      <c r="O184" t="s">
        <v>128</v>
      </c>
      <c r="P184" t="s">
        <v>128</v>
      </c>
      <c r="Q184">
        <v>1</v>
      </c>
      <c r="X184">
        <v>0.01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 t="s">
        <v>6</v>
      </c>
      <c r="AG184">
        <v>0.01</v>
      </c>
      <c r="AH184">
        <v>3</v>
      </c>
      <c r="AI184">
        <v>-1</v>
      </c>
      <c r="AJ184" t="s">
        <v>6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ROW(Source!A68)</f>
        <v>68</v>
      </c>
      <c r="B185">
        <v>16784468</v>
      </c>
      <c r="C185">
        <v>16784445</v>
      </c>
      <c r="D185">
        <v>15202597</v>
      </c>
      <c r="E185">
        <v>1</v>
      </c>
      <c r="F185">
        <v>1</v>
      </c>
      <c r="G185">
        <v>1</v>
      </c>
      <c r="H185">
        <v>3</v>
      </c>
      <c r="I185" t="s">
        <v>618</v>
      </c>
      <c r="J185" t="s">
        <v>619</v>
      </c>
      <c r="K185" t="s">
        <v>620</v>
      </c>
      <c r="L185">
        <v>1346</v>
      </c>
      <c r="N185">
        <v>1009</v>
      </c>
      <c r="O185" t="s">
        <v>60</v>
      </c>
      <c r="P185" t="s">
        <v>60</v>
      </c>
      <c r="Q185">
        <v>1</v>
      </c>
      <c r="X185">
        <v>1200</v>
      </c>
      <c r="Y185">
        <v>3.69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1200</v>
      </c>
      <c r="AH185">
        <v>2</v>
      </c>
      <c r="AI185">
        <v>16784455</v>
      </c>
      <c r="AJ185">
        <v>177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ROW(Source!A68)</f>
        <v>68</v>
      </c>
      <c r="B186">
        <v>16784469</v>
      </c>
      <c r="C186">
        <v>16784445</v>
      </c>
      <c r="D186">
        <v>15162572</v>
      </c>
      <c r="E186">
        <v>17</v>
      </c>
      <c r="F186">
        <v>1</v>
      </c>
      <c r="G186">
        <v>1</v>
      </c>
      <c r="H186">
        <v>3</v>
      </c>
      <c r="I186" t="s">
        <v>155</v>
      </c>
      <c r="J186" t="s">
        <v>6</v>
      </c>
      <c r="K186" t="s">
        <v>156</v>
      </c>
      <c r="L186">
        <v>1348</v>
      </c>
      <c r="N186">
        <v>1009</v>
      </c>
      <c r="O186" t="s">
        <v>65</v>
      </c>
      <c r="P186" t="s">
        <v>65</v>
      </c>
      <c r="Q186">
        <v>1000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1</v>
      </c>
      <c r="AD186">
        <v>0</v>
      </c>
      <c r="AE186">
        <v>0</v>
      </c>
      <c r="AF186" t="s">
        <v>6</v>
      </c>
      <c r="AG186">
        <v>0</v>
      </c>
      <c r="AH186">
        <v>3</v>
      </c>
      <c r="AI186">
        <v>-1</v>
      </c>
      <c r="AJ186" t="s">
        <v>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ROW(Source!A69)</f>
        <v>69</v>
      </c>
      <c r="B187">
        <v>16784458</v>
      </c>
      <c r="C187">
        <v>16784445</v>
      </c>
      <c r="D187">
        <v>15436014</v>
      </c>
      <c r="E187">
        <v>1</v>
      </c>
      <c r="F187">
        <v>1</v>
      </c>
      <c r="G187">
        <v>1</v>
      </c>
      <c r="H187">
        <v>1</v>
      </c>
      <c r="I187" t="s">
        <v>502</v>
      </c>
      <c r="J187" t="s">
        <v>6</v>
      </c>
      <c r="K187" t="s">
        <v>503</v>
      </c>
      <c r="L187">
        <v>1191</v>
      </c>
      <c r="N187">
        <v>1013</v>
      </c>
      <c r="O187" t="s">
        <v>495</v>
      </c>
      <c r="P187" t="s">
        <v>495</v>
      </c>
      <c r="Q187">
        <v>1</v>
      </c>
      <c r="X187">
        <v>310.42</v>
      </c>
      <c r="Y187">
        <v>0</v>
      </c>
      <c r="Z187">
        <v>0</v>
      </c>
      <c r="AA187">
        <v>0</v>
      </c>
      <c r="AB187">
        <v>8.74</v>
      </c>
      <c r="AC187">
        <v>0</v>
      </c>
      <c r="AD187">
        <v>1</v>
      </c>
      <c r="AE187">
        <v>1</v>
      </c>
      <c r="AF187" t="s">
        <v>28</v>
      </c>
      <c r="AG187">
        <v>356.983</v>
      </c>
      <c r="AH187">
        <v>2</v>
      </c>
      <c r="AI187">
        <v>16784446</v>
      </c>
      <c r="AJ187">
        <v>179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ROW(Source!A69)</f>
        <v>69</v>
      </c>
      <c r="B188">
        <v>16784459</v>
      </c>
      <c r="C188">
        <v>16784445</v>
      </c>
      <c r="D188">
        <v>15430395</v>
      </c>
      <c r="E188">
        <v>1</v>
      </c>
      <c r="F188">
        <v>1</v>
      </c>
      <c r="G188">
        <v>1</v>
      </c>
      <c r="H188">
        <v>1</v>
      </c>
      <c r="I188" t="s">
        <v>496</v>
      </c>
      <c r="J188" t="s">
        <v>6</v>
      </c>
      <c r="K188" t="s">
        <v>497</v>
      </c>
      <c r="L188">
        <v>1191</v>
      </c>
      <c r="N188">
        <v>1013</v>
      </c>
      <c r="O188" t="s">
        <v>495</v>
      </c>
      <c r="P188" t="s">
        <v>495</v>
      </c>
      <c r="Q188">
        <v>1</v>
      </c>
      <c r="X188">
        <v>1.73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2</v>
      </c>
      <c r="AF188" t="s">
        <v>27</v>
      </c>
      <c r="AG188">
        <v>2.1625000000000001</v>
      </c>
      <c r="AH188">
        <v>2</v>
      </c>
      <c r="AI188">
        <v>16784447</v>
      </c>
      <c r="AJ188">
        <v>180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ROW(Source!A69)</f>
        <v>69</v>
      </c>
      <c r="B189">
        <v>16784460</v>
      </c>
      <c r="C189">
        <v>16784445</v>
      </c>
      <c r="D189">
        <v>15247576</v>
      </c>
      <c r="E189">
        <v>1</v>
      </c>
      <c r="F189">
        <v>1</v>
      </c>
      <c r="G189">
        <v>1</v>
      </c>
      <c r="H189">
        <v>2</v>
      </c>
      <c r="I189" t="s">
        <v>606</v>
      </c>
      <c r="J189" t="s">
        <v>607</v>
      </c>
      <c r="K189" t="s">
        <v>608</v>
      </c>
      <c r="L189">
        <v>1368</v>
      </c>
      <c r="N189">
        <v>1011</v>
      </c>
      <c r="O189" t="s">
        <v>501</v>
      </c>
      <c r="P189" t="s">
        <v>501</v>
      </c>
      <c r="Q189">
        <v>1</v>
      </c>
      <c r="X189">
        <v>0.02</v>
      </c>
      <c r="Y189">
        <v>0</v>
      </c>
      <c r="Z189">
        <v>83.43</v>
      </c>
      <c r="AA189">
        <v>13.5</v>
      </c>
      <c r="AB189">
        <v>0</v>
      </c>
      <c r="AC189">
        <v>0</v>
      </c>
      <c r="AD189">
        <v>1</v>
      </c>
      <c r="AE189">
        <v>0</v>
      </c>
      <c r="AF189" t="s">
        <v>27</v>
      </c>
      <c r="AG189">
        <v>2.5000000000000001E-2</v>
      </c>
      <c r="AH189">
        <v>2</v>
      </c>
      <c r="AI189">
        <v>16784448</v>
      </c>
      <c r="AJ189">
        <v>181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ROW(Source!A69)</f>
        <v>69</v>
      </c>
      <c r="B190">
        <v>16784461</v>
      </c>
      <c r="C190">
        <v>16784445</v>
      </c>
      <c r="D190">
        <v>15247678</v>
      </c>
      <c r="E190">
        <v>1</v>
      </c>
      <c r="F190">
        <v>1</v>
      </c>
      <c r="G190">
        <v>1</v>
      </c>
      <c r="H190">
        <v>2</v>
      </c>
      <c r="I190" t="s">
        <v>609</v>
      </c>
      <c r="J190" t="s">
        <v>610</v>
      </c>
      <c r="K190" t="s">
        <v>611</v>
      </c>
      <c r="L190">
        <v>1368</v>
      </c>
      <c r="N190">
        <v>1011</v>
      </c>
      <c r="O190" t="s">
        <v>501</v>
      </c>
      <c r="P190" t="s">
        <v>501</v>
      </c>
      <c r="Q190">
        <v>1</v>
      </c>
      <c r="X190">
        <v>0.01</v>
      </c>
      <c r="Y190">
        <v>0</v>
      </c>
      <c r="Z190">
        <v>88.01</v>
      </c>
      <c r="AA190">
        <v>11.6</v>
      </c>
      <c r="AB190">
        <v>0</v>
      </c>
      <c r="AC190">
        <v>0</v>
      </c>
      <c r="AD190">
        <v>1</v>
      </c>
      <c r="AE190">
        <v>0</v>
      </c>
      <c r="AF190" t="s">
        <v>27</v>
      </c>
      <c r="AG190">
        <v>1.2500000000000001E-2</v>
      </c>
      <c r="AH190">
        <v>2</v>
      </c>
      <c r="AI190">
        <v>16784449</v>
      </c>
      <c r="AJ190">
        <v>182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ROW(Source!A69)</f>
        <v>69</v>
      </c>
      <c r="B191">
        <v>16784462</v>
      </c>
      <c r="C191">
        <v>16784445</v>
      </c>
      <c r="D191">
        <v>15248143</v>
      </c>
      <c r="E191">
        <v>1</v>
      </c>
      <c r="F191">
        <v>1</v>
      </c>
      <c r="G191">
        <v>1</v>
      </c>
      <c r="H191">
        <v>2</v>
      </c>
      <c r="I191" t="s">
        <v>612</v>
      </c>
      <c r="J191" t="s">
        <v>613</v>
      </c>
      <c r="K191" t="s">
        <v>614</v>
      </c>
      <c r="L191">
        <v>1368</v>
      </c>
      <c r="N191">
        <v>1011</v>
      </c>
      <c r="O191" t="s">
        <v>501</v>
      </c>
      <c r="P191" t="s">
        <v>501</v>
      </c>
      <c r="Q191">
        <v>1</v>
      </c>
      <c r="X191">
        <v>1.69</v>
      </c>
      <c r="Y191">
        <v>0</v>
      </c>
      <c r="Z191">
        <v>12.39</v>
      </c>
      <c r="AA191">
        <v>10.06</v>
      </c>
      <c r="AB191">
        <v>0</v>
      </c>
      <c r="AC191">
        <v>0</v>
      </c>
      <c r="AD191">
        <v>1</v>
      </c>
      <c r="AE191">
        <v>0</v>
      </c>
      <c r="AF191" t="s">
        <v>27</v>
      </c>
      <c r="AG191">
        <v>2.1124999999999998</v>
      </c>
      <c r="AH191">
        <v>2</v>
      </c>
      <c r="AI191">
        <v>16784450</v>
      </c>
      <c r="AJ191">
        <v>183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ROW(Source!A69)</f>
        <v>69</v>
      </c>
      <c r="B192">
        <v>16784463</v>
      </c>
      <c r="C192">
        <v>16784445</v>
      </c>
      <c r="D192">
        <v>15249073</v>
      </c>
      <c r="E192">
        <v>1</v>
      </c>
      <c r="F192">
        <v>1</v>
      </c>
      <c r="G192">
        <v>1</v>
      </c>
      <c r="H192">
        <v>2</v>
      </c>
      <c r="I192" t="s">
        <v>504</v>
      </c>
      <c r="J192" t="s">
        <v>505</v>
      </c>
      <c r="K192" t="s">
        <v>506</v>
      </c>
      <c r="L192">
        <v>1368</v>
      </c>
      <c r="N192">
        <v>1011</v>
      </c>
      <c r="O192" t="s">
        <v>501</v>
      </c>
      <c r="P192" t="s">
        <v>501</v>
      </c>
      <c r="Q192">
        <v>1</v>
      </c>
      <c r="X192">
        <v>0.01</v>
      </c>
      <c r="Y192">
        <v>0</v>
      </c>
      <c r="Z192">
        <v>65.709999999999994</v>
      </c>
      <c r="AA192">
        <v>11.6</v>
      </c>
      <c r="AB192">
        <v>0</v>
      </c>
      <c r="AC192">
        <v>0</v>
      </c>
      <c r="AD192">
        <v>1</v>
      </c>
      <c r="AE192">
        <v>0</v>
      </c>
      <c r="AF192" t="s">
        <v>27</v>
      </c>
      <c r="AG192">
        <v>1.2500000000000001E-2</v>
      </c>
      <c r="AH192">
        <v>2</v>
      </c>
      <c r="AI192">
        <v>16784451</v>
      </c>
      <c r="AJ192">
        <v>184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ROW(Source!A69)</f>
        <v>69</v>
      </c>
      <c r="B193">
        <v>16784464</v>
      </c>
      <c r="C193">
        <v>16784445</v>
      </c>
      <c r="D193">
        <v>15167286</v>
      </c>
      <c r="E193">
        <v>1</v>
      </c>
      <c r="F193">
        <v>1</v>
      </c>
      <c r="G193">
        <v>1</v>
      </c>
      <c r="H193">
        <v>3</v>
      </c>
      <c r="I193" t="s">
        <v>597</v>
      </c>
      <c r="J193" t="s">
        <v>598</v>
      </c>
      <c r="K193" t="s">
        <v>599</v>
      </c>
      <c r="L193">
        <v>1339</v>
      </c>
      <c r="N193">
        <v>1007</v>
      </c>
      <c r="O193" t="s">
        <v>128</v>
      </c>
      <c r="P193" t="s">
        <v>128</v>
      </c>
      <c r="Q193">
        <v>1</v>
      </c>
      <c r="X193">
        <v>0.44</v>
      </c>
      <c r="Y193">
        <v>2.44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0.44</v>
      </c>
      <c r="AH193">
        <v>2</v>
      </c>
      <c r="AI193">
        <v>16784452</v>
      </c>
      <c r="AJ193">
        <v>185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ROW(Source!A69)</f>
        <v>69</v>
      </c>
      <c r="B194">
        <v>16784465</v>
      </c>
      <c r="C194">
        <v>16784445</v>
      </c>
      <c r="D194">
        <v>15173044</v>
      </c>
      <c r="E194">
        <v>1</v>
      </c>
      <c r="F194">
        <v>1</v>
      </c>
      <c r="G194">
        <v>1</v>
      </c>
      <c r="H194">
        <v>3</v>
      </c>
      <c r="I194" t="s">
        <v>615</v>
      </c>
      <c r="J194" t="s">
        <v>616</v>
      </c>
      <c r="K194" t="s">
        <v>617</v>
      </c>
      <c r="L194">
        <v>1348</v>
      </c>
      <c r="N194">
        <v>1009</v>
      </c>
      <c r="O194" t="s">
        <v>65</v>
      </c>
      <c r="P194" t="s">
        <v>65</v>
      </c>
      <c r="Q194">
        <v>1000</v>
      </c>
      <c r="X194">
        <v>1.2999999999999999E-2</v>
      </c>
      <c r="Y194">
        <v>6513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6</v>
      </c>
      <c r="AG194">
        <v>1.2999999999999999E-2</v>
      </c>
      <c r="AH194">
        <v>2</v>
      </c>
      <c r="AI194">
        <v>16784453</v>
      </c>
      <c r="AJ194">
        <v>186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ROW(Source!A69)</f>
        <v>69</v>
      </c>
      <c r="B195">
        <v>16784466</v>
      </c>
      <c r="C195">
        <v>16784445</v>
      </c>
      <c r="D195">
        <v>15187102</v>
      </c>
      <c r="E195">
        <v>1</v>
      </c>
      <c r="F195">
        <v>1</v>
      </c>
      <c r="G195">
        <v>1</v>
      </c>
      <c r="H195">
        <v>3</v>
      </c>
      <c r="I195" t="s">
        <v>143</v>
      </c>
      <c r="J195" t="s">
        <v>145</v>
      </c>
      <c r="K195" t="s">
        <v>144</v>
      </c>
      <c r="L195">
        <v>1327</v>
      </c>
      <c r="N195">
        <v>1005</v>
      </c>
      <c r="O195" t="s">
        <v>35</v>
      </c>
      <c r="P195" t="s">
        <v>35</v>
      </c>
      <c r="Q195">
        <v>1</v>
      </c>
      <c r="X195">
        <v>102</v>
      </c>
      <c r="Y195">
        <v>140.44999999999999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6</v>
      </c>
      <c r="AG195">
        <v>102</v>
      </c>
      <c r="AH195">
        <v>2</v>
      </c>
      <c r="AI195">
        <v>16784454</v>
      </c>
      <c r="AJ195">
        <v>187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ROW(Source!A69)</f>
        <v>69</v>
      </c>
      <c r="B196">
        <v>16784467</v>
      </c>
      <c r="C196">
        <v>16784445</v>
      </c>
      <c r="D196">
        <v>15162768</v>
      </c>
      <c r="E196">
        <v>17</v>
      </c>
      <c r="F196">
        <v>1</v>
      </c>
      <c r="G196">
        <v>1</v>
      </c>
      <c r="H196">
        <v>3</v>
      </c>
      <c r="I196" t="s">
        <v>785</v>
      </c>
      <c r="J196" t="s">
        <v>6</v>
      </c>
      <c r="K196" t="s">
        <v>786</v>
      </c>
      <c r="L196">
        <v>1339</v>
      </c>
      <c r="N196">
        <v>1007</v>
      </c>
      <c r="O196" t="s">
        <v>128</v>
      </c>
      <c r="P196" t="s">
        <v>128</v>
      </c>
      <c r="Q196">
        <v>1</v>
      </c>
      <c r="X196">
        <v>0.01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 t="s">
        <v>6</v>
      </c>
      <c r="AG196">
        <v>0.01</v>
      </c>
      <c r="AH196">
        <v>3</v>
      </c>
      <c r="AI196">
        <v>-1</v>
      </c>
      <c r="AJ196" t="s">
        <v>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ROW(Source!A69)</f>
        <v>69</v>
      </c>
      <c r="B197">
        <v>16784468</v>
      </c>
      <c r="C197">
        <v>16784445</v>
      </c>
      <c r="D197">
        <v>15202597</v>
      </c>
      <c r="E197">
        <v>1</v>
      </c>
      <c r="F197">
        <v>1</v>
      </c>
      <c r="G197">
        <v>1</v>
      </c>
      <c r="H197">
        <v>3</v>
      </c>
      <c r="I197" t="s">
        <v>618</v>
      </c>
      <c r="J197" t="s">
        <v>619</v>
      </c>
      <c r="K197" t="s">
        <v>620</v>
      </c>
      <c r="L197">
        <v>1346</v>
      </c>
      <c r="N197">
        <v>1009</v>
      </c>
      <c r="O197" t="s">
        <v>60</v>
      </c>
      <c r="P197" t="s">
        <v>60</v>
      </c>
      <c r="Q197">
        <v>1</v>
      </c>
      <c r="X197">
        <v>1200</v>
      </c>
      <c r="Y197">
        <v>3.69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6</v>
      </c>
      <c r="AG197">
        <v>1200</v>
      </c>
      <c r="AH197">
        <v>2</v>
      </c>
      <c r="AI197">
        <v>16784455</v>
      </c>
      <c r="AJ197">
        <v>189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ROW(Source!A69)</f>
        <v>69</v>
      </c>
      <c r="B198">
        <v>16784469</v>
      </c>
      <c r="C198">
        <v>16784445</v>
      </c>
      <c r="D198">
        <v>15162572</v>
      </c>
      <c r="E198">
        <v>17</v>
      </c>
      <c r="F198">
        <v>1</v>
      </c>
      <c r="G198">
        <v>1</v>
      </c>
      <c r="H198">
        <v>3</v>
      </c>
      <c r="I198" t="s">
        <v>155</v>
      </c>
      <c r="J198" t="s">
        <v>6</v>
      </c>
      <c r="K198" t="s">
        <v>156</v>
      </c>
      <c r="L198">
        <v>1348</v>
      </c>
      <c r="N198">
        <v>1009</v>
      </c>
      <c r="O198" t="s">
        <v>65</v>
      </c>
      <c r="P198" t="s">
        <v>65</v>
      </c>
      <c r="Q198">
        <v>1000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1</v>
      </c>
      <c r="AD198">
        <v>0</v>
      </c>
      <c r="AE198">
        <v>0</v>
      </c>
      <c r="AF198" t="s">
        <v>6</v>
      </c>
      <c r="AG198">
        <v>0</v>
      </c>
      <c r="AH198">
        <v>3</v>
      </c>
      <c r="AI198">
        <v>-1</v>
      </c>
      <c r="AJ198" t="s">
        <v>6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ROW(Source!A76)</f>
        <v>76</v>
      </c>
      <c r="B199">
        <v>16785074</v>
      </c>
      <c r="C199">
        <v>16785066</v>
      </c>
      <c r="D199">
        <v>15436556</v>
      </c>
      <c r="E199">
        <v>1</v>
      </c>
      <c r="F199">
        <v>1</v>
      </c>
      <c r="G199">
        <v>1</v>
      </c>
      <c r="H199">
        <v>1</v>
      </c>
      <c r="I199" t="s">
        <v>621</v>
      </c>
      <c r="J199" t="s">
        <v>6</v>
      </c>
      <c r="K199" t="s">
        <v>622</v>
      </c>
      <c r="L199">
        <v>1191</v>
      </c>
      <c r="N199">
        <v>1013</v>
      </c>
      <c r="O199" t="s">
        <v>495</v>
      </c>
      <c r="P199" t="s">
        <v>495</v>
      </c>
      <c r="Q199">
        <v>1</v>
      </c>
      <c r="X199">
        <v>6.55</v>
      </c>
      <c r="Y199">
        <v>0</v>
      </c>
      <c r="Z199">
        <v>0</v>
      </c>
      <c r="AA199">
        <v>0</v>
      </c>
      <c r="AB199">
        <v>9.6199999999999992</v>
      </c>
      <c r="AC199">
        <v>0</v>
      </c>
      <c r="AD199">
        <v>1</v>
      </c>
      <c r="AE199">
        <v>1</v>
      </c>
      <c r="AF199" t="s">
        <v>28</v>
      </c>
      <c r="AG199">
        <v>7.5324999999999989</v>
      </c>
      <c r="AH199">
        <v>2</v>
      </c>
      <c r="AI199">
        <v>16785067</v>
      </c>
      <c r="AJ199">
        <v>191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ROW(Source!A76)</f>
        <v>76</v>
      </c>
      <c r="B200">
        <v>16785075</v>
      </c>
      <c r="C200">
        <v>16785066</v>
      </c>
      <c r="D200">
        <v>15430395</v>
      </c>
      <c r="E200">
        <v>1</v>
      </c>
      <c r="F200">
        <v>1</v>
      </c>
      <c r="G200">
        <v>1</v>
      </c>
      <c r="H200">
        <v>1</v>
      </c>
      <c r="I200" t="s">
        <v>496</v>
      </c>
      <c r="J200" t="s">
        <v>6</v>
      </c>
      <c r="K200" t="s">
        <v>497</v>
      </c>
      <c r="L200">
        <v>1191</v>
      </c>
      <c r="N200">
        <v>1013</v>
      </c>
      <c r="O200" t="s">
        <v>495</v>
      </c>
      <c r="P200" t="s">
        <v>495</v>
      </c>
      <c r="Q200">
        <v>1</v>
      </c>
      <c r="X200">
        <v>0.02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2</v>
      </c>
      <c r="AF200" t="s">
        <v>27</v>
      </c>
      <c r="AG200">
        <v>2.5000000000000001E-2</v>
      </c>
      <c r="AH200">
        <v>2</v>
      </c>
      <c r="AI200">
        <v>16785068</v>
      </c>
      <c r="AJ200">
        <v>192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ROW(Source!A76)</f>
        <v>76</v>
      </c>
      <c r="B201">
        <v>16785076</v>
      </c>
      <c r="C201">
        <v>16785066</v>
      </c>
      <c r="D201">
        <v>15247974</v>
      </c>
      <c r="E201">
        <v>1</v>
      </c>
      <c r="F201">
        <v>1</v>
      </c>
      <c r="G201">
        <v>1</v>
      </c>
      <c r="H201">
        <v>2</v>
      </c>
      <c r="I201" t="s">
        <v>498</v>
      </c>
      <c r="J201" t="s">
        <v>499</v>
      </c>
      <c r="K201" t="s">
        <v>500</v>
      </c>
      <c r="L201">
        <v>1368</v>
      </c>
      <c r="N201">
        <v>1011</v>
      </c>
      <c r="O201" t="s">
        <v>501</v>
      </c>
      <c r="P201" t="s">
        <v>501</v>
      </c>
      <c r="Q201">
        <v>1</v>
      </c>
      <c r="X201">
        <v>0.01</v>
      </c>
      <c r="Y201">
        <v>0</v>
      </c>
      <c r="Z201">
        <v>31.26</v>
      </c>
      <c r="AA201">
        <v>13.5</v>
      </c>
      <c r="AB201">
        <v>0</v>
      </c>
      <c r="AC201">
        <v>0</v>
      </c>
      <c r="AD201">
        <v>1</v>
      </c>
      <c r="AE201">
        <v>0</v>
      </c>
      <c r="AF201" t="s">
        <v>27</v>
      </c>
      <c r="AG201">
        <v>1.2500000000000001E-2</v>
      </c>
      <c r="AH201">
        <v>2</v>
      </c>
      <c r="AI201">
        <v>16785069</v>
      </c>
      <c r="AJ201">
        <v>193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ROW(Source!A76)</f>
        <v>76</v>
      </c>
      <c r="B202">
        <v>16785077</v>
      </c>
      <c r="C202">
        <v>16785066</v>
      </c>
      <c r="D202">
        <v>15249073</v>
      </c>
      <c r="E202">
        <v>1</v>
      </c>
      <c r="F202">
        <v>1</v>
      </c>
      <c r="G202">
        <v>1</v>
      </c>
      <c r="H202">
        <v>2</v>
      </c>
      <c r="I202" t="s">
        <v>504</v>
      </c>
      <c r="J202" t="s">
        <v>505</v>
      </c>
      <c r="K202" t="s">
        <v>506</v>
      </c>
      <c r="L202">
        <v>1368</v>
      </c>
      <c r="N202">
        <v>1011</v>
      </c>
      <c r="O202" t="s">
        <v>501</v>
      </c>
      <c r="P202" t="s">
        <v>501</v>
      </c>
      <c r="Q202">
        <v>1</v>
      </c>
      <c r="X202">
        <v>0.01</v>
      </c>
      <c r="Y202">
        <v>0</v>
      </c>
      <c r="Z202">
        <v>65.709999999999994</v>
      </c>
      <c r="AA202">
        <v>11.6</v>
      </c>
      <c r="AB202">
        <v>0</v>
      </c>
      <c r="AC202">
        <v>0</v>
      </c>
      <c r="AD202">
        <v>1</v>
      </c>
      <c r="AE202">
        <v>0</v>
      </c>
      <c r="AF202" t="s">
        <v>27</v>
      </c>
      <c r="AG202">
        <v>1.2500000000000001E-2</v>
      </c>
      <c r="AH202">
        <v>2</v>
      </c>
      <c r="AI202">
        <v>16785070</v>
      </c>
      <c r="AJ202">
        <v>194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ROW(Source!A76)</f>
        <v>76</v>
      </c>
      <c r="B203">
        <v>16785078</v>
      </c>
      <c r="C203">
        <v>16785066</v>
      </c>
      <c r="D203">
        <v>15171018</v>
      </c>
      <c r="E203">
        <v>1</v>
      </c>
      <c r="F203">
        <v>1</v>
      </c>
      <c r="G203">
        <v>1</v>
      </c>
      <c r="H203">
        <v>3</v>
      </c>
      <c r="I203" t="s">
        <v>531</v>
      </c>
      <c r="J203" t="s">
        <v>532</v>
      </c>
      <c r="K203" t="s">
        <v>533</v>
      </c>
      <c r="L203">
        <v>1346</v>
      </c>
      <c r="N203">
        <v>1009</v>
      </c>
      <c r="O203" t="s">
        <v>60</v>
      </c>
      <c r="P203" t="s">
        <v>60</v>
      </c>
      <c r="Q203">
        <v>1</v>
      </c>
      <c r="X203">
        <v>0.1</v>
      </c>
      <c r="Y203">
        <v>1.82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</v>
      </c>
      <c r="AG203">
        <v>0.1</v>
      </c>
      <c r="AH203">
        <v>2</v>
      </c>
      <c r="AI203">
        <v>16785071</v>
      </c>
      <c r="AJ203">
        <v>195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ROW(Source!A76)</f>
        <v>76</v>
      </c>
      <c r="B204">
        <v>16785079</v>
      </c>
      <c r="C204">
        <v>16785066</v>
      </c>
      <c r="D204">
        <v>15162572</v>
      </c>
      <c r="E204">
        <v>17</v>
      </c>
      <c r="F204">
        <v>1</v>
      </c>
      <c r="G204">
        <v>1</v>
      </c>
      <c r="H204">
        <v>3</v>
      </c>
      <c r="I204" t="s">
        <v>155</v>
      </c>
      <c r="J204" t="s">
        <v>6</v>
      </c>
      <c r="K204" t="s">
        <v>156</v>
      </c>
      <c r="L204">
        <v>1348</v>
      </c>
      <c r="N204">
        <v>1009</v>
      </c>
      <c r="O204" t="s">
        <v>65</v>
      </c>
      <c r="P204" t="s">
        <v>65</v>
      </c>
      <c r="Q204">
        <v>1000</v>
      </c>
      <c r="X204">
        <v>1.2999999999999999E-2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 t="s">
        <v>6</v>
      </c>
      <c r="AG204">
        <v>1.2999999999999999E-2</v>
      </c>
      <c r="AH204">
        <v>2</v>
      </c>
      <c r="AI204">
        <v>16785073</v>
      </c>
      <c r="AJ204">
        <v>197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ROW(Source!A77)</f>
        <v>77</v>
      </c>
      <c r="B205">
        <v>16785074</v>
      </c>
      <c r="C205">
        <v>16785066</v>
      </c>
      <c r="D205">
        <v>15436556</v>
      </c>
      <c r="E205">
        <v>1</v>
      </c>
      <c r="F205">
        <v>1</v>
      </c>
      <c r="G205">
        <v>1</v>
      </c>
      <c r="H205">
        <v>1</v>
      </c>
      <c r="I205" t="s">
        <v>621</v>
      </c>
      <c r="J205" t="s">
        <v>6</v>
      </c>
      <c r="K205" t="s">
        <v>622</v>
      </c>
      <c r="L205">
        <v>1191</v>
      </c>
      <c r="N205">
        <v>1013</v>
      </c>
      <c r="O205" t="s">
        <v>495</v>
      </c>
      <c r="P205" t="s">
        <v>495</v>
      </c>
      <c r="Q205">
        <v>1</v>
      </c>
      <c r="X205">
        <v>6.55</v>
      </c>
      <c r="Y205">
        <v>0</v>
      </c>
      <c r="Z205">
        <v>0</v>
      </c>
      <c r="AA205">
        <v>0</v>
      </c>
      <c r="AB205">
        <v>9.6199999999999992</v>
      </c>
      <c r="AC205">
        <v>0</v>
      </c>
      <c r="AD205">
        <v>1</v>
      </c>
      <c r="AE205">
        <v>1</v>
      </c>
      <c r="AF205" t="s">
        <v>28</v>
      </c>
      <c r="AG205">
        <v>7.5324999999999989</v>
      </c>
      <c r="AH205">
        <v>2</v>
      </c>
      <c r="AI205">
        <v>16785067</v>
      </c>
      <c r="AJ205">
        <v>198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ROW(Source!A77)</f>
        <v>77</v>
      </c>
      <c r="B206">
        <v>16785075</v>
      </c>
      <c r="C206">
        <v>16785066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496</v>
      </c>
      <c r="J206" t="s">
        <v>6</v>
      </c>
      <c r="K206" t="s">
        <v>497</v>
      </c>
      <c r="L206">
        <v>1191</v>
      </c>
      <c r="N206">
        <v>1013</v>
      </c>
      <c r="O206" t="s">
        <v>495</v>
      </c>
      <c r="P206" t="s">
        <v>495</v>
      </c>
      <c r="Q206">
        <v>1</v>
      </c>
      <c r="X206">
        <v>0.02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2</v>
      </c>
      <c r="AF206" t="s">
        <v>27</v>
      </c>
      <c r="AG206">
        <v>2.5000000000000001E-2</v>
      </c>
      <c r="AH206">
        <v>2</v>
      </c>
      <c r="AI206">
        <v>16785068</v>
      </c>
      <c r="AJ206">
        <v>199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ROW(Source!A77)</f>
        <v>77</v>
      </c>
      <c r="B207">
        <v>16785076</v>
      </c>
      <c r="C207">
        <v>16785066</v>
      </c>
      <c r="D207">
        <v>15247974</v>
      </c>
      <c r="E207">
        <v>1</v>
      </c>
      <c r="F207">
        <v>1</v>
      </c>
      <c r="G207">
        <v>1</v>
      </c>
      <c r="H207">
        <v>2</v>
      </c>
      <c r="I207" t="s">
        <v>498</v>
      </c>
      <c r="J207" t="s">
        <v>499</v>
      </c>
      <c r="K207" t="s">
        <v>500</v>
      </c>
      <c r="L207">
        <v>1368</v>
      </c>
      <c r="N207">
        <v>1011</v>
      </c>
      <c r="O207" t="s">
        <v>501</v>
      </c>
      <c r="P207" t="s">
        <v>501</v>
      </c>
      <c r="Q207">
        <v>1</v>
      </c>
      <c r="X207">
        <v>0.01</v>
      </c>
      <c r="Y207">
        <v>0</v>
      </c>
      <c r="Z207">
        <v>31.26</v>
      </c>
      <c r="AA207">
        <v>13.5</v>
      </c>
      <c r="AB207">
        <v>0</v>
      </c>
      <c r="AC207">
        <v>0</v>
      </c>
      <c r="AD207">
        <v>1</v>
      </c>
      <c r="AE207">
        <v>0</v>
      </c>
      <c r="AF207" t="s">
        <v>27</v>
      </c>
      <c r="AG207">
        <v>1.2500000000000001E-2</v>
      </c>
      <c r="AH207">
        <v>2</v>
      </c>
      <c r="AI207">
        <v>16785069</v>
      </c>
      <c r="AJ207">
        <v>200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ROW(Source!A77)</f>
        <v>77</v>
      </c>
      <c r="B208">
        <v>16785077</v>
      </c>
      <c r="C208">
        <v>16785066</v>
      </c>
      <c r="D208">
        <v>15249073</v>
      </c>
      <c r="E208">
        <v>1</v>
      </c>
      <c r="F208">
        <v>1</v>
      </c>
      <c r="G208">
        <v>1</v>
      </c>
      <c r="H208">
        <v>2</v>
      </c>
      <c r="I208" t="s">
        <v>504</v>
      </c>
      <c r="J208" t="s">
        <v>505</v>
      </c>
      <c r="K208" t="s">
        <v>506</v>
      </c>
      <c r="L208">
        <v>1368</v>
      </c>
      <c r="N208">
        <v>1011</v>
      </c>
      <c r="O208" t="s">
        <v>501</v>
      </c>
      <c r="P208" t="s">
        <v>501</v>
      </c>
      <c r="Q208">
        <v>1</v>
      </c>
      <c r="X208">
        <v>0.01</v>
      </c>
      <c r="Y208">
        <v>0</v>
      </c>
      <c r="Z208">
        <v>65.709999999999994</v>
      </c>
      <c r="AA208">
        <v>11.6</v>
      </c>
      <c r="AB208">
        <v>0</v>
      </c>
      <c r="AC208">
        <v>0</v>
      </c>
      <c r="AD208">
        <v>1</v>
      </c>
      <c r="AE208">
        <v>0</v>
      </c>
      <c r="AF208" t="s">
        <v>27</v>
      </c>
      <c r="AG208">
        <v>1.2500000000000001E-2</v>
      </c>
      <c r="AH208">
        <v>2</v>
      </c>
      <c r="AI208">
        <v>16785070</v>
      </c>
      <c r="AJ208">
        <v>201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ROW(Source!A77)</f>
        <v>77</v>
      </c>
      <c r="B209">
        <v>16785078</v>
      </c>
      <c r="C209">
        <v>16785066</v>
      </c>
      <c r="D209">
        <v>15171018</v>
      </c>
      <c r="E209">
        <v>1</v>
      </c>
      <c r="F209">
        <v>1</v>
      </c>
      <c r="G209">
        <v>1</v>
      </c>
      <c r="H209">
        <v>3</v>
      </c>
      <c r="I209" t="s">
        <v>531</v>
      </c>
      <c r="J209" t="s">
        <v>532</v>
      </c>
      <c r="K209" t="s">
        <v>533</v>
      </c>
      <c r="L209">
        <v>1346</v>
      </c>
      <c r="N209">
        <v>1009</v>
      </c>
      <c r="O209" t="s">
        <v>60</v>
      </c>
      <c r="P209" t="s">
        <v>60</v>
      </c>
      <c r="Q209">
        <v>1</v>
      </c>
      <c r="X209">
        <v>0.1</v>
      </c>
      <c r="Y209">
        <v>1.82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0.1</v>
      </c>
      <c r="AH209">
        <v>2</v>
      </c>
      <c r="AI209">
        <v>16785071</v>
      </c>
      <c r="AJ209">
        <v>202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ROW(Source!A77)</f>
        <v>77</v>
      </c>
      <c r="B210">
        <v>16785079</v>
      </c>
      <c r="C210">
        <v>16785066</v>
      </c>
      <c r="D210">
        <v>15162572</v>
      </c>
      <c r="E210">
        <v>17</v>
      </c>
      <c r="F210">
        <v>1</v>
      </c>
      <c r="G210">
        <v>1</v>
      </c>
      <c r="H210">
        <v>3</v>
      </c>
      <c r="I210" t="s">
        <v>155</v>
      </c>
      <c r="J210" t="s">
        <v>6</v>
      </c>
      <c r="K210" t="s">
        <v>156</v>
      </c>
      <c r="L210">
        <v>1348</v>
      </c>
      <c r="N210">
        <v>1009</v>
      </c>
      <c r="O210" t="s">
        <v>65</v>
      </c>
      <c r="P210" t="s">
        <v>65</v>
      </c>
      <c r="Q210">
        <v>1000</v>
      </c>
      <c r="X210">
        <v>1.2999999999999999E-2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 t="s">
        <v>6</v>
      </c>
      <c r="AG210">
        <v>1.2999999999999999E-2</v>
      </c>
      <c r="AH210">
        <v>2</v>
      </c>
      <c r="AI210">
        <v>16785073</v>
      </c>
      <c r="AJ210">
        <v>204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ROW(Source!A82)</f>
        <v>82</v>
      </c>
      <c r="B211">
        <v>16784523</v>
      </c>
      <c r="C211">
        <v>16784517</v>
      </c>
      <c r="D211">
        <v>15431465</v>
      </c>
      <c r="E211">
        <v>1</v>
      </c>
      <c r="F211">
        <v>1</v>
      </c>
      <c r="G211">
        <v>1</v>
      </c>
      <c r="H211">
        <v>1</v>
      </c>
      <c r="I211" t="s">
        <v>623</v>
      </c>
      <c r="J211" t="s">
        <v>6</v>
      </c>
      <c r="K211" t="s">
        <v>624</v>
      </c>
      <c r="L211">
        <v>1191</v>
      </c>
      <c r="N211">
        <v>1013</v>
      </c>
      <c r="O211" t="s">
        <v>495</v>
      </c>
      <c r="P211" t="s">
        <v>495</v>
      </c>
      <c r="Q211">
        <v>1</v>
      </c>
      <c r="X211">
        <v>74.3</v>
      </c>
      <c r="Y211">
        <v>0</v>
      </c>
      <c r="Z211">
        <v>0</v>
      </c>
      <c r="AA211">
        <v>0</v>
      </c>
      <c r="AB211">
        <v>7.87</v>
      </c>
      <c r="AC211">
        <v>0</v>
      </c>
      <c r="AD211">
        <v>1</v>
      </c>
      <c r="AE211">
        <v>1</v>
      </c>
      <c r="AF211" t="s">
        <v>6</v>
      </c>
      <c r="AG211">
        <v>74.3</v>
      </c>
      <c r="AH211">
        <v>2</v>
      </c>
      <c r="AI211">
        <v>16784518</v>
      </c>
      <c r="AJ211">
        <v>205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ROW(Source!A82)</f>
        <v>82</v>
      </c>
      <c r="B212">
        <v>16784524</v>
      </c>
      <c r="C212">
        <v>16784517</v>
      </c>
      <c r="D212">
        <v>15430395</v>
      </c>
      <c r="E212">
        <v>1</v>
      </c>
      <c r="F212">
        <v>1</v>
      </c>
      <c r="G212">
        <v>1</v>
      </c>
      <c r="H212">
        <v>1</v>
      </c>
      <c r="I212" t="s">
        <v>496</v>
      </c>
      <c r="J212" t="s">
        <v>6</v>
      </c>
      <c r="K212" t="s">
        <v>497</v>
      </c>
      <c r="L212">
        <v>1191</v>
      </c>
      <c r="N212">
        <v>1013</v>
      </c>
      <c r="O212" t="s">
        <v>495</v>
      </c>
      <c r="P212" t="s">
        <v>495</v>
      </c>
      <c r="Q212">
        <v>1</v>
      </c>
      <c r="X212">
        <v>0.35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2</v>
      </c>
      <c r="AF212" t="s">
        <v>6</v>
      </c>
      <c r="AG212">
        <v>0.35</v>
      </c>
      <c r="AH212">
        <v>2</v>
      </c>
      <c r="AI212">
        <v>16784519</v>
      </c>
      <c r="AJ212">
        <v>206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ROW(Source!A82)</f>
        <v>82</v>
      </c>
      <c r="B213">
        <v>16784525</v>
      </c>
      <c r="C213">
        <v>16784517</v>
      </c>
      <c r="D213">
        <v>15247974</v>
      </c>
      <c r="E213">
        <v>1</v>
      </c>
      <c r="F213">
        <v>1</v>
      </c>
      <c r="G213">
        <v>1</v>
      </c>
      <c r="H213">
        <v>2</v>
      </c>
      <c r="I213" t="s">
        <v>498</v>
      </c>
      <c r="J213" t="s">
        <v>499</v>
      </c>
      <c r="K213" t="s">
        <v>500</v>
      </c>
      <c r="L213">
        <v>1368</v>
      </c>
      <c r="N213">
        <v>1011</v>
      </c>
      <c r="O213" t="s">
        <v>501</v>
      </c>
      <c r="P213" t="s">
        <v>501</v>
      </c>
      <c r="Q213">
        <v>1</v>
      </c>
      <c r="X213">
        <v>0.35</v>
      </c>
      <c r="Y213">
        <v>0</v>
      </c>
      <c r="Z213">
        <v>31.26</v>
      </c>
      <c r="AA213">
        <v>13.5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0.35</v>
      </c>
      <c r="AH213">
        <v>2</v>
      </c>
      <c r="AI213">
        <v>16784520</v>
      </c>
      <c r="AJ213">
        <v>207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ROW(Source!A82)</f>
        <v>82</v>
      </c>
      <c r="B214">
        <v>16784526</v>
      </c>
      <c r="C214">
        <v>16784517</v>
      </c>
      <c r="D214">
        <v>15249402</v>
      </c>
      <c r="E214">
        <v>1</v>
      </c>
      <c r="F214">
        <v>1</v>
      </c>
      <c r="G214">
        <v>1</v>
      </c>
      <c r="H214">
        <v>2</v>
      </c>
      <c r="I214" t="s">
        <v>625</v>
      </c>
      <c r="J214" t="s">
        <v>626</v>
      </c>
      <c r="K214" t="s">
        <v>627</v>
      </c>
      <c r="L214">
        <v>1368</v>
      </c>
      <c r="N214">
        <v>1011</v>
      </c>
      <c r="O214" t="s">
        <v>501</v>
      </c>
      <c r="P214" t="s">
        <v>501</v>
      </c>
      <c r="Q214">
        <v>1</v>
      </c>
      <c r="X214">
        <v>1.64</v>
      </c>
      <c r="Y214">
        <v>0</v>
      </c>
      <c r="Z214">
        <v>32.5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1.64</v>
      </c>
      <c r="AH214">
        <v>2</v>
      </c>
      <c r="AI214">
        <v>16784521</v>
      </c>
      <c r="AJ214">
        <v>208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ROW(Source!A82)</f>
        <v>82</v>
      </c>
      <c r="B215">
        <v>16784527</v>
      </c>
      <c r="C215">
        <v>16784517</v>
      </c>
      <c r="D215">
        <v>15249998</v>
      </c>
      <c r="E215">
        <v>1</v>
      </c>
      <c r="F215">
        <v>1</v>
      </c>
      <c r="G215">
        <v>1</v>
      </c>
      <c r="H215">
        <v>2</v>
      </c>
      <c r="I215" t="s">
        <v>628</v>
      </c>
      <c r="J215" t="s">
        <v>629</v>
      </c>
      <c r="K215" t="s">
        <v>630</v>
      </c>
      <c r="L215">
        <v>1368</v>
      </c>
      <c r="N215">
        <v>1011</v>
      </c>
      <c r="O215" t="s">
        <v>501</v>
      </c>
      <c r="P215" t="s">
        <v>501</v>
      </c>
      <c r="Q215">
        <v>1</v>
      </c>
      <c r="X215">
        <v>3.28</v>
      </c>
      <c r="Y215">
        <v>0</v>
      </c>
      <c r="Z215">
        <v>1.53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3.28</v>
      </c>
      <c r="AH215">
        <v>2</v>
      </c>
      <c r="AI215">
        <v>16784522</v>
      </c>
      <c r="AJ215">
        <v>209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ROW(Source!A83)</f>
        <v>83</v>
      </c>
      <c r="B216">
        <v>16784523</v>
      </c>
      <c r="C216">
        <v>16784517</v>
      </c>
      <c r="D216">
        <v>15431465</v>
      </c>
      <c r="E216">
        <v>1</v>
      </c>
      <c r="F216">
        <v>1</v>
      </c>
      <c r="G216">
        <v>1</v>
      </c>
      <c r="H216">
        <v>1</v>
      </c>
      <c r="I216" t="s">
        <v>623</v>
      </c>
      <c r="J216" t="s">
        <v>6</v>
      </c>
      <c r="K216" t="s">
        <v>624</v>
      </c>
      <c r="L216">
        <v>1191</v>
      </c>
      <c r="N216">
        <v>1013</v>
      </c>
      <c r="O216" t="s">
        <v>495</v>
      </c>
      <c r="P216" t="s">
        <v>495</v>
      </c>
      <c r="Q216">
        <v>1</v>
      </c>
      <c r="X216">
        <v>74.3</v>
      </c>
      <c r="Y216">
        <v>0</v>
      </c>
      <c r="Z216">
        <v>0</v>
      </c>
      <c r="AA216">
        <v>0</v>
      </c>
      <c r="AB216">
        <v>7.87</v>
      </c>
      <c r="AC216">
        <v>0</v>
      </c>
      <c r="AD216">
        <v>1</v>
      </c>
      <c r="AE216">
        <v>1</v>
      </c>
      <c r="AF216" t="s">
        <v>6</v>
      </c>
      <c r="AG216">
        <v>74.3</v>
      </c>
      <c r="AH216">
        <v>2</v>
      </c>
      <c r="AI216">
        <v>16784518</v>
      </c>
      <c r="AJ216">
        <v>210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ROW(Source!A83)</f>
        <v>83</v>
      </c>
      <c r="B217">
        <v>16784524</v>
      </c>
      <c r="C217">
        <v>16784517</v>
      </c>
      <c r="D217">
        <v>15430395</v>
      </c>
      <c r="E217">
        <v>1</v>
      </c>
      <c r="F217">
        <v>1</v>
      </c>
      <c r="G217">
        <v>1</v>
      </c>
      <c r="H217">
        <v>1</v>
      </c>
      <c r="I217" t="s">
        <v>496</v>
      </c>
      <c r="J217" t="s">
        <v>6</v>
      </c>
      <c r="K217" t="s">
        <v>497</v>
      </c>
      <c r="L217">
        <v>1191</v>
      </c>
      <c r="N217">
        <v>1013</v>
      </c>
      <c r="O217" t="s">
        <v>495</v>
      </c>
      <c r="P217" t="s">
        <v>495</v>
      </c>
      <c r="Q217">
        <v>1</v>
      </c>
      <c r="X217">
        <v>0.35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2</v>
      </c>
      <c r="AF217" t="s">
        <v>6</v>
      </c>
      <c r="AG217">
        <v>0.35</v>
      </c>
      <c r="AH217">
        <v>2</v>
      </c>
      <c r="AI217">
        <v>16784519</v>
      </c>
      <c r="AJ217">
        <v>211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ROW(Source!A83)</f>
        <v>83</v>
      </c>
      <c r="B218">
        <v>16784525</v>
      </c>
      <c r="C218">
        <v>16784517</v>
      </c>
      <c r="D218">
        <v>15247974</v>
      </c>
      <c r="E218">
        <v>1</v>
      </c>
      <c r="F218">
        <v>1</v>
      </c>
      <c r="G218">
        <v>1</v>
      </c>
      <c r="H218">
        <v>2</v>
      </c>
      <c r="I218" t="s">
        <v>498</v>
      </c>
      <c r="J218" t="s">
        <v>499</v>
      </c>
      <c r="K218" t="s">
        <v>500</v>
      </c>
      <c r="L218">
        <v>1368</v>
      </c>
      <c r="N218">
        <v>1011</v>
      </c>
      <c r="O218" t="s">
        <v>501</v>
      </c>
      <c r="P218" t="s">
        <v>501</v>
      </c>
      <c r="Q218">
        <v>1</v>
      </c>
      <c r="X218">
        <v>0.35</v>
      </c>
      <c r="Y218">
        <v>0</v>
      </c>
      <c r="Z218">
        <v>31.26</v>
      </c>
      <c r="AA218">
        <v>13.5</v>
      </c>
      <c r="AB218">
        <v>0</v>
      </c>
      <c r="AC218">
        <v>0</v>
      </c>
      <c r="AD218">
        <v>1</v>
      </c>
      <c r="AE218">
        <v>0</v>
      </c>
      <c r="AF218" t="s">
        <v>6</v>
      </c>
      <c r="AG218">
        <v>0.35</v>
      </c>
      <c r="AH218">
        <v>2</v>
      </c>
      <c r="AI218">
        <v>16784520</v>
      </c>
      <c r="AJ218">
        <v>212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ROW(Source!A83)</f>
        <v>83</v>
      </c>
      <c r="B219">
        <v>16784526</v>
      </c>
      <c r="C219">
        <v>16784517</v>
      </c>
      <c r="D219">
        <v>15249402</v>
      </c>
      <c r="E219">
        <v>1</v>
      </c>
      <c r="F219">
        <v>1</v>
      </c>
      <c r="G219">
        <v>1</v>
      </c>
      <c r="H219">
        <v>2</v>
      </c>
      <c r="I219" t="s">
        <v>625</v>
      </c>
      <c r="J219" t="s">
        <v>626</v>
      </c>
      <c r="K219" t="s">
        <v>627</v>
      </c>
      <c r="L219">
        <v>1368</v>
      </c>
      <c r="N219">
        <v>1011</v>
      </c>
      <c r="O219" t="s">
        <v>501</v>
      </c>
      <c r="P219" t="s">
        <v>501</v>
      </c>
      <c r="Q219">
        <v>1</v>
      </c>
      <c r="X219">
        <v>1.64</v>
      </c>
      <c r="Y219">
        <v>0</v>
      </c>
      <c r="Z219">
        <v>32.5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6</v>
      </c>
      <c r="AG219">
        <v>1.64</v>
      </c>
      <c r="AH219">
        <v>2</v>
      </c>
      <c r="AI219">
        <v>16784521</v>
      </c>
      <c r="AJ219">
        <v>213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ROW(Source!A83)</f>
        <v>83</v>
      </c>
      <c r="B220">
        <v>16784527</v>
      </c>
      <c r="C220">
        <v>16784517</v>
      </c>
      <c r="D220">
        <v>15249998</v>
      </c>
      <c r="E220">
        <v>1</v>
      </c>
      <c r="F220">
        <v>1</v>
      </c>
      <c r="G220">
        <v>1</v>
      </c>
      <c r="H220">
        <v>2</v>
      </c>
      <c r="I220" t="s">
        <v>628</v>
      </c>
      <c r="J220" t="s">
        <v>629</v>
      </c>
      <c r="K220" t="s">
        <v>630</v>
      </c>
      <c r="L220">
        <v>1368</v>
      </c>
      <c r="N220">
        <v>1011</v>
      </c>
      <c r="O220" t="s">
        <v>501</v>
      </c>
      <c r="P220" t="s">
        <v>501</v>
      </c>
      <c r="Q220">
        <v>1</v>
      </c>
      <c r="X220">
        <v>3.28</v>
      </c>
      <c r="Y220">
        <v>0</v>
      </c>
      <c r="Z220">
        <v>1.53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6</v>
      </c>
      <c r="AG220">
        <v>3.28</v>
      </c>
      <c r="AH220">
        <v>2</v>
      </c>
      <c r="AI220">
        <v>16784522</v>
      </c>
      <c r="AJ220">
        <v>214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ROW(Source!A84)</f>
        <v>84</v>
      </c>
      <c r="B221">
        <v>16784539</v>
      </c>
      <c r="C221">
        <v>16784528</v>
      </c>
      <c r="D221">
        <v>15438286</v>
      </c>
      <c r="E221">
        <v>1</v>
      </c>
      <c r="F221">
        <v>1</v>
      </c>
      <c r="G221">
        <v>1</v>
      </c>
      <c r="H221">
        <v>1</v>
      </c>
      <c r="I221" t="s">
        <v>529</v>
      </c>
      <c r="J221" t="s">
        <v>6</v>
      </c>
      <c r="K221" t="s">
        <v>530</v>
      </c>
      <c r="L221">
        <v>1191</v>
      </c>
      <c r="N221">
        <v>1013</v>
      </c>
      <c r="O221" t="s">
        <v>495</v>
      </c>
      <c r="P221" t="s">
        <v>495</v>
      </c>
      <c r="Q221">
        <v>1</v>
      </c>
      <c r="X221">
        <v>159.66999999999999</v>
      </c>
      <c r="Y221">
        <v>0</v>
      </c>
      <c r="Z221">
        <v>0</v>
      </c>
      <c r="AA221">
        <v>0</v>
      </c>
      <c r="AB221">
        <v>9.18</v>
      </c>
      <c r="AC221">
        <v>0</v>
      </c>
      <c r="AD221">
        <v>1</v>
      </c>
      <c r="AE221">
        <v>1</v>
      </c>
      <c r="AF221" t="s">
        <v>28</v>
      </c>
      <c r="AG221">
        <v>183.62049999999996</v>
      </c>
      <c r="AH221">
        <v>2</v>
      </c>
      <c r="AI221">
        <v>16784529</v>
      </c>
      <c r="AJ221">
        <v>215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ROW(Source!A84)</f>
        <v>84</v>
      </c>
      <c r="B222">
        <v>16784540</v>
      </c>
      <c r="C222">
        <v>16784528</v>
      </c>
      <c r="D222">
        <v>15430395</v>
      </c>
      <c r="E222">
        <v>1</v>
      </c>
      <c r="F222">
        <v>1</v>
      </c>
      <c r="G222">
        <v>1</v>
      </c>
      <c r="H222">
        <v>1</v>
      </c>
      <c r="I222" t="s">
        <v>496</v>
      </c>
      <c r="J222" t="s">
        <v>6</v>
      </c>
      <c r="K222" t="s">
        <v>497</v>
      </c>
      <c r="L222">
        <v>1191</v>
      </c>
      <c r="N222">
        <v>1013</v>
      </c>
      <c r="O222" t="s">
        <v>495</v>
      </c>
      <c r="P222" t="s">
        <v>495</v>
      </c>
      <c r="Q222">
        <v>1</v>
      </c>
      <c r="X222">
        <v>1.65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2</v>
      </c>
      <c r="AF222" t="s">
        <v>27</v>
      </c>
      <c r="AG222">
        <v>2.0625</v>
      </c>
      <c r="AH222">
        <v>2</v>
      </c>
      <c r="AI222">
        <v>16784530</v>
      </c>
      <c r="AJ222">
        <v>216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ROW(Source!A84)</f>
        <v>84</v>
      </c>
      <c r="B223">
        <v>16784541</v>
      </c>
      <c r="C223">
        <v>16784528</v>
      </c>
      <c r="D223">
        <v>15247905</v>
      </c>
      <c r="E223">
        <v>1</v>
      </c>
      <c r="F223">
        <v>1</v>
      </c>
      <c r="G223">
        <v>1</v>
      </c>
      <c r="H223">
        <v>2</v>
      </c>
      <c r="I223" t="s">
        <v>631</v>
      </c>
      <c r="J223" t="s">
        <v>632</v>
      </c>
      <c r="K223" t="s">
        <v>633</v>
      </c>
      <c r="L223">
        <v>1368</v>
      </c>
      <c r="N223">
        <v>1011</v>
      </c>
      <c r="O223" t="s">
        <v>501</v>
      </c>
      <c r="P223" t="s">
        <v>501</v>
      </c>
      <c r="Q223">
        <v>1</v>
      </c>
      <c r="X223">
        <v>0.08</v>
      </c>
      <c r="Y223">
        <v>0</v>
      </c>
      <c r="Z223">
        <v>89.99</v>
      </c>
      <c r="AA223">
        <v>10.06</v>
      </c>
      <c r="AB223">
        <v>0</v>
      </c>
      <c r="AC223">
        <v>0</v>
      </c>
      <c r="AD223">
        <v>1</v>
      </c>
      <c r="AE223">
        <v>0</v>
      </c>
      <c r="AF223" t="s">
        <v>27</v>
      </c>
      <c r="AG223">
        <v>0.1</v>
      </c>
      <c r="AH223">
        <v>2</v>
      </c>
      <c r="AI223">
        <v>16784531</v>
      </c>
      <c r="AJ223">
        <v>217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ROW(Source!A84)</f>
        <v>84</v>
      </c>
      <c r="B224">
        <v>16784542</v>
      </c>
      <c r="C224">
        <v>16784528</v>
      </c>
      <c r="D224">
        <v>15247974</v>
      </c>
      <c r="E224">
        <v>1</v>
      </c>
      <c r="F224">
        <v>1</v>
      </c>
      <c r="G224">
        <v>1</v>
      </c>
      <c r="H224">
        <v>2</v>
      </c>
      <c r="I224" t="s">
        <v>498</v>
      </c>
      <c r="J224" t="s">
        <v>499</v>
      </c>
      <c r="K224" t="s">
        <v>500</v>
      </c>
      <c r="L224">
        <v>1368</v>
      </c>
      <c r="N224">
        <v>1011</v>
      </c>
      <c r="O224" t="s">
        <v>501</v>
      </c>
      <c r="P224" t="s">
        <v>501</v>
      </c>
      <c r="Q224">
        <v>1</v>
      </c>
      <c r="X224">
        <v>0.27</v>
      </c>
      <c r="Y224">
        <v>0</v>
      </c>
      <c r="Z224">
        <v>31.26</v>
      </c>
      <c r="AA224">
        <v>13.5</v>
      </c>
      <c r="AB224">
        <v>0</v>
      </c>
      <c r="AC224">
        <v>0</v>
      </c>
      <c r="AD224">
        <v>1</v>
      </c>
      <c r="AE224">
        <v>0</v>
      </c>
      <c r="AF224" t="s">
        <v>27</v>
      </c>
      <c r="AG224">
        <v>0.33750000000000002</v>
      </c>
      <c r="AH224">
        <v>2</v>
      </c>
      <c r="AI224">
        <v>16784532</v>
      </c>
      <c r="AJ224">
        <v>218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ROW(Source!A84)</f>
        <v>84</v>
      </c>
      <c r="B225">
        <v>16784543</v>
      </c>
      <c r="C225">
        <v>16784528</v>
      </c>
      <c r="D225">
        <v>15248143</v>
      </c>
      <c r="E225">
        <v>1</v>
      </c>
      <c r="F225">
        <v>1</v>
      </c>
      <c r="G225">
        <v>1</v>
      </c>
      <c r="H225">
        <v>2</v>
      </c>
      <c r="I225" t="s">
        <v>612</v>
      </c>
      <c r="J225" t="s">
        <v>613</v>
      </c>
      <c r="K225" t="s">
        <v>614</v>
      </c>
      <c r="L225">
        <v>1368</v>
      </c>
      <c r="N225">
        <v>1011</v>
      </c>
      <c r="O225" t="s">
        <v>501</v>
      </c>
      <c r="P225" t="s">
        <v>501</v>
      </c>
      <c r="Q225">
        <v>1</v>
      </c>
      <c r="X225">
        <v>1.3</v>
      </c>
      <c r="Y225">
        <v>0</v>
      </c>
      <c r="Z225">
        <v>12.39</v>
      </c>
      <c r="AA225">
        <v>10.06</v>
      </c>
      <c r="AB225">
        <v>0</v>
      </c>
      <c r="AC225">
        <v>0</v>
      </c>
      <c r="AD225">
        <v>1</v>
      </c>
      <c r="AE225">
        <v>0</v>
      </c>
      <c r="AF225" t="s">
        <v>27</v>
      </c>
      <c r="AG225">
        <v>1.625</v>
      </c>
      <c r="AH225">
        <v>2</v>
      </c>
      <c r="AI225">
        <v>16784533</v>
      </c>
      <c r="AJ225">
        <v>219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ROW(Source!A84)</f>
        <v>84</v>
      </c>
      <c r="B226">
        <v>16784544</v>
      </c>
      <c r="C226">
        <v>16784528</v>
      </c>
      <c r="D226">
        <v>15167286</v>
      </c>
      <c r="E226">
        <v>1</v>
      </c>
      <c r="F226">
        <v>1</v>
      </c>
      <c r="G226">
        <v>1</v>
      </c>
      <c r="H226">
        <v>3</v>
      </c>
      <c r="I226" t="s">
        <v>597</v>
      </c>
      <c r="J226" t="s">
        <v>598</v>
      </c>
      <c r="K226" t="s">
        <v>599</v>
      </c>
      <c r="L226">
        <v>1339</v>
      </c>
      <c r="N226">
        <v>1007</v>
      </c>
      <c r="O226" t="s">
        <v>128</v>
      </c>
      <c r="P226" t="s">
        <v>128</v>
      </c>
      <c r="Q226">
        <v>1</v>
      </c>
      <c r="X226">
        <v>0.93</v>
      </c>
      <c r="Y226">
        <v>2.44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0.93</v>
      </c>
      <c r="AH226">
        <v>2</v>
      </c>
      <c r="AI226">
        <v>16784534</v>
      </c>
      <c r="AJ226">
        <v>220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ROW(Source!A84)</f>
        <v>84</v>
      </c>
      <c r="B227">
        <v>16784545</v>
      </c>
      <c r="C227">
        <v>16784528</v>
      </c>
      <c r="D227">
        <v>15171018</v>
      </c>
      <c r="E227">
        <v>1</v>
      </c>
      <c r="F227">
        <v>1</v>
      </c>
      <c r="G227">
        <v>1</v>
      </c>
      <c r="H227">
        <v>3</v>
      </c>
      <c r="I227" t="s">
        <v>531</v>
      </c>
      <c r="J227" t="s">
        <v>532</v>
      </c>
      <c r="K227" t="s">
        <v>533</v>
      </c>
      <c r="L227">
        <v>1346</v>
      </c>
      <c r="N227">
        <v>1009</v>
      </c>
      <c r="O227" t="s">
        <v>60</v>
      </c>
      <c r="P227" t="s">
        <v>60</v>
      </c>
      <c r="Q227">
        <v>1</v>
      </c>
      <c r="X227">
        <v>0.5</v>
      </c>
      <c r="Y227">
        <v>1.82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0.5</v>
      </c>
      <c r="AH227">
        <v>2</v>
      </c>
      <c r="AI227">
        <v>16784535</v>
      </c>
      <c r="AJ227">
        <v>221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ROW(Source!A84)</f>
        <v>84</v>
      </c>
      <c r="B228">
        <v>16784546</v>
      </c>
      <c r="C228">
        <v>16784528</v>
      </c>
      <c r="D228">
        <v>15162949</v>
      </c>
      <c r="E228">
        <v>17</v>
      </c>
      <c r="F228">
        <v>1</v>
      </c>
      <c r="G228">
        <v>1</v>
      </c>
      <c r="H228">
        <v>3</v>
      </c>
      <c r="I228" t="s">
        <v>787</v>
      </c>
      <c r="J228" t="s">
        <v>6</v>
      </c>
      <c r="K228" t="s">
        <v>788</v>
      </c>
      <c r="L228">
        <v>1348</v>
      </c>
      <c r="N228">
        <v>1009</v>
      </c>
      <c r="O228" t="s">
        <v>65</v>
      </c>
      <c r="P228" t="s">
        <v>65</v>
      </c>
      <c r="Q228">
        <v>1000</v>
      </c>
      <c r="X228">
        <v>0.05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 t="s">
        <v>6</v>
      </c>
      <c r="AG228">
        <v>0.05</v>
      </c>
      <c r="AH228">
        <v>3</v>
      </c>
      <c r="AI228">
        <v>-1</v>
      </c>
      <c r="AJ228" t="s">
        <v>6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ROW(Source!A84)</f>
        <v>84</v>
      </c>
      <c r="B229">
        <v>16784547</v>
      </c>
      <c r="C229">
        <v>16784528</v>
      </c>
      <c r="D229">
        <v>15162946</v>
      </c>
      <c r="E229">
        <v>17</v>
      </c>
      <c r="F229">
        <v>1</v>
      </c>
      <c r="G229">
        <v>1</v>
      </c>
      <c r="H229">
        <v>3</v>
      </c>
      <c r="I229" t="s">
        <v>789</v>
      </c>
      <c r="J229" t="s">
        <v>6</v>
      </c>
      <c r="K229" t="s">
        <v>790</v>
      </c>
      <c r="L229">
        <v>1327</v>
      </c>
      <c r="N229">
        <v>1005</v>
      </c>
      <c r="O229" t="s">
        <v>35</v>
      </c>
      <c r="P229" t="s">
        <v>35</v>
      </c>
      <c r="Q229">
        <v>1</v>
      </c>
      <c r="X229">
        <v>100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 t="s">
        <v>6</v>
      </c>
      <c r="AG229">
        <v>100</v>
      </c>
      <c r="AH229">
        <v>3</v>
      </c>
      <c r="AI229">
        <v>-1</v>
      </c>
      <c r="AJ229" t="s">
        <v>6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ROW(Source!A84)</f>
        <v>84</v>
      </c>
      <c r="B230">
        <v>16784548</v>
      </c>
      <c r="C230">
        <v>16784528</v>
      </c>
      <c r="D230">
        <v>15162952</v>
      </c>
      <c r="E230">
        <v>17</v>
      </c>
      <c r="F230">
        <v>1</v>
      </c>
      <c r="G230">
        <v>1</v>
      </c>
      <c r="H230">
        <v>3</v>
      </c>
      <c r="I230" t="s">
        <v>791</v>
      </c>
      <c r="J230" t="s">
        <v>6</v>
      </c>
      <c r="K230" t="s">
        <v>792</v>
      </c>
      <c r="L230">
        <v>1348</v>
      </c>
      <c r="N230">
        <v>1009</v>
      </c>
      <c r="O230" t="s">
        <v>65</v>
      </c>
      <c r="P230" t="s">
        <v>65</v>
      </c>
      <c r="Q230">
        <v>1000</v>
      </c>
      <c r="X230">
        <v>0.375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 t="s">
        <v>6</v>
      </c>
      <c r="AG230">
        <v>0.375</v>
      </c>
      <c r="AH230">
        <v>3</v>
      </c>
      <c r="AI230">
        <v>-1</v>
      </c>
      <c r="AJ230" t="s">
        <v>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ROW(Source!A85)</f>
        <v>85</v>
      </c>
      <c r="B231">
        <v>16784539</v>
      </c>
      <c r="C231">
        <v>16784528</v>
      </c>
      <c r="D231">
        <v>15438286</v>
      </c>
      <c r="E231">
        <v>1</v>
      </c>
      <c r="F231">
        <v>1</v>
      </c>
      <c r="G231">
        <v>1</v>
      </c>
      <c r="H231">
        <v>1</v>
      </c>
      <c r="I231" t="s">
        <v>529</v>
      </c>
      <c r="J231" t="s">
        <v>6</v>
      </c>
      <c r="K231" t="s">
        <v>530</v>
      </c>
      <c r="L231">
        <v>1191</v>
      </c>
      <c r="N231">
        <v>1013</v>
      </c>
      <c r="O231" t="s">
        <v>495</v>
      </c>
      <c r="P231" t="s">
        <v>495</v>
      </c>
      <c r="Q231">
        <v>1</v>
      </c>
      <c r="X231">
        <v>159.66999999999999</v>
      </c>
      <c r="Y231">
        <v>0</v>
      </c>
      <c r="Z231">
        <v>0</v>
      </c>
      <c r="AA231">
        <v>0</v>
      </c>
      <c r="AB231">
        <v>9.18</v>
      </c>
      <c r="AC231">
        <v>0</v>
      </c>
      <c r="AD231">
        <v>1</v>
      </c>
      <c r="AE231">
        <v>1</v>
      </c>
      <c r="AF231" t="s">
        <v>28</v>
      </c>
      <c r="AG231">
        <v>183.62049999999996</v>
      </c>
      <c r="AH231">
        <v>2</v>
      </c>
      <c r="AI231">
        <v>16784529</v>
      </c>
      <c r="AJ231">
        <v>225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ROW(Source!A85)</f>
        <v>85</v>
      </c>
      <c r="B232">
        <v>16784540</v>
      </c>
      <c r="C232">
        <v>16784528</v>
      </c>
      <c r="D232">
        <v>15430395</v>
      </c>
      <c r="E232">
        <v>1</v>
      </c>
      <c r="F232">
        <v>1</v>
      </c>
      <c r="G232">
        <v>1</v>
      </c>
      <c r="H232">
        <v>1</v>
      </c>
      <c r="I232" t="s">
        <v>496</v>
      </c>
      <c r="J232" t="s">
        <v>6</v>
      </c>
      <c r="K232" t="s">
        <v>497</v>
      </c>
      <c r="L232">
        <v>1191</v>
      </c>
      <c r="N232">
        <v>1013</v>
      </c>
      <c r="O232" t="s">
        <v>495</v>
      </c>
      <c r="P232" t="s">
        <v>495</v>
      </c>
      <c r="Q232">
        <v>1</v>
      </c>
      <c r="X232">
        <v>1.65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27</v>
      </c>
      <c r="AG232">
        <v>2.0625</v>
      </c>
      <c r="AH232">
        <v>2</v>
      </c>
      <c r="AI232">
        <v>16784530</v>
      </c>
      <c r="AJ232">
        <v>226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ROW(Source!A85)</f>
        <v>85</v>
      </c>
      <c r="B233">
        <v>16784541</v>
      </c>
      <c r="C233">
        <v>16784528</v>
      </c>
      <c r="D233">
        <v>15247905</v>
      </c>
      <c r="E233">
        <v>1</v>
      </c>
      <c r="F233">
        <v>1</v>
      </c>
      <c r="G233">
        <v>1</v>
      </c>
      <c r="H233">
        <v>2</v>
      </c>
      <c r="I233" t="s">
        <v>631</v>
      </c>
      <c r="J233" t="s">
        <v>632</v>
      </c>
      <c r="K233" t="s">
        <v>633</v>
      </c>
      <c r="L233">
        <v>1368</v>
      </c>
      <c r="N233">
        <v>1011</v>
      </c>
      <c r="O233" t="s">
        <v>501</v>
      </c>
      <c r="P233" t="s">
        <v>501</v>
      </c>
      <c r="Q233">
        <v>1</v>
      </c>
      <c r="X233">
        <v>0.08</v>
      </c>
      <c r="Y233">
        <v>0</v>
      </c>
      <c r="Z233">
        <v>89.99</v>
      </c>
      <c r="AA233">
        <v>10.06</v>
      </c>
      <c r="AB233">
        <v>0</v>
      </c>
      <c r="AC233">
        <v>0</v>
      </c>
      <c r="AD233">
        <v>1</v>
      </c>
      <c r="AE233">
        <v>0</v>
      </c>
      <c r="AF233" t="s">
        <v>27</v>
      </c>
      <c r="AG233">
        <v>0.1</v>
      </c>
      <c r="AH233">
        <v>2</v>
      </c>
      <c r="AI233">
        <v>16784531</v>
      </c>
      <c r="AJ233">
        <v>227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ROW(Source!A85)</f>
        <v>85</v>
      </c>
      <c r="B234">
        <v>16784542</v>
      </c>
      <c r="C234">
        <v>16784528</v>
      </c>
      <c r="D234">
        <v>15247974</v>
      </c>
      <c r="E234">
        <v>1</v>
      </c>
      <c r="F234">
        <v>1</v>
      </c>
      <c r="G234">
        <v>1</v>
      </c>
      <c r="H234">
        <v>2</v>
      </c>
      <c r="I234" t="s">
        <v>498</v>
      </c>
      <c r="J234" t="s">
        <v>499</v>
      </c>
      <c r="K234" t="s">
        <v>500</v>
      </c>
      <c r="L234">
        <v>1368</v>
      </c>
      <c r="N234">
        <v>1011</v>
      </c>
      <c r="O234" t="s">
        <v>501</v>
      </c>
      <c r="P234" t="s">
        <v>501</v>
      </c>
      <c r="Q234">
        <v>1</v>
      </c>
      <c r="X234">
        <v>0.27</v>
      </c>
      <c r="Y234">
        <v>0</v>
      </c>
      <c r="Z234">
        <v>31.26</v>
      </c>
      <c r="AA234">
        <v>13.5</v>
      </c>
      <c r="AB234">
        <v>0</v>
      </c>
      <c r="AC234">
        <v>0</v>
      </c>
      <c r="AD234">
        <v>1</v>
      </c>
      <c r="AE234">
        <v>0</v>
      </c>
      <c r="AF234" t="s">
        <v>27</v>
      </c>
      <c r="AG234">
        <v>0.33750000000000002</v>
      </c>
      <c r="AH234">
        <v>2</v>
      </c>
      <c r="AI234">
        <v>16784532</v>
      </c>
      <c r="AJ234">
        <v>228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ROW(Source!A85)</f>
        <v>85</v>
      </c>
      <c r="B235">
        <v>16784543</v>
      </c>
      <c r="C235">
        <v>16784528</v>
      </c>
      <c r="D235">
        <v>15248143</v>
      </c>
      <c r="E235">
        <v>1</v>
      </c>
      <c r="F235">
        <v>1</v>
      </c>
      <c r="G235">
        <v>1</v>
      </c>
      <c r="H235">
        <v>2</v>
      </c>
      <c r="I235" t="s">
        <v>612</v>
      </c>
      <c r="J235" t="s">
        <v>613</v>
      </c>
      <c r="K235" t="s">
        <v>614</v>
      </c>
      <c r="L235">
        <v>1368</v>
      </c>
      <c r="N235">
        <v>1011</v>
      </c>
      <c r="O235" t="s">
        <v>501</v>
      </c>
      <c r="P235" t="s">
        <v>501</v>
      </c>
      <c r="Q235">
        <v>1</v>
      </c>
      <c r="X235">
        <v>1.3</v>
      </c>
      <c r="Y235">
        <v>0</v>
      </c>
      <c r="Z235">
        <v>12.39</v>
      </c>
      <c r="AA235">
        <v>10.06</v>
      </c>
      <c r="AB235">
        <v>0</v>
      </c>
      <c r="AC235">
        <v>0</v>
      </c>
      <c r="AD235">
        <v>1</v>
      </c>
      <c r="AE235">
        <v>0</v>
      </c>
      <c r="AF235" t="s">
        <v>27</v>
      </c>
      <c r="AG235">
        <v>1.625</v>
      </c>
      <c r="AH235">
        <v>2</v>
      </c>
      <c r="AI235">
        <v>16784533</v>
      </c>
      <c r="AJ235">
        <v>229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ROW(Source!A85)</f>
        <v>85</v>
      </c>
      <c r="B236">
        <v>16784544</v>
      </c>
      <c r="C236">
        <v>16784528</v>
      </c>
      <c r="D236">
        <v>15167286</v>
      </c>
      <c r="E236">
        <v>1</v>
      </c>
      <c r="F236">
        <v>1</v>
      </c>
      <c r="G236">
        <v>1</v>
      </c>
      <c r="H236">
        <v>3</v>
      </c>
      <c r="I236" t="s">
        <v>597</v>
      </c>
      <c r="J236" t="s">
        <v>598</v>
      </c>
      <c r="K236" t="s">
        <v>599</v>
      </c>
      <c r="L236">
        <v>1339</v>
      </c>
      <c r="N236">
        <v>1007</v>
      </c>
      <c r="O236" t="s">
        <v>128</v>
      </c>
      <c r="P236" t="s">
        <v>128</v>
      </c>
      <c r="Q236">
        <v>1</v>
      </c>
      <c r="X236">
        <v>0.93</v>
      </c>
      <c r="Y236">
        <v>2.44</v>
      </c>
      <c r="Z236">
        <v>0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6</v>
      </c>
      <c r="AG236">
        <v>0.93</v>
      </c>
      <c r="AH236">
        <v>2</v>
      </c>
      <c r="AI236">
        <v>16784534</v>
      </c>
      <c r="AJ236">
        <v>230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ROW(Source!A85)</f>
        <v>85</v>
      </c>
      <c r="B237">
        <v>16784545</v>
      </c>
      <c r="C237">
        <v>16784528</v>
      </c>
      <c r="D237">
        <v>15171018</v>
      </c>
      <c r="E237">
        <v>1</v>
      </c>
      <c r="F237">
        <v>1</v>
      </c>
      <c r="G237">
        <v>1</v>
      </c>
      <c r="H237">
        <v>3</v>
      </c>
      <c r="I237" t="s">
        <v>531</v>
      </c>
      <c r="J237" t="s">
        <v>532</v>
      </c>
      <c r="K237" t="s">
        <v>533</v>
      </c>
      <c r="L237">
        <v>1346</v>
      </c>
      <c r="N237">
        <v>1009</v>
      </c>
      <c r="O237" t="s">
        <v>60</v>
      </c>
      <c r="P237" t="s">
        <v>60</v>
      </c>
      <c r="Q237">
        <v>1</v>
      </c>
      <c r="X237">
        <v>0.5</v>
      </c>
      <c r="Y237">
        <v>1.82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0.5</v>
      </c>
      <c r="AH237">
        <v>2</v>
      </c>
      <c r="AI237">
        <v>16784535</v>
      </c>
      <c r="AJ237">
        <v>231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ROW(Source!A85)</f>
        <v>85</v>
      </c>
      <c r="B238">
        <v>16784546</v>
      </c>
      <c r="C238">
        <v>16784528</v>
      </c>
      <c r="D238">
        <v>15162949</v>
      </c>
      <c r="E238">
        <v>17</v>
      </c>
      <c r="F238">
        <v>1</v>
      </c>
      <c r="G238">
        <v>1</v>
      </c>
      <c r="H238">
        <v>3</v>
      </c>
      <c r="I238" t="s">
        <v>787</v>
      </c>
      <c r="J238" t="s">
        <v>6</v>
      </c>
      <c r="K238" t="s">
        <v>788</v>
      </c>
      <c r="L238">
        <v>1348</v>
      </c>
      <c r="N238">
        <v>1009</v>
      </c>
      <c r="O238" t="s">
        <v>65</v>
      </c>
      <c r="P238" t="s">
        <v>65</v>
      </c>
      <c r="Q238">
        <v>1000</v>
      </c>
      <c r="X238">
        <v>0.05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 t="s">
        <v>6</v>
      </c>
      <c r="AG238">
        <v>0.05</v>
      </c>
      <c r="AH238">
        <v>3</v>
      </c>
      <c r="AI238">
        <v>-1</v>
      </c>
      <c r="AJ238" t="s">
        <v>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ROW(Source!A85)</f>
        <v>85</v>
      </c>
      <c r="B239">
        <v>16784547</v>
      </c>
      <c r="C239">
        <v>16784528</v>
      </c>
      <c r="D239">
        <v>15162946</v>
      </c>
      <c r="E239">
        <v>17</v>
      </c>
      <c r="F239">
        <v>1</v>
      </c>
      <c r="G239">
        <v>1</v>
      </c>
      <c r="H239">
        <v>3</v>
      </c>
      <c r="I239" t="s">
        <v>789</v>
      </c>
      <c r="J239" t="s">
        <v>6</v>
      </c>
      <c r="K239" t="s">
        <v>790</v>
      </c>
      <c r="L239">
        <v>1327</v>
      </c>
      <c r="N239">
        <v>1005</v>
      </c>
      <c r="O239" t="s">
        <v>35</v>
      </c>
      <c r="P239" t="s">
        <v>35</v>
      </c>
      <c r="Q239">
        <v>1</v>
      </c>
      <c r="X239">
        <v>100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 t="s">
        <v>6</v>
      </c>
      <c r="AG239">
        <v>100</v>
      </c>
      <c r="AH239">
        <v>3</v>
      </c>
      <c r="AI239">
        <v>-1</v>
      </c>
      <c r="AJ239" t="s">
        <v>6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ROW(Source!A85)</f>
        <v>85</v>
      </c>
      <c r="B240">
        <v>16784548</v>
      </c>
      <c r="C240">
        <v>16784528</v>
      </c>
      <c r="D240">
        <v>15162952</v>
      </c>
      <c r="E240">
        <v>17</v>
      </c>
      <c r="F240">
        <v>1</v>
      </c>
      <c r="G240">
        <v>1</v>
      </c>
      <c r="H240">
        <v>3</v>
      </c>
      <c r="I240" t="s">
        <v>791</v>
      </c>
      <c r="J240" t="s">
        <v>6</v>
      </c>
      <c r="K240" t="s">
        <v>792</v>
      </c>
      <c r="L240">
        <v>1348</v>
      </c>
      <c r="N240">
        <v>1009</v>
      </c>
      <c r="O240" t="s">
        <v>65</v>
      </c>
      <c r="P240" t="s">
        <v>65</v>
      </c>
      <c r="Q240">
        <v>1000</v>
      </c>
      <c r="X240">
        <v>0.375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 t="s">
        <v>6</v>
      </c>
      <c r="AG240">
        <v>0.375</v>
      </c>
      <c r="AH240">
        <v>3</v>
      </c>
      <c r="AI240">
        <v>-1</v>
      </c>
      <c r="AJ240" t="s">
        <v>6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ROW(Source!A92)</f>
        <v>92</v>
      </c>
      <c r="B241">
        <v>16784558</v>
      </c>
      <c r="C241">
        <v>16784552</v>
      </c>
      <c r="D241">
        <v>15430497</v>
      </c>
      <c r="E241">
        <v>1</v>
      </c>
      <c r="F241">
        <v>1</v>
      </c>
      <c r="G241">
        <v>1</v>
      </c>
      <c r="H241">
        <v>1</v>
      </c>
      <c r="I241" t="s">
        <v>634</v>
      </c>
      <c r="J241" t="s">
        <v>6</v>
      </c>
      <c r="K241" t="s">
        <v>635</v>
      </c>
      <c r="L241">
        <v>1191</v>
      </c>
      <c r="N241">
        <v>1013</v>
      </c>
      <c r="O241" t="s">
        <v>495</v>
      </c>
      <c r="P241" t="s">
        <v>495</v>
      </c>
      <c r="Q241">
        <v>1</v>
      </c>
      <c r="X241">
        <v>146.07</v>
      </c>
      <c r="Y241">
        <v>0</v>
      </c>
      <c r="Z241">
        <v>0</v>
      </c>
      <c r="AA241">
        <v>0</v>
      </c>
      <c r="AB241">
        <v>8.86</v>
      </c>
      <c r="AC241">
        <v>0</v>
      </c>
      <c r="AD241">
        <v>1</v>
      </c>
      <c r="AE241">
        <v>1</v>
      </c>
      <c r="AF241" t="s">
        <v>6</v>
      </c>
      <c r="AG241">
        <v>146.07</v>
      </c>
      <c r="AH241">
        <v>2</v>
      </c>
      <c r="AI241">
        <v>16784553</v>
      </c>
      <c r="AJ241">
        <v>235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ROW(Source!A92)</f>
        <v>92</v>
      </c>
      <c r="B242">
        <v>16784559</v>
      </c>
      <c r="C242">
        <v>16784552</v>
      </c>
      <c r="D242">
        <v>15430395</v>
      </c>
      <c r="E242">
        <v>1</v>
      </c>
      <c r="F242">
        <v>1</v>
      </c>
      <c r="G242">
        <v>1</v>
      </c>
      <c r="H242">
        <v>1</v>
      </c>
      <c r="I242" t="s">
        <v>496</v>
      </c>
      <c r="J242" t="s">
        <v>6</v>
      </c>
      <c r="K242" t="s">
        <v>497</v>
      </c>
      <c r="L242">
        <v>1191</v>
      </c>
      <c r="N242">
        <v>1013</v>
      </c>
      <c r="O242" t="s">
        <v>495</v>
      </c>
      <c r="P242" t="s">
        <v>495</v>
      </c>
      <c r="Q242">
        <v>1</v>
      </c>
      <c r="X242">
        <v>0.67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2</v>
      </c>
      <c r="AF242" t="s">
        <v>6</v>
      </c>
      <c r="AG242">
        <v>0.67</v>
      </c>
      <c r="AH242">
        <v>2</v>
      </c>
      <c r="AI242">
        <v>16784554</v>
      </c>
      <c r="AJ242">
        <v>236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ROW(Source!A92)</f>
        <v>92</v>
      </c>
      <c r="B243">
        <v>16784560</v>
      </c>
      <c r="C243">
        <v>16784552</v>
      </c>
      <c r="D243">
        <v>15247974</v>
      </c>
      <c r="E243">
        <v>1</v>
      </c>
      <c r="F243">
        <v>1</v>
      </c>
      <c r="G243">
        <v>1</v>
      </c>
      <c r="H243">
        <v>2</v>
      </c>
      <c r="I243" t="s">
        <v>498</v>
      </c>
      <c r="J243" t="s">
        <v>499</v>
      </c>
      <c r="K243" t="s">
        <v>500</v>
      </c>
      <c r="L243">
        <v>1368</v>
      </c>
      <c r="N243">
        <v>1011</v>
      </c>
      <c r="O243" t="s">
        <v>501</v>
      </c>
      <c r="P243" t="s">
        <v>501</v>
      </c>
      <c r="Q243">
        <v>1</v>
      </c>
      <c r="X243">
        <v>0.67</v>
      </c>
      <c r="Y243">
        <v>0</v>
      </c>
      <c r="Z243">
        <v>31.26</v>
      </c>
      <c r="AA243">
        <v>13.5</v>
      </c>
      <c r="AB243">
        <v>0</v>
      </c>
      <c r="AC243">
        <v>0</v>
      </c>
      <c r="AD243">
        <v>1</v>
      </c>
      <c r="AE243">
        <v>0</v>
      </c>
      <c r="AF243" t="s">
        <v>6</v>
      </c>
      <c r="AG243">
        <v>0.67</v>
      </c>
      <c r="AH243">
        <v>2</v>
      </c>
      <c r="AI243">
        <v>16784555</v>
      </c>
      <c r="AJ243">
        <v>237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ROW(Source!A92)</f>
        <v>92</v>
      </c>
      <c r="B244">
        <v>16784561</v>
      </c>
      <c r="C244">
        <v>16784552</v>
      </c>
      <c r="D244">
        <v>15167286</v>
      </c>
      <c r="E244">
        <v>1</v>
      </c>
      <c r="F244">
        <v>1</v>
      </c>
      <c r="G244">
        <v>1</v>
      </c>
      <c r="H244">
        <v>3</v>
      </c>
      <c r="I244" t="s">
        <v>597</v>
      </c>
      <c r="J244" t="s">
        <v>598</v>
      </c>
      <c r="K244" t="s">
        <v>599</v>
      </c>
      <c r="L244">
        <v>1339</v>
      </c>
      <c r="N244">
        <v>1007</v>
      </c>
      <c r="O244" t="s">
        <v>128</v>
      </c>
      <c r="P244" t="s">
        <v>128</v>
      </c>
      <c r="Q244">
        <v>1</v>
      </c>
      <c r="X244">
        <v>0.35</v>
      </c>
      <c r="Y244">
        <v>2.44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6</v>
      </c>
      <c r="AG244">
        <v>0.35</v>
      </c>
      <c r="AH244">
        <v>2</v>
      </c>
      <c r="AI244">
        <v>16784556</v>
      </c>
      <c r="AJ244">
        <v>238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ROW(Source!A92)</f>
        <v>92</v>
      </c>
      <c r="B245">
        <v>16784562</v>
      </c>
      <c r="C245">
        <v>16784552</v>
      </c>
      <c r="D245">
        <v>15164566</v>
      </c>
      <c r="E245">
        <v>17</v>
      </c>
      <c r="F245">
        <v>1</v>
      </c>
      <c r="G245">
        <v>1</v>
      </c>
      <c r="H245">
        <v>3</v>
      </c>
      <c r="I245" t="s">
        <v>781</v>
      </c>
      <c r="J245" t="s">
        <v>6</v>
      </c>
      <c r="K245" t="s">
        <v>782</v>
      </c>
      <c r="L245">
        <v>1348</v>
      </c>
      <c r="N245">
        <v>1009</v>
      </c>
      <c r="O245" t="s">
        <v>65</v>
      </c>
      <c r="P245" t="s">
        <v>65</v>
      </c>
      <c r="Q245">
        <v>1000</v>
      </c>
      <c r="X245">
        <v>3.38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 t="s">
        <v>6</v>
      </c>
      <c r="AG245">
        <v>3.38</v>
      </c>
      <c r="AH245">
        <v>3</v>
      </c>
      <c r="AI245">
        <v>-1</v>
      </c>
      <c r="AJ245" t="s">
        <v>6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ROW(Source!A92)</f>
        <v>92</v>
      </c>
      <c r="B246">
        <v>16784563</v>
      </c>
      <c r="C246">
        <v>16784552</v>
      </c>
      <c r="D246">
        <v>15172819</v>
      </c>
      <c r="E246">
        <v>1</v>
      </c>
      <c r="F246">
        <v>1</v>
      </c>
      <c r="G246">
        <v>1</v>
      </c>
      <c r="H246">
        <v>3</v>
      </c>
      <c r="I246" t="s">
        <v>636</v>
      </c>
      <c r="J246" t="s">
        <v>637</v>
      </c>
      <c r="K246" t="s">
        <v>638</v>
      </c>
      <c r="L246">
        <v>1339</v>
      </c>
      <c r="N246">
        <v>1007</v>
      </c>
      <c r="O246" t="s">
        <v>128</v>
      </c>
      <c r="P246" t="s">
        <v>128</v>
      </c>
      <c r="Q246">
        <v>1</v>
      </c>
      <c r="X246">
        <v>2.2000000000000002</v>
      </c>
      <c r="Y246">
        <v>510.4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6</v>
      </c>
      <c r="AG246">
        <v>2.2000000000000002</v>
      </c>
      <c r="AH246">
        <v>2</v>
      </c>
      <c r="AI246">
        <v>16784557</v>
      </c>
      <c r="AJ246">
        <v>239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ROW(Source!A93)</f>
        <v>93</v>
      </c>
      <c r="B247">
        <v>16784558</v>
      </c>
      <c r="C247">
        <v>16784552</v>
      </c>
      <c r="D247">
        <v>15430497</v>
      </c>
      <c r="E247">
        <v>1</v>
      </c>
      <c r="F247">
        <v>1</v>
      </c>
      <c r="G247">
        <v>1</v>
      </c>
      <c r="H247">
        <v>1</v>
      </c>
      <c r="I247" t="s">
        <v>634</v>
      </c>
      <c r="J247" t="s">
        <v>6</v>
      </c>
      <c r="K247" t="s">
        <v>635</v>
      </c>
      <c r="L247">
        <v>1191</v>
      </c>
      <c r="N247">
        <v>1013</v>
      </c>
      <c r="O247" t="s">
        <v>495</v>
      </c>
      <c r="P247" t="s">
        <v>495</v>
      </c>
      <c r="Q247">
        <v>1</v>
      </c>
      <c r="X247">
        <v>146.07</v>
      </c>
      <c r="Y247">
        <v>0</v>
      </c>
      <c r="Z247">
        <v>0</v>
      </c>
      <c r="AA247">
        <v>0</v>
      </c>
      <c r="AB247">
        <v>8.86</v>
      </c>
      <c r="AC247">
        <v>0</v>
      </c>
      <c r="AD247">
        <v>1</v>
      </c>
      <c r="AE247">
        <v>1</v>
      </c>
      <c r="AF247" t="s">
        <v>6</v>
      </c>
      <c r="AG247">
        <v>146.07</v>
      </c>
      <c r="AH247">
        <v>2</v>
      </c>
      <c r="AI247">
        <v>16784553</v>
      </c>
      <c r="AJ247">
        <v>240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ROW(Source!A93)</f>
        <v>93</v>
      </c>
      <c r="B248">
        <v>16784559</v>
      </c>
      <c r="C248">
        <v>16784552</v>
      </c>
      <c r="D248">
        <v>15430395</v>
      </c>
      <c r="E248">
        <v>1</v>
      </c>
      <c r="F248">
        <v>1</v>
      </c>
      <c r="G248">
        <v>1</v>
      </c>
      <c r="H248">
        <v>1</v>
      </c>
      <c r="I248" t="s">
        <v>496</v>
      </c>
      <c r="J248" t="s">
        <v>6</v>
      </c>
      <c r="K248" t="s">
        <v>497</v>
      </c>
      <c r="L248">
        <v>1191</v>
      </c>
      <c r="N248">
        <v>1013</v>
      </c>
      <c r="O248" t="s">
        <v>495</v>
      </c>
      <c r="P248" t="s">
        <v>495</v>
      </c>
      <c r="Q248">
        <v>1</v>
      </c>
      <c r="X248">
        <v>0.67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2</v>
      </c>
      <c r="AF248" t="s">
        <v>6</v>
      </c>
      <c r="AG248">
        <v>0.67</v>
      </c>
      <c r="AH248">
        <v>2</v>
      </c>
      <c r="AI248">
        <v>16784554</v>
      </c>
      <c r="AJ248">
        <v>241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ROW(Source!A93)</f>
        <v>93</v>
      </c>
      <c r="B249">
        <v>16784560</v>
      </c>
      <c r="C249">
        <v>16784552</v>
      </c>
      <c r="D249">
        <v>15247974</v>
      </c>
      <c r="E249">
        <v>1</v>
      </c>
      <c r="F249">
        <v>1</v>
      </c>
      <c r="G249">
        <v>1</v>
      </c>
      <c r="H249">
        <v>2</v>
      </c>
      <c r="I249" t="s">
        <v>498</v>
      </c>
      <c r="J249" t="s">
        <v>499</v>
      </c>
      <c r="K249" t="s">
        <v>500</v>
      </c>
      <c r="L249">
        <v>1368</v>
      </c>
      <c r="N249">
        <v>1011</v>
      </c>
      <c r="O249" t="s">
        <v>501</v>
      </c>
      <c r="P249" t="s">
        <v>501</v>
      </c>
      <c r="Q249">
        <v>1</v>
      </c>
      <c r="X249">
        <v>0.67</v>
      </c>
      <c r="Y249">
        <v>0</v>
      </c>
      <c r="Z249">
        <v>31.26</v>
      </c>
      <c r="AA249">
        <v>13.5</v>
      </c>
      <c r="AB249">
        <v>0</v>
      </c>
      <c r="AC249">
        <v>0</v>
      </c>
      <c r="AD249">
        <v>1</v>
      </c>
      <c r="AE249">
        <v>0</v>
      </c>
      <c r="AF249" t="s">
        <v>6</v>
      </c>
      <c r="AG249">
        <v>0.67</v>
      </c>
      <c r="AH249">
        <v>2</v>
      </c>
      <c r="AI249">
        <v>16784555</v>
      </c>
      <c r="AJ249">
        <v>242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ROW(Source!A93)</f>
        <v>93</v>
      </c>
      <c r="B250">
        <v>16784561</v>
      </c>
      <c r="C250">
        <v>16784552</v>
      </c>
      <c r="D250">
        <v>15167286</v>
      </c>
      <c r="E250">
        <v>1</v>
      </c>
      <c r="F250">
        <v>1</v>
      </c>
      <c r="G250">
        <v>1</v>
      </c>
      <c r="H250">
        <v>3</v>
      </c>
      <c r="I250" t="s">
        <v>597</v>
      </c>
      <c r="J250" t="s">
        <v>598</v>
      </c>
      <c r="K250" t="s">
        <v>599</v>
      </c>
      <c r="L250">
        <v>1339</v>
      </c>
      <c r="N250">
        <v>1007</v>
      </c>
      <c r="O250" t="s">
        <v>128</v>
      </c>
      <c r="P250" t="s">
        <v>128</v>
      </c>
      <c r="Q250">
        <v>1</v>
      </c>
      <c r="X250">
        <v>0.35</v>
      </c>
      <c r="Y250">
        <v>2.44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6</v>
      </c>
      <c r="AG250">
        <v>0.35</v>
      </c>
      <c r="AH250">
        <v>2</v>
      </c>
      <c r="AI250">
        <v>16784556</v>
      </c>
      <c r="AJ250">
        <v>243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ROW(Source!A93)</f>
        <v>93</v>
      </c>
      <c r="B251">
        <v>16784562</v>
      </c>
      <c r="C251">
        <v>16784552</v>
      </c>
      <c r="D251">
        <v>15164566</v>
      </c>
      <c r="E251">
        <v>17</v>
      </c>
      <c r="F251">
        <v>1</v>
      </c>
      <c r="G251">
        <v>1</v>
      </c>
      <c r="H251">
        <v>3</v>
      </c>
      <c r="I251" t="s">
        <v>781</v>
      </c>
      <c r="J251" t="s">
        <v>6</v>
      </c>
      <c r="K251" t="s">
        <v>782</v>
      </c>
      <c r="L251">
        <v>1348</v>
      </c>
      <c r="N251">
        <v>1009</v>
      </c>
      <c r="O251" t="s">
        <v>65</v>
      </c>
      <c r="P251" t="s">
        <v>65</v>
      </c>
      <c r="Q251">
        <v>1000</v>
      </c>
      <c r="X251">
        <v>3.38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 t="s">
        <v>6</v>
      </c>
      <c r="AG251">
        <v>3.38</v>
      </c>
      <c r="AH251">
        <v>3</v>
      </c>
      <c r="AI251">
        <v>-1</v>
      </c>
      <c r="AJ251" t="s">
        <v>6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ROW(Source!A93)</f>
        <v>93</v>
      </c>
      <c r="B252">
        <v>16784563</v>
      </c>
      <c r="C252">
        <v>16784552</v>
      </c>
      <c r="D252">
        <v>15172819</v>
      </c>
      <c r="E252">
        <v>1</v>
      </c>
      <c r="F252">
        <v>1</v>
      </c>
      <c r="G252">
        <v>1</v>
      </c>
      <c r="H252">
        <v>3</v>
      </c>
      <c r="I252" t="s">
        <v>636</v>
      </c>
      <c r="J252" t="s">
        <v>637</v>
      </c>
      <c r="K252" t="s">
        <v>638</v>
      </c>
      <c r="L252">
        <v>1339</v>
      </c>
      <c r="N252">
        <v>1007</v>
      </c>
      <c r="O252" t="s">
        <v>128</v>
      </c>
      <c r="P252" t="s">
        <v>128</v>
      </c>
      <c r="Q252">
        <v>1</v>
      </c>
      <c r="X252">
        <v>2.2000000000000002</v>
      </c>
      <c r="Y252">
        <v>510.4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6</v>
      </c>
      <c r="AG252">
        <v>2.2000000000000002</v>
      </c>
      <c r="AH252">
        <v>2</v>
      </c>
      <c r="AI252">
        <v>16784557</v>
      </c>
      <c r="AJ252">
        <v>244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ROW(Source!A94)</f>
        <v>94</v>
      </c>
      <c r="B253">
        <v>16785095</v>
      </c>
      <c r="C253">
        <v>16785082</v>
      </c>
      <c r="D253">
        <v>15435099</v>
      </c>
      <c r="E253">
        <v>1</v>
      </c>
      <c r="F253">
        <v>1</v>
      </c>
      <c r="G253">
        <v>1</v>
      </c>
      <c r="H253">
        <v>1</v>
      </c>
      <c r="I253" t="s">
        <v>639</v>
      </c>
      <c r="J253" t="s">
        <v>6</v>
      </c>
      <c r="K253" t="s">
        <v>640</v>
      </c>
      <c r="L253">
        <v>1191</v>
      </c>
      <c r="N253">
        <v>1013</v>
      </c>
      <c r="O253" t="s">
        <v>495</v>
      </c>
      <c r="P253" t="s">
        <v>495</v>
      </c>
      <c r="Q253">
        <v>1</v>
      </c>
      <c r="X253">
        <v>29.6</v>
      </c>
      <c r="Y253">
        <v>0</v>
      </c>
      <c r="Z253">
        <v>0</v>
      </c>
      <c r="AA253">
        <v>0</v>
      </c>
      <c r="AB253">
        <v>8.64</v>
      </c>
      <c r="AC253">
        <v>0</v>
      </c>
      <c r="AD253">
        <v>1</v>
      </c>
      <c r="AE253">
        <v>1</v>
      </c>
      <c r="AF253" t="s">
        <v>6</v>
      </c>
      <c r="AG253">
        <v>29.6</v>
      </c>
      <c r="AH253">
        <v>2</v>
      </c>
      <c r="AI253">
        <v>16785083</v>
      </c>
      <c r="AJ253">
        <v>245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ROW(Source!A94)</f>
        <v>94</v>
      </c>
      <c r="B254">
        <v>16785096</v>
      </c>
      <c r="C254">
        <v>16785082</v>
      </c>
      <c r="D254">
        <v>15430395</v>
      </c>
      <c r="E254">
        <v>1</v>
      </c>
      <c r="F254">
        <v>1</v>
      </c>
      <c r="G254">
        <v>1</v>
      </c>
      <c r="H254">
        <v>1</v>
      </c>
      <c r="I254" t="s">
        <v>496</v>
      </c>
      <c r="J254" t="s">
        <v>6</v>
      </c>
      <c r="K254" t="s">
        <v>497</v>
      </c>
      <c r="L254">
        <v>1191</v>
      </c>
      <c r="N254">
        <v>1013</v>
      </c>
      <c r="O254" t="s">
        <v>495</v>
      </c>
      <c r="P254" t="s">
        <v>495</v>
      </c>
      <c r="Q254">
        <v>1</v>
      </c>
      <c r="X254">
        <v>0.16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2</v>
      </c>
      <c r="AF254" t="s">
        <v>6</v>
      </c>
      <c r="AG254">
        <v>0.16</v>
      </c>
      <c r="AH254">
        <v>2</v>
      </c>
      <c r="AI254">
        <v>16785084</v>
      </c>
      <c r="AJ254">
        <v>246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ROW(Source!A94)</f>
        <v>94</v>
      </c>
      <c r="B255">
        <v>16785097</v>
      </c>
      <c r="C255">
        <v>16785082</v>
      </c>
      <c r="D255">
        <v>15247974</v>
      </c>
      <c r="E255">
        <v>1</v>
      </c>
      <c r="F255">
        <v>1</v>
      </c>
      <c r="G255">
        <v>1</v>
      </c>
      <c r="H255">
        <v>2</v>
      </c>
      <c r="I255" t="s">
        <v>498</v>
      </c>
      <c r="J255" t="s">
        <v>499</v>
      </c>
      <c r="K255" t="s">
        <v>500</v>
      </c>
      <c r="L255">
        <v>1368</v>
      </c>
      <c r="N255">
        <v>1011</v>
      </c>
      <c r="O255" t="s">
        <v>501</v>
      </c>
      <c r="P255" t="s">
        <v>501</v>
      </c>
      <c r="Q255">
        <v>1</v>
      </c>
      <c r="X255">
        <v>0.1</v>
      </c>
      <c r="Y255">
        <v>0</v>
      </c>
      <c r="Z255">
        <v>31.26</v>
      </c>
      <c r="AA255">
        <v>13.5</v>
      </c>
      <c r="AB255">
        <v>0</v>
      </c>
      <c r="AC255">
        <v>0</v>
      </c>
      <c r="AD255">
        <v>1</v>
      </c>
      <c r="AE255">
        <v>0</v>
      </c>
      <c r="AF255" t="s">
        <v>6</v>
      </c>
      <c r="AG255">
        <v>0.1</v>
      </c>
      <c r="AH255">
        <v>2</v>
      </c>
      <c r="AI255">
        <v>16785085</v>
      </c>
      <c r="AJ255">
        <v>247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ROW(Source!A94)</f>
        <v>94</v>
      </c>
      <c r="B256">
        <v>16785098</v>
      </c>
      <c r="C256">
        <v>16785082</v>
      </c>
      <c r="D256">
        <v>15249073</v>
      </c>
      <c r="E256">
        <v>1</v>
      </c>
      <c r="F256">
        <v>1</v>
      </c>
      <c r="G256">
        <v>1</v>
      </c>
      <c r="H256">
        <v>2</v>
      </c>
      <c r="I256" t="s">
        <v>504</v>
      </c>
      <c r="J256" t="s">
        <v>505</v>
      </c>
      <c r="K256" t="s">
        <v>506</v>
      </c>
      <c r="L256">
        <v>1368</v>
      </c>
      <c r="N256">
        <v>1011</v>
      </c>
      <c r="O256" t="s">
        <v>501</v>
      </c>
      <c r="P256" t="s">
        <v>501</v>
      </c>
      <c r="Q256">
        <v>1</v>
      </c>
      <c r="X256">
        <v>0.06</v>
      </c>
      <c r="Y256">
        <v>0</v>
      </c>
      <c r="Z256">
        <v>65.709999999999994</v>
      </c>
      <c r="AA256">
        <v>11.6</v>
      </c>
      <c r="AB256">
        <v>0</v>
      </c>
      <c r="AC256">
        <v>0</v>
      </c>
      <c r="AD256">
        <v>1</v>
      </c>
      <c r="AE256">
        <v>0</v>
      </c>
      <c r="AF256" t="s">
        <v>6</v>
      </c>
      <c r="AG256">
        <v>0.06</v>
      </c>
      <c r="AH256">
        <v>2</v>
      </c>
      <c r="AI256">
        <v>16785086</v>
      </c>
      <c r="AJ256">
        <v>248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ROW(Source!A94)</f>
        <v>94</v>
      </c>
      <c r="B257">
        <v>16785099</v>
      </c>
      <c r="C257">
        <v>16785082</v>
      </c>
      <c r="D257">
        <v>15167286</v>
      </c>
      <c r="E257">
        <v>1</v>
      </c>
      <c r="F257">
        <v>1</v>
      </c>
      <c r="G257">
        <v>1</v>
      </c>
      <c r="H257">
        <v>3</v>
      </c>
      <c r="I257" t="s">
        <v>597</v>
      </c>
      <c r="J257" t="s">
        <v>598</v>
      </c>
      <c r="K257" t="s">
        <v>599</v>
      </c>
      <c r="L257">
        <v>1339</v>
      </c>
      <c r="N257">
        <v>1007</v>
      </c>
      <c r="O257" t="s">
        <v>128</v>
      </c>
      <c r="P257" t="s">
        <v>128</v>
      </c>
      <c r="Q257">
        <v>1</v>
      </c>
      <c r="X257">
        <v>0.24</v>
      </c>
      <c r="Y257">
        <v>2.44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0.24</v>
      </c>
      <c r="AH257">
        <v>2</v>
      </c>
      <c r="AI257">
        <v>16785087</v>
      </c>
      <c r="AJ257">
        <v>249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ROW(Source!A94)</f>
        <v>94</v>
      </c>
      <c r="B258">
        <v>16785100</v>
      </c>
      <c r="C258">
        <v>16785082</v>
      </c>
      <c r="D258">
        <v>15167766</v>
      </c>
      <c r="E258">
        <v>1</v>
      </c>
      <c r="F258">
        <v>1</v>
      </c>
      <c r="G258">
        <v>1</v>
      </c>
      <c r="H258">
        <v>3</v>
      </c>
      <c r="I258" t="s">
        <v>641</v>
      </c>
      <c r="J258" t="s">
        <v>642</v>
      </c>
      <c r="K258" t="s">
        <v>643</v>
      </c>
      <c r="L258">
        <v>1354</v>
      </c>
      <c r="N258">
        <v>1010</v>
      </c>
      <c r="O258" t="s">
        <v>277</v>
      </c>
      <c r="P258" t="s">
        <v>277</v>
      </c>
      <c r="Q258">
        <v>1</v>
      </c>
      <c r="X258">
        <v>5.0999999999999996</v>
      </c>
      <c r="Y258">
        <v>4.5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5.0999999999999996</v>
      </c>
      <c r="AH258">
        <v>2</v>
      </c>
      <c r="AI258">
        <v>16785088</v>
      </c>
      <c r="AJ258">
        <v>250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ROW(Source!A94)</f>
        <v>94</v>
      </c>
      <c r="B259">
        <v>16785101</v>
      </c>
      <c r="C259">
        <v>16785082</v>
      </c>
      <c r="D259">
        <v>15168015</v>
      </c>
      <c r="E259">
        <v>1</v>
      </c>
      <c r="F259">
        <v>1</v>
      </c>
      <c r="G259">
        <v>1</v>
      </c>
      <c r="H259">
        <v>3</v>
      </c>
      <c r="I259" t="s">
        <v>644</v>
      </c>
      <c r="J259" t="s">
        <v>645</v>
      </c>
      <c r="K259" t="s">
        <v>646</v>
      </c>
      <c r="L259">
        <v>1348</v>
      </c>
      <c r="N259">
        <v>1009</v>
      </c>
      <c r="O259" t="s">
        <v>65</v>
      </c>
      <c r="P259" t="s">
        <v>65</v>
      </c>
      <c r="Q259">
        <v>1000</v>
      </c>
      <c r="X259">
        <v>2.5499999999999998E-2</v>
      </c>
      <c r="Y259">
        <v>586.47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6</v>
      </c>
      <c r="AG259">
        <v>2.5499999999999998E-2</v>
      </c>
      <c r="AH259">
        <v>2</v>
      </c>
      <c r="AI259">
        <v>16785089</v>
      </c>
      <c r="AJ259">
        <v>251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ROW(Source!A94)</f>
        <v>94</v>
      </c>
      <c r="B260">
        <v>16785102</v>
      </c>
      <c r="C260">
        <v>16785082</v>
      </c>
      <c r="D260">
        <v>15170682</v>
      </c>
      <c r="E260">
        <v>1</v>
      </c>
      <c r="F260">
        <v>1</v>
      </c>
      <c r="G260">
        <v>1</v>
      </c>
      <c r="H260">
        <v>3</v>
      </c>
      <c r="I260" t="s">
        <v>647</v>
      </c>
      <c r="J260" t="s">
        <v>648</v>
      </c>
      <c r="K260" t="s">
        <v>649</v>
      </c>
      <c r="L260">
        <v>1327</v>
      </c>
      <c r="N260">
        <v>1005</v>
      </c>
      <c r="O260" t="s">
        <v>35</v>
      </c>
      <c r="P260" t="s">
        <v>35</v>
      </c>
      <c r="Q260">
        <v>1</v>
      </c>
      <c r="X260">
        <v>1.6</v>
      </c>
      <c r="Y260">
        <v>72.319999999999993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1.6</v>
      </c>
      <c r="AH260">
        <v>2</v>
      </c>
      <c r="AI260">
        <v>16785090</v>
      </c>
      <c r="AJ260">
        <v>252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ROW(Source!A94)</f>
        <v>94</v>
      </c>
      <c r="B261">
        <v>16785103</v>
      </c>
      <c r="C261">
        <v>16785082</v>
      </c>
      <c r="D261">
        <v>15171907</v>
      </c>
      <c r="E261">
        <v>1</v>
      </c>
      <c r="F261">
        <v>1</v>
      </c>
      <c r="G261">
        <v>1</v>
      </c>
      <c r="H261">
        <v>3</v>
      </c>
      <c r="I261" t="s">
        <v>650</v>
      </c>
      <c r="J261" t="s">
        <v>651</v>
      </c>
      <c r="K261" t="s">
        <v>652</v>
      </c>
      <c r="L261">
        <v>1339</v>
      </c>
      <c r="N261">
        <v>1007</v>
      </c>
      <c r="O261" t="s">
        <v>128</v>
      </c>
      <c r="P261" t="s">
        <v>128</v>
      </c>
      <c r="Q261">
        <v>1</v>
      </c>
      <c r="X261">
        <v>4.4000000000000003E-3</v>
      </c>
      <c r="Y261">
        <v>74.58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6</v>
      </c>
      <c r="AG261">
        <v>4.4000000000000003E-3</v>
      </c>
      <c r="AH261">
        <v>2</v>
      </c>
      <c r="AI261">
        <v>16785091</v>
      </c>
      <c r="AJ261">
        <v>253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ROW(Source!A94)</f>
        <v>94</v>
      </c>
      <c r="B262">
        <v>16785104</v>
      </c>
      <c r="C262">
        <v>16785082</v>
      </c>
      <c r="D262">
        <v>15202490</v>
      </c>
      <c r="E262">
        <v>1</v>
      </c>
      <c r="F262">
        <v>1</v>
      </c>
      <c r="G262">
        <v>1</v>
      </c>
      <c r="H262">
        <v>3</v>
      </c>
      <c r="I262" t="s">
        <v>653</v>
      </c>
      <c r="J262" t="s">
        <v>654</v>
      </c>
      <c r="K262" t="s">
        <v>655</v>
      </c>
      <c r="L262">
        <v>1346</v>
      </c>
      <c r="N262">
        <v>1009</v>
      </c>
      <c r="O262" t="s">
        <v>60</v>
      </c>
      <c r="P262" t="s">
        <v>60</v>
      </c>
      <c r="Q262">
        <v>1</v>
      </c>
      <c r="X262">
        <v>4.0199999999999996</v>
      </c>
      <c r="Y262">
        <v>8.09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4.0199999999999996</v>
      </c>
      <c r="AH262">
        <v>2</v>
      </c>
      <c r="AI262">
        <v>16785092</v>
      </c>
      <c r="AJ262">
        <v>254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ROW(Source!A94)</f>
        <v>94</v>
      </c>
      <c r="B263">
        <v>16785105</v>
      </c>
      <c r="C263">
        <v>16785082</v>
      </c>
      <c r="D263">
        <v>15163054</v>
      </c>
      <c r="E263">
        <v>17</v>
      </c>
      <c r="F263">
        <v>1</v>
      </c>
      <c r="G263">
        <v>1</v>
      </c>
      <c r="H263">
        <v>3</v>
      </c>
      <c r="I263" t="s">
        <v>793</v>
      </c>
      <c r="J263" t="s">
        <v>6</v>
      </c>
      <c r="K263" t="s">
        <v>794</v>
      </c>
      <c r="L263">
        <v>1348</v>
      </c>
      <c r="N263">
        <v>1009</v>
      </c>
      <c r="O263" t="s">
        <v>65</v>
      </c>
      <c r="P263" t="s">
        <v>65</v>
      </c>
      <c r="Q263">
        <v>1000</v>
      </c>
      <c r="X263">
        <v>7.0999999999999994E-2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 t="s">
        <v>6</v>
      </c>
      <c r="AG263">
        <v>7.0999999999999994E-2</v>
      </c>
      <c r="AH263">
        <v>3</v>
      </c>
      <c r="AI263">
        <v>-1</v>
      </c>
      <c r="AJ263" t="s">
        <v>6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ROW(Source!A94)</f>
        <v>94</v>
      </c>
      <c r="B264">
        <v>16785106</v>
      </c>
      <c r="C264">
        <v>16785082</v>
      </c>
      <c r="D264">
        <v>15204729</v>
      </c>
      <c r="E264">
        <v>1</v>
      </c>
      <c r="F264">
        <v>1</v>
      </c>
      <c r="G264">
        <v>1</v>
      </c>
      <c r="H264">
        <v>3</v>
      </c>
      <c r="I264" t="s">
        <v>656</v>
      </c>
      <c r="J264" t="s">
        <v>657</v>
      </c>
      <c r="K264" t="s">
        <v>658</v>
      </c>
      <c r="L264">
        <v>1348</v>
      </c>
      <c r="N264">
        <v>1009</v>
      </c>
      <c r="O264" t="s">
        <v>65</v>
      </c>
      <c r="P264" t="s">
        <v>65</v>
      </c>
      <c r="Q264">
        <v>1000</v>
      </c>
      <c r="X264">
        <v>7.1999999999999995E-2</v>
      </c>
      <c r="Y264">
        <v>4294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7.1999999999999995E-2</v>
      </c>
      <c r="AH264">
        <v>2</v>
      </c>
      <c r="AI264">
        <v>16785094</v>
      </c>
      <c r="AJ264">
        <v>256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ROW(Source!A95)</f>
        <v>95</v>
      </c>
      <c r="B265">
        <v>16785095</v>
      </c>
      <c r="C265">
        <v>16785082</v>
      </c>
      <c r="D265">
        <v>15435099</v>
      </c>
      <c r="E265">
        <v>1</v>
      </c>
      <c r="F265">
        <v>1</v>
      </c>
      <c r="G265">
        <v>1</v>
      </c>
      <c r="H265">
        <v>1</v>
      </c>
      <c r="I265" t="s">
        <v>639</v>
      </c>
      <c r="J265" t="s">
        <v>6</v>
      </c>
      <c r="K265" t="s">
        <v>640</v>
      </c>
      <c r="L265">
        <v>1191</v>
      </c>
      <c r="N265">
        <v>1013</v>
      </c>
      <c r="O265" t="s">
        <v>495</v>
      </c>
      <c r="P265" t="s">
        <v>495</v>
      </c>
      <c r="Q265">
        <v>1</v>
      </c>
      <c r="X265">
        <v>29.6</v>
      </c>
      <c r="Y265">
        <v>0</v>
      </c>
      <c r="Z265">
        <v>0</v>
      </c>
      <c r="AA265">
        <v>0</v>
      </c>
      <c r="AB265">
        <v>8.64</v>
      </c>
      <c r="AC265">
        <v>0</v>
      </c>
      <c r="AD265">
        <v>1</v>
      </c>
      <c r="AE265">
        <v>1</v>
      </c>
      <c r="AF265" t="s">
        <v>6</v>
      </c>
      <c r="AG265">
        <v>29.6</v>
      </c>
      <c r="AH265">
        <v>2</v>
      </c>
      <c r="AI265">
        <v>16785083</v>
      </c>
      <c r="AJ265">
        <v>257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ROW(Source!A95)</f>
        <v>95</v>
      </c>
      <c r="B266">
        <v>16785096</v>
      </c>
      <c r="C266">
        <v>16785082</v>
      </c>
      <c r="D266">
        <v>15430395</v>
      </c>
      <c r="E266">
        <v>1</v>
      </c>
      <c r="F266">
        <v>1</v>
      </c>
      <c r="G266">
        <v>1</v>
      </c>
      <c r="H266">
        <v>1</v>
      </c>
      <c r="I266" t="s">
        <v>496</v>
      </c>
      <c r="J266" t="s">
        <v>6</v>
      </c>
      <c r="K266" t="s">
        <v>497</v>
      </c>
      <c r="L266">
        <v>1191</v>
      </c>
      <c r="N266">
        <v>1013</v>
      </c>
      <c r="O266" t="s">
        <v>495</v>
      </c>
      <c r="P266" t="s">
        <v>495</v>
      </c>
      <c r="Q266">
        <v>1</v>
      </c>
      <c r="X266">
        <v>0.16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2</v>
      </c>
      <c r="AF266" t="s">
        <v>6</v>
      </c>
      <c r="AG266">
        <v>0.16</v>
      </c>
      <c r="AH266">
        <v>2</v>
      </c>
      <c r="AI266">
        <v>16785084</v>
      </c>
      <c r="AJ266">
        <v>258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ROW(Source!A95)</f>
        <v>95</v>
      </c>
      <c r="B267">
        <v>16785097</v>
      </c>
      <c r="C267">
        <v>16785082</v>
      </c>
      <c r="D267">
        <v>15247974</v>
      </c>
      <c r="E267">
        <v>1</v>
      </c>
      <c r="F267">
        <v>1</v>
      </c>
      <c r="G267">
        <v>1</v>
      </c>
      <c r="H267">
        <v>2</v>
      </c>
      <c r="I267" t="s">
        <v>498</v>
      </c>
      <c r="J267" t="s">
        <v>499</v>
      </c>
      <c r="K267" t="s">
        <v>500</v>
      </c>
      <c r="L267">
        <v>1368</v>
      </c>
      <c r="N267">
        <v>1011</v>
      </c>
      <c r="O267" t="s">
        <v>501</v>
      </c>
      <c r="P267" t="s">
        <v>501</v>
      </c>
      <c r="Q267">
        <v>1</v>
      </c>
      <c r="X267">
        <v>0.1</v>
      </c>
      <c r="Y267">
        <v>0</v>
      </c>
      <c r="Z267">
        <v>31.26</v>
      </c>
      <c r="AA267">
        <v>13.5</v>
      </c>
      <c r="AB267">
        <v>0</v>
      </c>
      <c r="AC267">
        <v>0</v>
      </c>
      <c r="AD267">
        <v>1</v>
      </c>
      <c r="AE267">
        <v>0</v>
      </c>
      <c r="AF267" t="s">
        <v>6</v>
      </c>
      <c r="AG267">
        <v>0.1</v>
      </c>
      <c r="AH267">
        <v>2</v>
      </c>
      <c r="AI267">
        <v>16785085</v>
      </c>
      <c r="AJ267">
        <v>259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ROW(Source!A95)</f>
        <v>95</v>
      </c>
      <c r="B268">
        <v>16785098</v>
      </c>
      <c r="C268">
        <v>16785082</v>
      </c>
      <c r="D268">
        <v>15249073</v>
      </c>
      <c r="E268">
        <v>1</v>
      </c>
      <c r="F268">
        <v>1</v>
      </c>
      <c r="G268">
        <v>1</v>
      </c>
      <c r="H268">
        <v>2</v>
      </c>
      <c r="I268" t="s">
        <v>504</v>
      </c>
      <c r="J268" t="s">
        <v>505</v>
      </c>
      <c r="K268" t="s">
        <v>506</v>
      </c>
      <c r="L268">
        <v>1368</v>
      </c>
      <c r="N268">
        <v>1011</v>
      </c>
      <c r="O268" t="s">
        <v>501</v>
      </c>
      <c r="P268" t="s">
        <v>501</v>
      </c>
      <c r="Q268">
        <v>1</v>
      </c>
      <c r="X268">
        <v>0.06</v>
      </c>
      <c r="Y268">
        <v>0</v>
      </c>
      <c r="Z268">
        <v>65.709999999999994</v>
      </c>
      <c r="AA268">
        <v>11.6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0.06</v>
      </c>
      <c r="AH268">
        <v>2</v>
      </c>
      <c r="AI268">
        <v>16785086</v>
      </c>
      <c r="AJ268">
        <v>260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ROW(Source!A95)</f>
        <v>95</v>
      </c>
      <c r="B269">
        <v>16785099</v>
      </c>
      <c r="C269">
        <v>16785082</v>
      </c>
      <c r="D269">
        <v>15167286</v>
      </c>
      <c r="E269">
        <v>1</v>
      </c>
      <c r="F269">
        <v>1</v>
      </c>
      <c r="G269">
        <v>1</v>
      </c>
      <c r="H269">
        <v>3</v>
      </c>
      <c r="I269" t="s">
        <v>597</v>
      </c>
      <c r="J269" t="s">
        <v>598</v>
      </c>
      <c r="K269" t="s">
        <v>599</v>
      </c>
      <c r="L269">
        <v>1339</v>
      </c>
      <c r="N269">
        <v>1007</v>
      </c>
      <c r="O269" t="s">
        <v>128</v>
      </c>
      <c r="P269" t="s">
        <v>128</v>
      </c>
      <c r="Q269">
        <v>1</v>
      </c>
      <c r="X269">
        <v>0.24</v>
      </c>
      <c r="Y269">
        <v>2.44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6</v>
      </c>
      <c r="AG269">
        <v>0.24</v>
      </c>
      <c r="AH269">
        <v>2</v>
      </c>
      <c r="AI269">
        <v>16785087</v>
      </c>
      <c r="AJ269">
        <v>261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ROW(Source!A95)</f>
        <v>95</v>
      </c>
      <c r="B270">
        <v>16785100</v>
      </c>
      <c r="C270">
        <v>16785082</v>
      </c>
      <c r="D270">
        <v>15167766</v>
      </c>
      <c r="E270">
        <v>1</v>
      </c>
      <c r="F270">
        <v>1</v>
      </c>
      <c r="G270">
        <v>1</v>
      </c>
      <c r="H270">
        <v>3</v>
      </c>
      <c r="I270" t="s">
        <v>641</v>
      </c>
      <c r="J270" t="s">
        <v>642</v>
      </c>
      <c r="K270" t="s">
        <v>643</v>
      </c>
      <c r="L270">
        <v>1354</v>
      </c>
      <c r="N270">
        <v>1010</v>
      </c>
      <c r="O270" t="s">
        <v>277</v>
      </c>
      <c r="P270" t="s">
        <v>277</v>
      </c>
      <c r="Q270">
        <v>1</v>
      </c>
      <c r="X270">
        <v>5.0999999999999996</v>
      </c>
      <c r="Y270">
        <v>4.5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6</v>
      </c>
      <c r="AG270">
        <v>5.0999999999999996</v>
      </c>
      <c r="AH270">
        <v>2</v>
      </c>
      <c r="AI270">
        <v>16785088</v>
      </c>
      <c r="AJ270">
        <v>262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ROW(Source!A95)</f>
        <v>95</v>
      </c>
      <c r="B271">
        <v>16785101</v>
      </c>
      <c r="C271">
        <v>16785082</v>
      </c>
      <c r="D271">
        <v>15168015</v>
      </c>
      <c r="E271">
        <v>1</v>
      </c>
      <c r="F271">
        <v>1</v>
      </c>
      <c r="G271">
        <v>1</v>
      </c>
      <c r="H271">
        <v>3</v>
      </c>
      <c r="I271" t="s">
        <v>644</v>
      </c>
      <c r="J271" t="s">
        <v>645</v>
      </c>
      <c r="K271" t="s">
        <v>646</v>
      </c>
      <c r="L271">
        <v>1348</v>
      </c>
      <c r="N271">
        <v>1009</v>
      </c>
      <c r="O271" t="s">
        <v>65</v>
      </c>
      <c r="P271" t="s">
        <v>65</v>
      </c>
      <c r="Q271">
        <v>1000</v>
      </c>
      <c r="X271">
        <v>2.5499999999999998E-2</v>
      </c>
      <c r="Y271">
        <v>586.47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6</v>
      </c>
      <c r="AG271">
        <v>2.5499999999999998E-2</v>
      </c>
      <c r="AH271">
        <v>2</v>
      </c>
      <c r="AI271">
        <v>16785089</v>
      </c>
      <c r="AJ271">
        <v>263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ROW(Source!A95)</f>
        <v>95</v>
      </c>
      <c r="B272">
        <v>16785102</v>
      </c>
      <c r="C272">
        <v>16785082</v>
      </c>
      <c r="D272">
        <v>15170682</v>
      </c>
      <c r="E272">
        <v>1</v>
      </c>
      <c r="F272">
        <v>1</v>
      </c>
      <c r="G272">
        <v>1</v>
      </c>
      <c r="H272">
        <v>3</v>
      </c>
      <c r="I272" t="s">
        <v>647</v>
      </c>
      <c r="J272" t="s">
        <v>648</v>
      </c>
      <c r="K272" t="s">
        <v>649</v>
      </c>
      <c r="L272">
        <v>1327</v>
      </c>
      <c r="N272">
        <v>1005</v>
      </c>
      <c r="O272" t="s">
        <v>35</v>
      </c>
      <c r="P272" t="s">
        <v>35</v>
      </c>
      <c r="Q272">
        <v>1</v>
      </c>
      <c r="X272">
        <v>1.6</v>
      </c>
      <c r="Y272">
        <v>72.319999999999993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1.6</v>
      </c>
      <c r="AH272">
        <v>2</v>
      </c>
      <c r="AI272">
        <v>16785090</v>
      </c>
      <c r="AJ272">
        <v>264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ROW(Source!A95)</f>
        <v>95</v>
      </c>
      <c r="B273">
        <v>16785103</v>
      </c>
      <c r="C273">
        <v>16785082</v>
      </c>
      <c r="D273">
        <v>15171907</v>
      </c>
      <c r="E273">
        <v>1</v>
      </c>
      <c r="F273">
        <v>1</v>
      </c>
      <c r="G273">
        <v>1</v>
      </c>
      <c r="H273">
        <v>3</v>
      </c>
      <c r="I273" t="s">
        <v>650</v>
      </c>
      <c r="J273" t="s">
        <v>651</v>
      </c>
      <c r="K273" t="s">
        <v>652</v>
      </c>
      <c r="L273">
        <v>1339</v>
      </c>
      <c r="N273">
        <v>1007</v>
      </c>
      <c r="O273" t="s">
        <v>128</v>
      </c>
      <c r="P273" t="s">
        <v>128</v>
      </c>
      <c r="Q273">
        <v>1</v>
      </c>
      <c r="X273">
        <v>4.4000000000000003E-3</v>
      </c>
      <c r="Y273">
        <v>74.58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6</v>
      </c>
      <c r="AG273">
        <v>4.4000000000000003E-3</v>
      </c>
      <c r="AH273">
        <v>2</v>
      </c>
      <c r="AI273">
        <v>16785091</v>
      </c>
      <c r="AJ273">
        <v>265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ROW(Source!A95)</f>
        <v>95</v>
      </c>
      <c r="B274">
        <v>16785104</v>
      </c>
      <c r="C274">
        <v>16785082</v>
      </c>
      <c r="D274">
        <v>15202490</v>
      </c>
      <c r="E274">
        <v>1</v>
      </c>
      <c r="F274">
        <v>1</v>
      </c>
      <c r="G274">
        <v>1</v>
      </c>
      <c r="H274">
        <v>3</v>
      </c>
      <c r="I274" t="s">
        <v>653</v>
      </c>
      <c r="J274" t="s">
        <v>654</v>
      </c>
      <c r="K274" t="s">
        <v>655</v>
      </c>
      <c r="L274">
        <v>1346</v>
      </c>
      <c r="N274">
        <v>1009</v>
      </c>
      <c r="O274" t="s">
        <v>60</v>
      </c>
      <c r="P274" t="s">
        <v>60</v>
      </c>
      <c r="Q274">
        <v>1</v>
      </c>
      <c r="X274">
        <v>4.0199999999999996</v>
      </c>
      <c r="Y274">
        <v>8.09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0</v>
      </c>
      <c r="AF274" t="s">
        <v>6</v>
      </c>
      <c r="AG274">
        <v>4.0199999999999996</v>
      </c>
      <c r="AH274">
        <v>2</v>
      </c>
      <c r="AI274">
        <v>16785092</v>
      </c>
      <c r="AJ274">
        <v>266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ROW(Source!A95)</f>
        <v>95</v>
      </c>
      <c r="B275">
        <v>16785105</v>
      </c>
      <c r="C275">
        <v>16785082</v>
      </c>
      <c r="D275">
        <v>15163054</v>
      </c>
      <c r="E275">
        <v>17</v>
      </c>
      <c r="F275">
        <v>1</v>
      </c>
      <c r="G275">
        <v>1</v>
      </c>
      <c r="H275">
        <v>3</v>
      </c>
      <c r="I275" t="s">
        <v>793</v>
      </c>
      <c r="J275" t="s">
        <v>6</v>
      </c>
      <c r="K275" t="s">
        <v>794</v>
      </c>
      <c r="L275">
        <v>1348</v>
      </c>
      <c r="N275">
        <v>1009</v>
      </c>
      <c r="O275" t="s">
        <v>65</v>
      </c>
      <c r="P275" t="s">
        <v>65</v>
      </c>
      <c r="Q275">
        <v>1000</v>
      </c>
      <c r="X275">
        <v>7.0999999999999994E-2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 t="s">
        <v>6</v>
      </c>
      <c r="AG275">
        <v>7.0999999999999994E-2</v>
      </c>
      <c r="AH275">
        <v>3</v>
      </c>
      <c r="AI275">
        <v>-1</v>
      </c>
      <c r="AJ275" t="s">
        <v>6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ROW(Source!A95)</f>
        <v>95</v>
      </c>
      <c r="B276">
        <v>16785106</v>
      </c>
      <c r="C276">
        <v>16785082</v>
      </c>
      <c r="D276">
        <v>15204729</v>
      </c>
      <c r="E276">
        <v>1</v>
      </c>
      <c r="F276">
        <v>1</v>
      </c>
      <c r="G276">
        <v>1</v>
      </c>
      <c r="H276">
        <v>3</v>
      </c>
      <c r="I276" t="s">
        <v>656</v>
      </c>
      <c r="J276" t="s">
        <v>657</v>
      </c>
      <c r="K276" t="s">
        <v>658</v>
      </c>
      <c r="L276">
        <v>1348</v>
      </c>
      <c r="N276">
        <v>1009</v>
      </c>
      <c r="O276" t="s">
        <v>65</v>
      </c>
      <c r="P276" t="s">
        <v>65</v>
      </c>
      <c r="Q276">
        <v>1000</v>
      </c>
      <c r="X276">
        <v>7.1999999999999995E-2</v>
      </c>
      <c r="Y276">
        <v>4294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7.1999999999999995E-2</v>
      </c>
      <c r="AH276">
        <v>2</v>
      </c>
      <c r="AI276">
        <v>16785094</v>
      </c>
      <c r="AJ276">
        <v>268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ROW(Source!A98)</f>
        <v>98</v>
      </c>
      <c r="B277">
        <v>16784571</v>
      </c>
      <c r="C277">
        <v>16784564</v>
      </c>
      <c r="D277">
        <v>15436014</v>
      </c>
      <c r="E277">
        <v>1</v>
      </c>
      <c r="F277">
        <v>1</v>
      </c>
      <c r="G277">
        <v>1</v>
      </c>
      <c r="H277">
        <v>1</v>
      </c>
      <c r="I277" t="s">
        <v>502</v>
      </c>
      <c r="J277" t="s">
        <v>6</v>
      </c>
      <c r="K277" t="s">
        <v>503</v>
      </c>
      <c r="L277">
        <v>1191</v>
      </c>
      <c r="N277">
        <v>1013</v>
      </c>
      <c r="O277" t="s">
        <v>495</v>
      </c>
      <c r="P277" t="s">
        <v>495</v>
      </c>
      <c r="Q277">
        <v>1</v>
      </c>
      <c r="X277">
        <v>65.94</v>
      </c>
      <c r="Y277">
        <v>0</v>
      </c>
      <c r="Z277">
        <v>0</v>
      </c>
      <c r="AA277">
        <v>0</v>
      </c>
      <c r="AB277">
        <v>8.74</v>
      </c>
      <c r="AC277">
        <v>0</v>
      </c>
      <c r="AD277">
        <v>1</v>
      </c>
      <c r="AE277">
        <v>1</v>
      </c>
      <c r="AF277" t="s">
        <v>6</v>
      </c>
      <c r="AG277">
        <v>65.94</v>
      </c>
      <c r="AH277">
        <v>2</v>
      </c>
      <c r="AI277">
        <v>16784565</v>
      </c>
      <c r="AJ277">
        <v>269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ROW(Source!A98)</f>
        <v>98</v>
      </c>
      <c r="B278">
        <v>16784572</v>
      </c>
      <c r="C278">
        <v>16784564</v>
      </c>
      <c r="D278">
        <v>15430395</v>
      </c>
      <c r="E278">
        <v>1</v>
      </c>
      <c r="F278">
        <v>1</v>
      </c>
      <c r="G278">
        <v>1</v>
      </c>
      <c r="H278">
        <v>1</v>
      </c>
      <c r="I278" t="s">
        <v>496</v>
      </c>
      <c r="J278" t="s">
        <v>6</v>
      </c>
      <c r="K278" t="s">
        <v>497</v>
      </c>
      <c r="L278">
        <v>1191</v>
      </c>
      <c r="N278">
        <v>1013</v>
      </c>
      <c r="O278" t="s">
        <v>495</v>
      </c>
      <c r="P278" t="s">
        <v>495</v>
      </c>
      <c r="Q278">
        <v>1</v>
      </c>
      <c r="X278">
        <v>0.01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2</v>
      </c>
      <c r="AF278" t="s">
        <v>6</v>
      </c>
      <c r="AG278">
        <v>0.01</v>
      </c>
      <c r="AH278">
        <v>2</v>
      </c>
      <c r="AI278">
        <v>16784566</v>
      </c>
      <c r="AJ278">
        <v>270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ROW(Source!A98)</f>
        <v>98</v>
      </c>
      <c r="B279">
        <v>16784573</v>
      </c>
      <c r="C279">
        <v>16784564</v>
      </c>
      <c r="D279">
        <v>15249073</v>
      </c>
      <c r="E279">
        <v>1</v>
      </c>
      <c r="F279">
        <v>1</v>
      </c>
      <c r="G279">
        <v>1</v>
      </c>
      <c r="H279">
        <v>2</v>
      </c>
      <c r="I279" t="s">
        <v>504</v>
      </c>
      <c r="J279" t="s">
        <v>505</v>
      </c>
      <c r="K279" t="s">
        <v>506</v>
      </c>
      <c r="L279">
        <v>1368</v>
      </c>
      <c r="N279">
        <v>1011</v>
      </c>
      <c r="O279" t="s">
        <v>501</v>
      </c>
      <c r="P279" t="s">
        <v>501</v>
      </c>
      <c r="Q279">
        <v>1</v>
      </c>
      <c r="X279">
        <v>0.01</v>
      </c>
      <c r="Y279">
        <v>0</v>
      </c>
      <c r="Z279">
        <v>65.709999999999994</v>
      </c>
      <c r="AA279">
        <v>11.6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0.01</v>
      </c>
      <c r="AH279">
        <v>2</v>
      </c>
      <c r="AI279">
        <v>16784567</v>
      </c>
      <c r="AJ279">
        <v>271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ROW(Source!A98)</f>
        <v>98</v>
      </c>
      <c r="B280">
        <v>16784574</v>
      </c>
      <c r="C280">
        <v>16784564</v>
      </c>
      <c r="D280">
        <v>15171018</v>
      </c>
      <c r="E280">
        <v>1</v>
      </c>
      <c r="F280">
        <v>1</v>
      </c>
      <c r="G280">
        <v>1</v>
      </c>
      <c r="H280">
        <v>3</v>
      </c>
      <c r="I280" t="s">
        <v>531</v>
      </c>
      <c r="J280" t="s">
        <v>532</v>
      </c>
      <c r="K280" t="s">
        <v>533</v>
      </c>
      <c r="L280">
        <v>1346</v>
      </c>
      <c r="N280">
        <v>1009</v>
      </c>
      <c r="O280" t="s">
        <v>60</v>
      </c>
      <c r="P280" t="s">
        <v>60</v>
      </c>
      <c r="Q280">
        <v>1</v>
      </c>
      <c r="X280">
        <v>0.1</v>
      </c>
      <c r="Y280">
        <v>1.82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6</v>
      </c>
      <c r="AG280">
        <v>0.1</v>
      </c>
      <c r="AH280">
        <v>2</v>
      </c>
      <c r="AI280">
        <v>16784568</v>
      </c>
      <c r="AJ280">
        <v>272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ROW(Source!A98)</f>
        <v>98</v>
      </c>
      <c r="B281">
        <v>16784575</v>
      </c>
      <c r="C281">
        <v>16784564</v>
      </c>
      <c r="D281">
        <v>15163068</v>
      </c>
      <c r="E281">
        <v>17</v>
      </c>
      <c r="F281">
        <v>1</v>
      </c>
      <c r="G281">
        <v>1</v>
      </c>
      <c r="H281">
        <v>3</v>
      </c>
      <c r="I281" t="s">
        <v>795</v>
      </c>
      <c r="J281" t="s">
        <v>6</v>
      </c>
      <c r="K281" t="s">
        <v>796</v>
      </c>
      <c r="L281">
        <v>1348</v>
      </c>
      <c r="N281">
        <v>1009</v>
      </c>
      <c r="O281" t="s">
        <v>65</v>
      </c>
      <c r="P281" t="s">
        <v>65</v>
      </c>
      <c r="Q281">
        <v>1000</v>
      </c>
      <c r="X281">
        <v>1.61E-2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 t="s">
        <v>6</v>
      </c>
      <c r="AG281">
        <v>1.61E-2</v>
      </c>
      <c r="AH281">
        <v>3</v>
      </c>
      <c r="AI281">
        <v>-1</v>
      </c>
      <c r="AJ281" t="s">
        <v>6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ROW(Source!A98)</f>
        <v>98</v>
      </c>
      <c r="B282">
        <v>16784576</v>
      </c>
      <c r="C282">
        <v>16784564</v>
      </c>
      <c r="D282">
        <v>15204468</v>
      </c>
      <c r="E282">
        <v>1</v>
      </c>
      <c r="F282">
        <v>1</v>
      </c>
      <c r="G282">
        <v>1</v>
      </c>
      <c r="H282">
        <v>3</v>
      </c>
      <c r="I282" t="s">
        <v>659</v>
      </c>
      <c r="J282" t="s">
        <v>660</v>
      </c>
      <c r="K282" t="s">
        <v>661</v>
      </c>
      <c r="L282">
        <v>1348</v>
      </c>
      <c r="N282">
        <v>1009</v>
      </c>
      <c r="O282" t="s">
        <v>65</v>
      </c>
      <c r="P282" t="s">
        <v>65</v>
      </c>
      <c r="Q282">
        <v>1000</v>
      </c>
      <c r="X282">
        <v>8.9999999999999993E-3</v>
      </c>
      <c r="Y282">
        <v>16950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6</v>
      </c>
      <c r="AG282">
        <v>8.9999999999999993E-3</v>
      </c>
      <c r="AH282">
        <v>2</v>
      </c>
      <c r="AI282">
        <v>16784569</v>
      </c>
      <c r="AJ282">
        <v>274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ROW(Source!A99)</f>
        <v>99</v>
      </c>
      <c r="B283">
        <v>16784571</v>
      </c>
      <c r="C283">
        <v>16784564</v>
      </c>
      <c r="D283">
        <v>15436014</v>
      </c>
      <c r="E283">
        <v>1</v>
      </c>
      <c r="F283">
        <v>1</v>
      </c>
      <c r="G283">
        <v>1</v>
      </c>
      <c r="H283">
        <v>1</v>
      </c>
      <c r="I283" t="s">
        <v>502</v>
      </c>
      <c r="J283" t="s">
        <v>6</v>
      </c>
      <c r="K283" t="s">
        <v>503</v>
      </c>
      <c r="L283">
        <v>1191</v>
      </c>
      <c r="N283">
        <v>1013</v>
      </c>
      <c r="O283" t="s">
        <v>495</v>
      </c>
      <c r="P283" t="s">
        <v>495</v>
      </c>
      <c r="Q283">
        <v>1</v>
      </c>
      <c r="X283">
        <v>65.94</v>
      </c>
      <c r="Y283">
        <v>0</v>
      </c>
      <c r="Z283">
        <v>0</v>
      </c>
      <c r="AA283">
        <v>0</v>
      </c>
      <c r="AB283">
        <v>8.74</v>
      </c>
      <c r="AC283">
        <v>0</v>
      </c>
      <c r="AD283">
        <v>1</v>
      </c>
      <c r="AE283">
        <v>1</v>
      </c>
      <c r="AF283" t="s">
        <v>6</v>
      </c>
      <c r="AG283">
        <v>65.94</v>
      </c>
      <c r="AH283">
        <v>2</v>
      </c>
      <c r="AI283">
        <v>16784565</v>
      </c>
      <c r="AJ283">
        <v>275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ROW(Source!A99)</f>
        <v>99</v>
      </c>
      <c r="B284">
        <v>16784572</v>
      </c>
      <c r="C284">
        <v>16784564</v>
      </c>
      <c r="D284">
        <v>15430395</v>
      </c>
      <c r="E284">
        <v>1</v>
      </c>
      <c r="F284">
        <v>1</v>
      </c>
      <c r="G284">
        <v>1</v>
      </c>
      <c r="H284">
        <v>1</v>
      </c>
      <c r="I284" t="s">
        <v>496</v>
      </c>
      <c r="J284" t="s">
        <v>6</v>
      </c>
      <c r="K284" t="s">
        <v>497</v>
      </c>
      <c r="L284">
        <v>1191</v>
      </c>
      <c r="N284">
        <v>1013</v>
      </c>
      <c r="O284" t="s">
        <v>495</v>
      </c>
      <c r="P284" t="s">
        <v>495</v>
      </c>
      <c r="Q284">
        <v>1</v>
      </c>
      <c r="X284">
        <v>0.01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2</v>
      </c>
      <c r="AF284" t="s">
        <v>6</v>
      </c>
      <c r="AG284">
        <v>0.01</v>
      </c>
      <c r="AH284">
        <v>2</v>
      </c>
      <c r="AI284">
        <v>16784566</v>
      </c>
      <c r="AJ284">
        <v>276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ROW(Source!A99)</f>
        <v>99</v>
      </c>
      <c r="B285">
        <v>16784573</v>
      </c>
      <c r="C285">
        <v>16784564</v>
      </c>
      <c r="D285">
        <v>15249073</v>
      </c>
      <c r="E285">
        <v>1</v>
      </c>
      <c r="F285">
        <v>1</v>
      </c>
      <c r="G285">
        <v>1</v>
      </c>
      <c r="H285">
        <v>2</v>
      </c>
      <c r="I285" t="s">
        <v>504</v>
      </c>
      <c r="J285" t="s">
        <v>505</v>
      </c>
      <c r="K285" t="s">
        <v>506</v>
      </c>
      <c r="L285">
        <v>1368</v>
      </c>
      <c r="N285">
        <v>1011</v>
      </c>
      <c r="O285" t="s">
        <v>501</v>
      </c>
      <c r="P285" t="s">
        <v>501</v>
      </c>
      <c r="Q285">
        <v>1</v>
      </c>
      <c r="X285">
        <v>0.01</v>
      </c>
      <c r="Y285">
        <v>0</v>
      </c>
      <c r="Z285">
        <v>65.709999999999994</v>
      </c>
      <c r="AA285">
        <v>11.6</v>
      </c>
      <c r="AB285">
        <v>0</v>
      </c>
      <c r="AC285">
        <v>0</v>
      </c>
      <c r="AD285">
        <v>1</v>
      </c>
      <c r="AE285">
        <v>0</v>
      </c>
      <c r="AF285" t="s">
        <v>6</v>
      </c>
      <c r="AG285">
        <v>0.01</v>
      </c>
      <c r="AH285">
        <v>2</v>
      </c>
      <c r="AI285">
        <v>16784567</v>
      </c>
      <c r="AJ285">
        <v>277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ROW(Source!A99)</f>
        <v>99</v>
      </c>
      <c r="B286">
        <v>16784574</v>
      </c>
      <c r="C286">
        <v>16784564</v>
      </c>
      <c r="D286">
        <v>15171018</v>
      </c>
      <c r="E286">
        <v>1</v>
      </c>
      <c r="F286">
        <v>1</v>
      </c>
      <c r="G286">
        <v>1</v>
      </c>
      <c r="H286">
        <v>3</v>
      </c>
      <c r="I286" t="s">
        <v>531</v>
      </c>
      <c r="J286" t="s">
        <v>532</v>
      </c>
      <c r="K286" t="s">
        <v>533</v>
      </c>
      <c r="L286">
        <v>1346</v>
      </c>
      <c r="N286">
        <v>1009</v>
      </c>
      <c r="O286" t="s">
        <v>60</v>
      </c>
      <c r="P286" t="s">
        <v>60</v>
      </c>
      <c r="Q286">
        <v>1</v>
      </c>
      <c r="X286">
        <v>0.1</v>
      </c>
      <c r="Y286">
        <v>1.82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0.1</v>
      </c>
      <c r="AH286">
        <v>2</v>
      </c>
      <c r="AI286">
        <v>16784568</v>
      </c>
      <c r="AJ286">
        <v>278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ROW(Source!A99)</f>
        <v>99</v>
      </c>
      <c r="B287">
        <v>16784575</v>
      </c>
      <c r="C287">
        <v>16784564</v>
      </c>
      <c r="D287">
        <v>15163068</v>
      </c>
      <c r="E287">
        <v>17</v>
      </c>
      <c r="F287">
        <v>1</v>
      </c>
      <c r="G287">
        <v>1</v>
      </c>
      <c r="H287">
        <v>3</v>
      </c>
      <c r="I287" t="s">
        <v>795</v>
      </c>
      <c r="J287" t="s">
        <v>6</v>
      </c>
      <c r="K287" t="s">
        <v>796</v>
      </c>
      <c r="L287">
        <v>1348</v>
      </c>
      <c r="N287">
        <v>1009</v>
      </c>
      <c r="O287" t="s">
        <v>65</v>
      </c>
      <c r="P287" t="s">
        <v>65</v>
      </c>
      <c r="Q287">
        <v>1000</v>
      </c>
      <c r="X287">
        <v>1.61E-2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 t="s">
        <v>6</v>
      </c>
      <c r="AG287">
        <v>1.61E-2</v>
      </c>
      <c r="AH287">
        <v>3</v>
      </c>
      <c r="AI287">
        <v>-1</v>
      </c>
      <c r="AJ287" t="s">
        <v>6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ROW(Source!A99)</f>
        <v>99</v>
      </c>
      <c r="B288">
        <v>16784576</v>
      </c>
      <c r="C288">
        <v>16784564</v>
      </c>
      <c r="D288">
        <v>15204468</v>
      </c>
      <c r="E288">
        <v>1</v>
      </c>
      <c r="F288">
        <v>1</v>
      </c>
      <c r="G288">
        <v>1</v>
      </c>
      <c r="H288">
        <v>3</v>
      </c>
      <c r="I288" t="s">
        <v>659</v>
      </c>
      <c r="J288" t="s">
        <v>660</v>
      </c>
      <c r="K288" t="s">
        <v>661</v>
      </c>
      <c r="L288">
        <v>1348</v>
      </c>
      <c r="N288">
        <v>1009</v>
      </c>
      <c r="O288" t="s">
        <v>65</v>
      </c>
      <c r="P288" t="s">
        <v>65</v>
      </c>
      <c r="Q288">
        <v>1000</v>
      </c>
      <c r="X288">
        <v>8.9999999999999993E-3</v>
      </c>
      <c r="Y288">
        <v>16950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8.9999999999999993E-3</v>
      </c>
      <c r="AH288">
        <v>2</v>
      </c>
      <c r="AI288">
        <v>16784569</v>
      </c>
      <c r="AJ288">
        <v>280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ROW(Source!A102)</f>
        <v>102</v>
      </c>
      <c r="B289">
        <v>16785063</v>
      </c>
      <c r="C289">
        <v>16785062</v>
      </c>
      <c r="D289">
        <v>15430767</v>
      </c>
      <c r="E289">
        <v>1</v>
      </c>
      <c r="F289">
        <v>1</v>
      </c>
      <c r="G289">
        <v>1</v>
      </c>
      <c r="H289">
        <v>1</v>
      </c>
      <c r="I289" t="s">
        <v>527</v>
      </c>
      <c r="J289" t="s">
        <v>6</v>
      </c>
      <c r="K289" t="s">
        <v>528</v>
      </c>
      <c r="L289">
        <v>1191</v>
      </c>
      <c r="N289">
        <v>1013</v>
      </c>
      <c r="O289" t="s">
        <v>495</v>
      </c>
      <c r="P289" t="s">
        <v>495</v>
      </c>
      <c r="Q289">
        <v>1</v>
      </c>
      <c r="X289">
        <v>34.56</v>
      </c>
      <c r="Y289">
        <v>0</v>
      </c>
      <c r="Z289">
        <v>0</v>
      </c>
      <c r="AA289">
        <v>0</v>
      </c>
      <c r="AB289">
        <v>8.5299999999999994</v>
      </c>
      <c r="AC289">
        <v>0</v>
      </c>
      <c r="AD289">
        <v>1</v>
      </c>
      <c r="AE289">
        <v>1</v>
      </c>
      <c r="AF289" t="s">
        <v>211</v>
      </c>
      <c r="AG289">
        <v>27.648000000000003</v>
      </c>
      <c r="AH289">
        <v>2</v>
      </c>
      <c r="AI289">
        <v>16785063</v>
      </c>
      <c r="AJ289">
        <v>281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ROW(Source!A102)</f>
        <v>102</v>
      </c>
      <c r="B290">
        <v>16785064</v>
      </c>
      <c r="C290">
        <v>16785062</v>
      </c>
      <c r="D290">
        <v>15193110</v>
      </c>
      <c r="E290">
        <v>1</v>
      </c>
      <c r="F290">
        <v>1</v>
      </c>
      <c r="G290">
        <v>1</v>
      </c>
      <c r="H290">
        <v>3</v>
      </c>
      <c r="I290" t="s">
        <v>662</v>
      </c>
      <c r="J290" t="s">
        <v>663</v>
      </c>
      <c r="K290" t="s">
        <v>664</v>
      </c>
      <c r="L290">
        <v>1327</v>
      </c>
      <c r="N290">
        <v>1005</v>
      </c>
      <c r="O290" t="s">
        <v>35</v>
      </c>
      <c r="P290" t="s">
        <v>35</v>
      </c>
      <c r="Q290">
        <v>1</v>
      </c>
      <c r="X290">
        <v>100</v>
      </c>
      <c r="Y290">
        <v>701.31</v>
      </c>
      <c r="Z290">
        <v>0</v>
      </c>
      <c r="AA290">
        <v>0</v>
      </c>
      <c r="AB290">
        <v>0</v>
      </c>
      <c r="AC290">
        <v>0</v>
      </c>
      <c r="AD290">
        <v>1</v>
      </c>
      <c r="AE290">
        <v>0</v>
      </c>
      <c r="AF290" t="s">
        <v>81</v>
      </c>
      <c r="AG290">
        <v>0</v>
      </c>
      <c r="AH290">
        <v>2</v>
      </c>
      <c r="AI290">
        <v>16785064</v>
      </c>
      <c r="AJ290">
        <v>282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ROW(Source!A103)</f>
        <v>103</v>
      </c>
      <c r="B291">
        <v>16785063</v>
      </c>
      <c r="C291">
        <v>16785062</v>
      </c>
      <c r="D291">
        <v>15430767</v>
      </c>
      <c r="E291">
        <v>1</v>
      </c>
      <c r="F291">
        <v>1</v>
      </c>
      <c r="G291">
        <v>1</v>
      </c>
      <c r="H291">
        <v>1</v>
      </c>
      <c r="I291" t="s">
        <v>527</v>
      </c>
      <c r="J291" t="s">
        <v>6</v>
      </c>
      <c r="K291" t="s">
        <v>528</v>
      </c>
      <c r="L291">
        <v>1191</v>
      </c>
      <c r="N291">
        <v>1013</v>
      </c>
      <c r="O291" t="s">
        <v>495</v>
      </c>
      <c r="P291" t="s">
        <v>495</v>
      </c>
      <c r="Q291">
        <v>1</v>
      </c>
      <c r="X291">
        <v>34.56</v>
      </c>
      <c r="Y291">
        <v>0</v>
      </c>
      <c r="Z291">
        <v>0</v>
      </c>
      <c r="AA291">
        <v>0</v>
      </c>
      <c r="AB291">
        <v>8.5299999999999994</v>
      </c>
      <c r="AC291">
        <v>0</v>
      </c>
      <c r="AD291">
        <v>1</v>
      </c>
      <c r="AE291">
        <v>1</v>
      </c>
      <c r="AF291" t="s">
        <v>211</v>
      </c>
      <c r="AG291">
        <v>27.648000000000003</v>
      </c>
      <c r="AH291">
        <v>2</v>
      </c>
      <c r="AI291">
        <v>16785063</v>
      </c>
      <c r="AJ291">
        <v>283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ROW(Source!A103)</f>
        <v>103</v>
      </c>
      <c r="B292">
        <v>16785064</v>
      </c>
      <c r="C292">
        <v>16785062</v>
      </c>
      <c r="D292">
        <v>15193110</v>
      </c>
      <c r="E292">
        <v>1</v>
      </c>
      <c r="F292">
        <v>1</v>
      </c>
      <c r="G292">
        <v>1</v>
      </c>
      <c r="H292">
        <v>3</v>
      </c>
      <c r="I292" t="s">
        <v>662</v>
      </c>
      <c r="J292" t="s">
        <v>663</v>
      </c>
      <c r="K292" t="s">
        <v>664</v>
      </c>
      <c r="L292">
        <v>1327</v>
      </c>
      <c r="N292">
        <v>1005</v>
      </c>
      <c r="O292" t="s">
        <v>35</v>
      </c>
      <c r="P292" t="s">
        <v>35</v>
      </c>
      <c r="Q292">
        <v>1</v>
      </c>
      <c r="X292">
        <v>100</v>
      </c>
      <c r="Y292">
        <v>701.31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81</v>
      </c>
      <c r="AG292">
        <v>0</v>
      </c>
      <c r="AH292">
        <v>2</v>
      </c>
      <c r="AI292">
        <v>16785064</v>
      </c>
      <c r="AJ292">
        <v>284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ROW(Source!A104)</f>
        <v>104</v>
      </c>
      <c r="B293">
        <v>16784593</v>
      </c>
      <c r="C293">
        <v>16784588</v>
      </c>
      <c r="D293">
        <v>15430767</v>
      </c>
      <c r="E293">
        <v>1</v>
      </c>
      <c r="F293">
        <v>1</v>
      </c>
      <c r="G293">
        <v>1</v>
      </c>
      <c r="H293">
        <v>1</v>
      </c>
      <c r="I293" t="s">
        <v>527</v>
      </c>
      <c r="J293" t="s">
        <v>6</v>
      </c>
      <c r="K293" t="s">
        <v>528</v>
      </c>
      <c r="L293">
        <v>1191</v>
      </c>
      <c r="N293">
        <v>1013</v>
      </c>
      <c r="O293" t="s">
        <v>495</v>
      </c>
      <c r="P293" t="s">
        <v>495</v>
      </c>
      <c r="Q293">
        <v>1</v>
      </c>
      <c r="X293">
        <v>34.56</v>
      </c>
      <c r="Y293">
        <v>0</v>
      </c>
      <c r="Z293">
        <v>0</v>
      </c>
      <c r="AA293">
        <v>0</v>
      </c>
      <c r="AB293">
        <v>8.5299999999999994</v>
      </c>
      <c r="AC293">
        <v>0</v>
      </c>
      <c r="AD293">
        <v>1</v>
      </c>
      <c r="AE293">
        <v>1</v>
      </c>
      <c r="AF293" t="s">
        <v>28</v>
      </c>
      <c r="AG293">
        <v>39.744</v>
      </c>
      <c r="AH293">
        <v>2</v>
      </c>
      <c r="AI293">
        <v>16784589</v>
      </c>
      <c r="AJ293">
        <v>285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ROW(Source!A104)</f>
        <v>104</v>
      </c>
      <c r="B294">
        <v>16784594</v>
      </c>
      <c r="C294">
        <v>16784588</v>
      </c>
      <c r="D294">
        <v>15193110</v>
      </c>
      <c r="E294">
        <v>1</v>
      </c>
      <c r="F294">
        <v>1</v>
      </c>
      <c r="G294">
        <v>1</v>
      </c>
      <c r="H294">
        <v>3</v>
      </c>
      <c r="I294" t="s">
        <v>662</v>
      </c>
      <c r="J294" t="s">
        <v>663</v>
      </c>
      <c r="K294" t="s">
        <v>664</v>
      </c>
      <c r="L294">
        <v>1327</v>
      </c>
      <c r="N294">
        <v>1005</v>
      </c>
      <c r="O294" t="s">
        <v>35</v>
      </c>
      <c r="P294" t="s">
        <v>35</v>
      </c>
      <c r="Q294">
        <v>1</v>
      </c>
      <c r="X294">
        <v>100</v>
      </c>
      <c r="Y294">
        <v>701.31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6</v>
      </c>
      <c r="AG294">
        <v>100</v>
      </c>
      <c r="AH294">
        <v>2</v>
      </c>
      <c r="AI294">
        <v>16784590</v>
      </c>
      <c r="AJ294">
        <v>287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ROW(Source!A105)</f>
        <v>105</v>
      </c>
      <c r="B295">
        <v>16784593</v>
      </c>
      <c r="C295">
        <v>16784588</v>
      </c>
      <c r="D295">
        <v>15430767</v>
      </c>
      <c r="E295">
        <v>1</v>
      </c>
      <c r="F295">
        <v>1</v>
      </c>
      <c r="G295">
        <v>1</v>
      </c>
      <c r="H295">
        <v>1</v>
      </c>
      <c r="I295" t="s">
        <v>527</v>
      </c>
      <c r="J295" t="s">
        <v>6</v>
      </c>
      <c r="K295" t="s">
        <v>528</v>
      </c>
      <c r="L295">
        <v>1191</v>
      </c>
      <c r="N295">
        <v>1013</v>
      </c>
      <c r="O295" t="s">
        <v>495</v>
      </c>
      <c r="P295" t="s">
        <v>495</v>
      </c>
      <c r="Q295">
        <v>1</v>
      </c>
      <c r="X295">
        <v>34.56</v>
      </c>
      <c r="Y295">
        <v>0</v>
      </c>
      <c r="Z295">
        <v>0</v>
      </c>
      <c r="AA295">
        <v>0</v>
      </c>
      <c r="AB295">
        <v>8.5299999999999994</v>
      </c>
      <c r="AC295">
        <v>0</v>
      </c>
      <c r="AD295">
        <v>1</v>
      </c>
      <c r="AE295">
        <v>1</v>
      </c>
      <c r="AF295" t="s">
        <v>28</v>
      </c>
      <c r="AG295">
        <v>39.744</v>
      </c>
      <c r="AH295">
        <v>2</v>
      </c>
      <c r="AI295">
        <v>16784589</v>
      </c>
      <c r="AJ295">
        <v>289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ROW(Source!A105)</f>
        <v>105</v>
      </c>
      <c r="B296">
        <v>16784594</v>
      </c>
      <c r="C296">
        <v>16784588</v>
      </c>
      <c r="D296">
        <v>15193110</v>
      </c>
      <c r="E296">
        <v>1</v>
      </c>
      <c r="F296">
        <v>1</v>
      </c>
      <c r="G296">
        <v>1</v>
      </c>
      <c r="H296">
        <v>3</v>
      </c>
      <c r="I296" t="s">
        <v>662</v>
      </c>
      <c r="J296" t="s">
        <v>663</v>
      </c>
      <c r="K296" t="s">
        <v>664</v>
      </c>
      <c r="L296">
        <v>1327</v>
      </c>
      <c r="N296">
        <v>1005</v>
      </c>
      <c r="O296" t="s">
        <v>35</v>
      </c>
      <c r="P296" t="s">
        <v>35</v>
      </c>
      <c r="Q296">
        <v>1</v>
      </c>
      <c r="X296">
        <v>100</v>
      </c>
      <c r="Y296">
        <v>701.31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100</v>
      </c>
      <c r="AH296">
        <v>2</v>
      </c>
      <c r="AI296">
        <v>16784590</v>
      </c>
      <c r="AJ296">
        <v>291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ROW(Source!A110)</f>
        <v>110</v>
      </c>
      <c r="B297">
        <v>16784604</v>
      </c>
      <c r="C297">
        <v>16784597</v>
      </c>
      <c r="D297">
        <v>15436556</v>
      </c>
      <c r="E297">
        <v>1</v>
      </c>
      <c r="F297">
        <v>1</v>
      </c>
      <c r="G297">
        <v>1</v>
      </c>
      <c r="H297">
        <v>1</v>
      </c>
      <c r="I297" t="s">
        <v>621</v>
      </c>
      <c r="J297" t="s">
        <v>6</v>
      </c>
      <c r="K297" t="s">
        <v>622</v>
      </c>
      <c r="L297">
        <v>1191</v>
      </c>
      <c r="N297">
        <v>1013</v>
      </c>
      <c r="O297" t="s">
        <v>495</v>
      </c>
      <c r="P297" t="s">
        <v>495</v>
      </c>
      <c r="Q297">
        <v>1</v>
      </c>
      <c r="X297">
        <v>26.4</v>
      </c>
      <c r="Y297">
        <v>0</v>
      </c>
      <c r="Z297">
        <v>0</v>
      </c>
      <c r="AA297">
        <v>0</v>
      </c>
      <c r="AB297">
        <v>9.6199999999999992</v>
      </c>
      <c r="AC297">
        <v>0</v>
      </c>
      <c r="AD297">
        <v>1</v>
      </c>
      <c r="AE297">
        <v>1</v>
      </c>
      <c r="AF297" t="s">
        <v>6</v>
      </c>
      <c r="AG297">
        <v>26.4</v>
      </c>
      <c r="AH297">
        <v>2</v>
      </c>
      <c r="AI297">
        <v>16784598</v>
      </c>
      <c r="AJ297">
        <v>293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ROW(Source!A110)</f>
        <v>110</v>
      </c>
      <c r="B298">
        <v>16784605</v>
      </c>
      <c r="C298">
        <v>16784597</v>
      </c>
      <c r="D298">
        <v>15430395</v>
      </c>
      <c r="E298">
        <v>1</v>
      </c>
      <c r="F298">
        <v>1</v>
      </c>
      <c r="G298">
        <v>1</v>
      </c>
      <c r="H298">
        <v>1</v>
      </c>
      <c r="I298" t="s">
        <v>496</v>
      </c>
      <c r="J298" t="s">
        <v>6</v>
      </c>
      <c r="K298" t="s">
        <v>497</v>
      </c>
      <c r="L298">
        <v>1191</v>
      </c>
      <c r="N298">
        <v>1013</v>
      </c>
      <c r="O298" t="s">
        <v>495</v>
      </c>
      <c r="P298" t="s">
        <v>495</v>
      </c>
      <c r="Q298">
        <v>1</v>
      </c>
      <c r="X298">
        <v>26.5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6</v>
      </c>
      <c r="AG298">
        <v>26.5</v>
      </c>
      <c r="AH298">
        <v>2</v>
      </c>
      <c r="AI298">
        <v>16784599</v>
      </c>
      <c r="AJ298">
        <v>294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ROW(Source!A110)</f>
        <v>110</v>
      </c>
      <c r="B299">
        <v>16784606</v>
      </c>
      <c r="C299">
        <v>16784597</v>
      </c>
      <c r="D299">
        <v>15249073</v>
      </c>
      <c r="E299">
        <v>1</v>
      </c>
      <c r="F299">
        <v>1</v>
      </c>
      <c r="G299">
        <v>1</v>
      </c>
      <c r="H299">
        <v>2</v>
      </c>
      <c r="I299" t="s">
        <v>504</v>
      </c>
      <c r="J299" t="s">
        <v>505</v>
      </c>
      <c r="K299" t="s">
        <v>506</v>
      </c>
      <c r="L299">
        <v>1368</v>
      </c>
      <c r="N299">
        <v>1011</v>
      </c>
      <c r="O299" t="s">
        <v>501</v>
      </c>
      <c r="P299" t="s">
        <v>501</v>
      </c>
      <c r="Q299">
        <v>1</v>
      </c>
      <c r="X299">
        <v>1.8</v>
      </c>
      <c r="Y299">
        <v>0</v>
      </c>
      <c r="Z299">
        <v>65.709999999999994</v>
      </c>
      <c r="AA299">
        <v>11.6</v>
      </c>
      <c r="AB299">
        <v>0</v>
      </c>
      <c r="AC299">
        <v>0</v>
      </c>
      <c r="AD299">
        <v>1</v>
      </c>
      <c r="AE299">
        <v>0</v>
      </c>
      <c r="AF299" t="s">
        <v>6</v>
      </c>
      <c r="AG299">
        <v>1.8</v>
      </c>
      <c r="AH299">
        <v>2</v>
      </c>
      <c r="AI299">
        <v>16784600</v>
      </c>
      <c r="AJ299">
        <v>295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ROW(Source!A110)</f>
        <v>110</v>
      </c>
      <c r="B300">
        <v>16784607</v>
      </c>
      <c r="C300">
        <v>16784597</v>
      </c>
      <c r="D300">
        <v>15250124</v>
      </c>
      <c r="E300">
        <v>1</v>
      </c>
      <c r="F300">
        <v>1</v>
      </c>
      <c r="G300">
        <v>1</v>
      </c>
      <c r="H300">
        <v>2</v>
      </c>
      <c r="I300" t="s">
        <v>665</v>
      </c>
      <c r="J300" t="s">
        <v>666</v>
      </c>
      <c r="K300" t="s">
        <v>667</v>
      </c>
      <c r="L300">
        <v>1368</v>
      </c>
      <c r="N300">
        <v>1011</v>
      </c>
      <c r="O300" t="s">
        <v>501</v>
      </c>
      <c r="P300" t="s">
        <v>501</v>
      </c>
      <c r="Q300">
        <v>1</v>
      </c>
      <c r="X300">
        <v>24.7</v>
      </c>
      <c r="Y300">
        <v>0</v>
      </c>
      <c r="Z300">
        <v>34.549999999999997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6</v>
      </c>
      <c r="AG300">
        <v>24.7</v>
      </c>
      <c r="AH300">
        <v>2</v>
      </c>
      <c r="AI300">
        <v>16784601</v>
      </c>
      <c r="AJ300">
        <v>296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ROW(Source!A110)</f>
        <v>110</v>
      </c>
      <c r="B301">
        <v>16784608</v>
      </c>
      <c r="C301">
        <v>16784597</v>
      </c>
      <c r="D301">
        <v>15167286</v>
      </c>
      <c r="E301">
        <v>1</v>
      </c>
      <c r="F301">
        <v>1</v>
      </c>
      <c r="G301">
        <v>1</v>
      </c>
      <c r="H301">
        <v>3</v>
      </c>
      <c r="I301" t="s">
        <v>597</v>
      </c>
      <c r="J301" t="s">
        <v>598</v>
      </c>
      <c r="K301" t="s">
        <v>599</v>
      </c>
      <c r="L301">
        <v>1339</v>
      </c>
      <c r="N301">
        <v>1007</v>
      </c>
      <c r="O301" t="s">
        <v>128</v>
      </c>
      <c r="P301" t="s">
        <v>128</v>
      </c>
      <c r="Q301">
        <v>1</v>
      </c>
      <c r="X301">
        <v>4.6900000000000004</v>
      </c>
      <c r="Y301">
        <v>2.44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4.6900000000000004</v>
      </c>
      <c r="AH301">
        <v>2</v>
      </c>
      <c r="AI301">
        <v>16784602</v>
      </c>
      <c r="AJ301">
        <v>297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ROW(Source!A110)</f>
        <v>110</v>
      </c>
      <c r="B302">
        <v>16784609</v>
      </c>
      <c r="C302">
        <v>16784597</v>
      </c>
      <c r="D302">
        <v>15170666</v>
      </c>
      <c r="E302">
        <v>1</v>
      </c>
      <c r="F302">
        <v>1</v>
      </c>
      <c r="G302">
        <v>1</v>
      </c>
      <c r="H302">
        <v>3</v>
      </c>
      <c r="I302" t="s">
        <v>668</v>
      </c>
      <c r="J302" t="s">
        <v>669</v>
      </c>
      <c r="K302" t="s">
        <v>670</v>
      </c>
      <c r="L302">
        <v>1354</v>
      </c>
      <c r="N302">
        <v>1010</v>
      </c>
      <c r="O302" t="s">
        <v>277</v>
      </c>
      <c r="P302" t="s">
        <v>277</v>
      </c>
      <c r="Q302">
        <v>1</v>
      </c>
      <c r="X302">
        <v>2.02</v>
      </c>
      <c r="Y302">
        <v>3046.2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2.02</v>
      </c>
      <c r="AH302">
        <v>2</v>
      </c>
      <c r="AI302">
        <v>16784603</v>
      </c>
      <c r="AJ302">
        <v>298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ROW(Source!A111)</f>
        <v>111</v>
      </c>
      <c r="B303">
        <v>16784604</v>
      </c>
      <c r="C303">
        <v>16784597</v>
      </c>
      <c r="D303">
        <v>15436556</v>
      </c>
      <c r="E303">
        <v>1</v>
      </c>
      <c r="F303">
        <v>1</v>
      </c>
      <c r="G303">
        <v>1</v>
      </c>
      <c r="H303">
        <v>1</v>
      </c>
      <c r="I303" t="s">
        <v>621</v>
      </c>
      <c r="J303" t="s">
        <v>6</v>
      </c>
      <c r="K303" t="s">
        <v>622</v>
      </c>
      <c r="L303">
        <v>1191</v>
      </c>
      <c r="N303">
        <v>1013</v>
      </c>
      <c r="O303" t="s">
        <v>495</v>
      </c>
      <c r="P303" t="s">
        <v>495</v>
      </c>
      <c r="Q303">
        <v>1</v>
      </c>
      <c r="X303">
        <v>26.4</v>
      </c>
      <c r="Y303">
        <v>0</v>
      </c>
      <c r="Z303">
        <v>0</v>
      </c>
      <c r="AA303">
        <v>0</v>
      </c>
      <c r="AB303">
        <v>9.6199999999999992</v>
      </c>
      <c r="AC303">
        <v>0</v>
      </c>
      <c r="AD303">
        <v>1</v>
      </c>
      <c r="AE303">
        <v>1</v>
      </c>
      <c r="AF303" t="s">
        <v>6</v>
      </c>
      <c r="AG303">
        <v>26.4</v>
      </c>
      <c r="AH303">
        <v>2</v>
      </c>
      <c r="AI303">
        <v>16784598</v>
      </c>
      <c r="AJ303">
        <v>299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ROW(Source!A111)</f>
        <v>111</v>
      </c>
      <c r="B304">
        <v>16784605</v>
      </c>
      <c r="C304">
        <v>16784597</v>
      </c>
      <c r="D304">
        <v>15430395</v>
      </c>
      <c r="E304">
        <v>1</v>
      </c>
      <c r="F304">
        <v>1</v>
      </c>
      <c r="G304">
        <v>1</v>
      </c>
      <c r="H304">
        <v>1</v>
      </c>
      <c r="I304" t="s">
        <v>496</v>
      </c>
      <c r="J304" t="s">
        <v>6</v>
      </c>
      <c r="K304" t="s">
        <v>497</v>
      </c>
      <c r="L304">
        <v>1191</v>
      </c>
      <c r="N304">
        <v>1013</v>
      </c>
      <c r="O304" t="s">
        <v>495</v>
      </c>
      <c r="P304" t="s">
        <v>495</v>
      </c>
      <c r="Q304">
        <v>1</v>
      </c>
      <c r="X304">
        <v>26.5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2</v>
      </c>
      <c r="AF304" t="s">
        <v>6</v>
      </c>
      <c r="AG304">
        <v>26.5</v>
      </c>
      <c r="AH304">
        <v>2</v>
      </c>
      <c r="AI304">
        <v>16784599</v>
      </c>
      <c r="AJ304">
        <v>300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ROW(Source!A111)</f>
        <v>111</v>
      </c>
      <c r="B305">
        <v>16784606</v>
      </c>
      <c r="C305">
        <v>16784597</v>
      </c>
      <c r="D305">
        <v>15249073</v>
      </c>
      <c r="E305">
        <v>1</v>
      </c>
      <c r="F305">
        <v>1</v>
      </c>
      <c r="G305">
        <v>1</v>
      </c>
      <c r="H305">
        <v>2</v>
      </c>
      <c r="I305" t="s">
        <v>504</v>
      </c>
      <c r="J305" t="s">
        <v>505</v>
      </c>
      <c r="K305" t="s">
        <v>506</v>
      </c>
      <c r="L305">
        <v>1368</v>
      </c>
      <c r="N305">
        <v>1011</v>
      </c>
      <c r="O305" t="s">
        <v>501</v>
      </c>
      <c r="P305" t="s">
        <v>501</v>
      </c>
      <c r="Q305">
        <v>1</v>
      </c>
      <c r="X305">
        <v>1.8</v>
      </c>
      <c r="Y305">
        <v>0</v>
      </c>
      <c r="Z305">
        <v>65.709999999999994</v>
      </c>
      <c r="AA305">
        <v>11.6</v>
      </c>
      <c r="AB305">
        <v>0</v>
      </c>
      <c r="AC305">
        <v>0</v>
      </c>
      <c r="AD305">
        <v>1</v>
      </c>
      <c r="AE305">
        <v>0</v>
      </c>
      <c r="AF305" t="s">
        <v>6</v>
      </c>
      <c r="AG305">
        <v>1.8</v>
      </c>
      <c r="AH305">
        <v>2</v>
      </c>
      <c r="AI305">
        <v>16784600</v>
      </c>
      <c r="AJ305">
        <v>301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ROW(Source!A111)</f>
        <v>111</v>
      </c>
      <c r="B306">
        <v>16784607</v>
      </c>
      <c r="C306">
        <v>16784597</v>
      </c>
      <c r="D306">
        <v>15250124</v>
      </c>
      <c r="E306">
        <v>1</v>
      </c>
      <c r="F306">
        <v>1</v>
      </c>
      <c r="G306">
        <v>1</v>
      </c>
      <c r="H306">
        <v>2</v>
      </c>
      <c r="I306" t="s">
        <v>665</v>
      </c>
      <c r="J306" t="s">
        <v>666</v>
      </c>
      <c r="K306" t="s">
        <v>667</v>
      </c>
      <c r="L306">
        <v>1368</v>
      </c>
      <c r="N306">
        <v>1011</v>
      </c>
      <c r="O306" t="s">
        <v>501</v>
      </c>
      <c r="P306" t="s">
        <v>501</v>
      </c>
      <c r="Q306">
        <v>1</v>
      </c>
      <c r="X306">
        <v>24.7</v>
      </c>
      <c r="Y306">
        <v>0</v>
      </c>
      <c r="Z306">
        <v>34.549999999999997</v>
      </c>
      <c r="AA306">
        <v>11.6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24.7</v>
      </c>
      <c r="AH306">
        <v>2</v>
      </c>
      <c r="AI306">
        <v>16784601</v>
      </c>
      <c r="AJ306">
        <v>302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ROW(Source!A111)</f>
        <v>111</v>
      </c>
      <c r="B307">
        <v>16784608</v>
      </c>
      <c r="C307">
        <v>16784597</v>
      </c>
      <c r="D307">
        <v>15167286</v>
      </c>
      <c r="E307">
        <v>1</v>
      </c>
      <c r="F307">
        <v>1</v>
      </c>
      <c r="G307">
        <v>1</v>
      </c>
      <c r="H307">
        <v>3</v>
      </c>
      <c r="I307" t="s">
        <v>597</v>
      </c>
      <c r="J307" t="s">
        <v>598</v>
      </c>
      <c r="K307" t="s">
        <v>599</v>
      </c>
      <c r="L307">
        <v>1339</v>
      </c>
      <c r="N307">
        <v>1007</v>
      </c>
      <c r="O307" t="s">
        <v>128</v>
      </c>
      <c r="P307" t="s">
        <v>128</v>
      </c>
      <c r="Q307">
        <v>1</v>
      </c>
      <c r="X307">
        <v>4.6900000000000004</v>
      </c>
      <c r="Y307">
        <v>2.44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4.6900000000000004</v>
      </c>
      <c r="AH307">
        <v>2</v>
      </c>
      <c r="AI307">
        <v>16784602</v>
      </c>
      <c r="AJ307">
        <v>303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ROW(Source!A111)</f>
        <v>111</v>
      </c>
      <c r="B308">
        <v>16784609</v>
      </c>
      <c r="C308">
        <v>16784597</v>
      </c>
      <c r="D308">
        <v>15170666</v>
      </c>
      <c r="E308">
        <v>1</v>
      </c>
      <c r="F308">
        <v>1</v>
      </c>
      <c r="G308">
        <v>1</v>
      </c>
      <c r="H308">
        <v>3</v>
      </c>
      <c r="I308" t="s">
        <v>668</v>
      </c>
      <c r="J308" t="s">
        <v>669</v>
      </c>
      <c r="K308" t="s">
        <v>670</v>
      </c>
      <c r="L308">
        <v>1354</v>
      </c>
      <c r="N308">
        <v>1010</v>
      </c>
      <c r="O308" t="s">
        <v>277</v>
      </c>
      <c r="P308" t="s">
        <v>277</v>
      </c>
      <c r="Q308">
        <v>1</v>
      </c>
      <c r="X308">
        <v>2.02</v>
      </c>
      <c r="Y308">
        <v>3046.2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2.02</v>
      </c>
      <c r="AH308">
        <v>2</v>
      </c>
      <c r="AI308">
        <v>16784603</v>
      </c>
      <c r="AJ308">
        <v>304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ROW(Source!A112)</f>
        <v>112</v>
      </c>
      <c r="B309">
        <v>16784616</v>
      </c>
      <c r="C309">
        <v>16784610</v>
      </c>
      <c r="D309">
        <v>15436556</v>
      </c>
      <c r="E309">
        <v>1</v>
      </c>
      <c r="F309">
        <v>1</v>
      </c>
      <c r="G309">
        <v>1</v>
      </c>
      <c r="H309">
        <v>1</v>
      </c>
      <c r="I309" t="s">
        <v>621</v>
      </c>
      <c r="J309" t="s">
        <v>6</v>
      </c>
      <c r="K309" t="s">
        <v>622</v>
      </c>
      <c r="L309">
        <v>1191</v>
      </c>
      <c r="N309">
        <v>1013</v>
      </c>
      <c r="O309" t="s">
        <v>495</v>
      </c>
      <c r="P309" t="s">
        <v>495</v>
      </c>
      <c r="Q309">
        <v>1</v>
      </c>
      <c r="X309">
        <v>2.1</v>
      </c>
      <c r="Y309">
        <v>0</v>
      </c>
      <c r="Z309">
        <v>0</v>
      </c>
      <c r="AA309">
        <v>0</v>
      </c>
      <c r="AB309">
        <v>9.6199999999999992</v>
      </c>
      <c r="AC309">
        <v>0</v>
      </c>
      <c r="AD309">
        <v>1</v>
      </c>
      <c r="AE309">
        <v>1</v>
      </c>
      <c r="AF309" t="s">
        <v>233</v>
      </c>
      <c r="AG309">
        <v>31.5</v>
      </c>
      <c r="AH309">
        <v>2</v>
      </c>
      <c r="AI309">
        <v>16784611</v>
      </c>
      <c r="AJ309">
        <v>305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ROW(Source!A112)</f>
        <v>112</v>
      </c>
      <c r="B310">
        <v>16784617</v>
      </c>
      <c r="C310">
        <v>16784610</v>
      </c>
      <c r="D310">
        <v>15430395</v>
      </c>
      <c r="E310">
        <v>1</v>
      </c>
      <c r="F310">
        <v>1</v>
      </c>
      <c r="G310">
        <v>1</v>
      </c>
      <c r="H310">
        <v>1</v>
      </c>
      <c r="I310" t="s">
        <v>496</v>
      </c>
      <c r="J310" t="s">
        <v>6</v>
      </c>
      <c r="K310" t="s">
        <v>497</v>
      </c>
      <c r="L310">
        <v>1191</v>
      </c>
      <c r="N310">
        <v>1013</v>
      </c>
      <c r="O310" t="s">
        <v>495</v>
      </c>
      <c r="P310" t="s">
        <v>495</v>
      </c>
      <c r="Q310">
        <v>1</v>
      </c>
      <c r="X310">
        <v>1.24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2</v>
      </c>
      <c r="AF310" t="s">
        <v>233</v>
      </c>
      <c r="AG310">
        <v>18.600000000000001</v>
      </c>
      <c r="AH310">
        <v>2</v>
      </c>
      <c r="AI310">
        <v>16784612</v>
      </c>
      <c r="AJ310">
        <v>306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ROW(Source!A112)</f>
        <v>112</v>
      </c>
      <c r="B311">
        <v>16784618</v>
      </c>
      <c r="C311">
        <v>16784610</v>
      </c>
      <c r="D311">
        <v>15250124</v>
      </c>
      <c r="E311">
        <v>1</v>
      </c>
      <c r="F311">
        <v>1</v>
      </c>
      <c r="G311">
        <v>1</v>
      </c>
      <c r="H311">
        <v>2</v>
      </c>
      <c r="I311" t="s">
        <v>665</v>
      </c>
      <c r="J311" t="s">
        <v>666</v>
      </c>
      <c r="K311" t="s">
        <v>667</v>
      </c>
      <c r="L311">
        <v>1368</v>
      </c>
      <c r="N311">
        <v>1011</v>
      </c>
      <c r="O311" t="s">
        <v>501</v>
      </c>
      <c r="P311" t="s">
        <v>501</v>
      </c>
      <c r="Q311">
        <v>1</v>
      </c>
      <c r="X311">
        <v>1.24</v>
      </c>
      <c r="Y311">
        <v>0</v>
      </c>
      <c r="Z311">
        <v>34.549999999999997</v>
      </c>
      <c r="AA311">
        <v>11.6</v>
      </c>
      <c r="AB311">
        <v>0</v>
      </c>
      <c r="AC311">
        <v>0</v>
      </c>
      <c r="AD311">
        <v>1</v>
      </c>
      <c r="AE311">
        <v>0</v>
      </c>
      <c r="AF311" t="s">
        <v>233</v>
      </c>
      <c r="AG311">
        <v>18.600000000000001</v>
      </c>
      <c r="AH311">
        <v>2</v>
      </c>
      <c r="AI311">
        <v>16784613</v>
      </c>
      <c r="AJ311">
        <v>307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ROW(Source!A112)</f>
        <v>112</v>
      </c>
      <c r="B312">
        <v>16784619</v>
      </c>
      <c r="C312">
        <v>16784610</v>
      </c>
      <c r="D312">
        <v>15167286</v>
      </c>
      <c r="E312">
        <v>1</v>
      </c>
      <c r="F312">
        <v>1</v>
      </c>
      <c r="G312">
        <v>1</v>
      </c>
      <c r="H312">
        <v>3</v>
      </c>
      <c r="I312" t="s">
        <v>597</v>
      </c>
      <c r="J312" t="s">
        <v>598</v>
      </c>
      <c r="K312" t="s">
        <v>599</v>
      </c>
      <c r="L312">
        <v>1339</v>
      </c>
      <c r="N312">
        <v>1007</v>
      </c>
      <c r="O312" t="s">
        <v>128</v>
      </c>
      <c r="P312" t="s">
        <v>128</v>
      </c>
      <c r="Q312">
        <v>1</v>
      </c>
      <c r="X312">
        <v>0.23499999999999999</v>
      </c>
      <c r="Y312">
        <v>2.44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233</v>
      </c>
      <c r="AG312">
        <v>3.5249999999999999</v>
      </c>
      <c r="AH312">
        <v>2</v>
      </c>
      <c r="AI312">
        <v>16784614</v>
      </c>
      <c r="AJ312">
        <v>308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ROW(Source!A112)</f>
        <v>112</v>
      </c>
      <c r="B313">
        <v>16784620</v>
      </c>
      <c r="C313">
        <v>16784610</v>
      </c>
      <c r="D313">
        <v>15170666</v>
      </c>
      <c r="E313">
        <v>1</v>
      </c>
      <c r="F313">
        <v>1</v>
      </c>
      <c r="G313">
        <v>1</v>
      </c>
      <c r="H313">
        <v>3</v>
      </c>
      <c r="I313" t="s">
        <v>668</v>
      </c>
      <c r="J313" t="s">
        <v>669</v>
      </c>
      <c r="K313" t="s">
        <v>670</v>
      </c>
      <c r="L313">
        <v>1354</v>
      </c>
      <c r="N313">
        <v>1010</v>
      </c>
      <c r="O313" t="s">
        <v>277</v>
      </c>
      <c r="P313" t="s">
        <v>277</v>
      </c>
      <c r="Q313">
        <v>1</v>
      </c>
      <c r="X313">
        <v>0.10100000000000001</v>
      </c>
      <c r="Y313">
        <v>3046.2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233</v>
      </c>
      <c r="AG313">
        <v>1.5150000000000001</v>
      </c>
      <c r="AH313">
        <v>2</v>
      </c>
      <c r="AI313">
        <v>16784615</v>
      </c>
      <c r="AJ313">
        <v>309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ROW(Source!A113)</f>
        <v>113</v>
      </c>
      <c r="B314">
        <v>16784616</v>
      </c>
      <c r="C314">
        <v>16784610</v>
      </c>
      <c r="D314">
        <v>15436556</v>
      </c>
      <c r="E314">
        <v>1</v>
      </c>
      <c r="F314">
        <v>1</v>
      </c>
      <c r="G314">
        <v>1</v>
      </c>
      <c r="H314">
        <v>1</v>
      </c>
      <c r="I314" t="s">
        <v>621</v>
      </c>
      <c r="J314" t="s">
        <v>6</v>
      </c>
      <c r="K314" t="s">
        <v>622</v>
      </c>
      <c r="L314">
        <v>1191</v>
      </c>
      <c r="N314">
        <v>1013</v>
      </c>
      <c r="O314" t="s">
        <v>495</v>
      </c>
      <c r="P314" t="s">
        <v>495</v>
      </c>
      <c r="Q314">
        <v>1</v>
      </c>
      <c r="X314">
        <v>2.1</v>
      </c>
      <c r="Y314">
        <v>0</v>
      </c>
      <c r="Z314">
        <v>0</v>
      </c>
      <c r="AA314">
        <v>0</v>
      </c>
      <c r="AB314">
        <v>9.6199999999999992</v>
      </c>
      <c r="AC314">
        <v>0</v>
      </c>
      <c r="AD314">
        <v>1</v>
      </c>
      <c r="AE314">
        <v>1</v>
      </c>
      <c r="AF314" t="s">
        <v>233</v>
      </c>
      <c r="AG314">
        <v>31.5</v>
      </c>
      <c r="AH314">
        <v>2</v>
      </c>
      <c r="AI314">
        <v>16784611</v>
      </c>
      <c r="AJ314">
        <v>310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ROW(Source!A113)</f>
        <v>113</v>
      </c>
      <c r="B315">
        <v>16784617</v>
      </c>
      <c r="C315">
        <v>16784610</v>
      </c>
      <c r="D315">
        <v>15430395</v>
      </c>
      <c r="E315">
        <v>1</v>
      </c>
      <c r="F315">
        <v>1</v>
      </c>
      <c r="G315">
        <v>1</v>
      </c>
      <c r="H315">
        <v>1</v>
      </c>
      <c r="I315" t="s">
        <v>496</v>
      </c>
      <c r="J315" t="s">
        <v>6</v>
      </c>
      <c r="K315" t="s">
        <v>497</v>
      </c>
      <c r="L315">
        <v>1191</v>
      </c>
      <c r="N315">
        <v>1013</v>
      </c>
      <c r="O315" t="s">
        <v>495</v>
      </c>
      <c r="P315" t="s">
        <v>495</v>
      </c>
      <c r="Q315">
        <v>1</v>
      </c>
      <c r="X315">
        <v>1.24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2</v>
      </c>
      <c r="AF315" t="s">
        <v>233</v>
      </c>
      <c r="AG315">
        <v>18.600000000000001</v>
      </c>
      <c r="AH315">
        <v>2</v>
      </c>
      <c r="AI315">
        <v>16784612</v>
      </c>
      <c r="AJ315">
        <v>311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ROW(Source!A113)</f>
        <v>113</v>
      </c>
      <c r="B316">
        <v>16784618</v>
      </c>
      <c r="C316">
        <v>16784610</v>
      </c>
      <c r="D316">
        <v>15250124</v>
      </c>
      <c r="E316">
        <v>1</v>
      </c>
      <c r="F316">
        <v>1</v>
      </c>
      <c r="G316">
        <v>1</v>
      </c>
      <c r="H316">
        <v>2</v>
      </c>
      <c r="I316" t="s">
        <v>665</v>
      </c>
      <c r="J316" t="s">
        <v>666</v>
      </c>
      <c r="K316" t="s">
        <v>667</v>
      </c>
      <c r="L316">
        <v>1368</v>
      </c>
      <c r="N316">
        <v>1011</v>
      </c>
      <c r="O316" t="s">
        <v>501</v>
      </c>
      <c r="P316" t="s">
        <v>501</v>
      </c>
      <c r="Q316">
        <v>1</v>
      </c>
      <c r="X316">
        <v>1.24</v>
      </c>
      <c r="Y316">
        <v>0</v>
      </c>
      <c r="Z316">
        <v>34.549999999999997</v>
      </c>
      <c r="AA316">
        <v>11.6</v>
      </c>
      <c r="AB316">
        <v>0</v>
      </c>
      <c r="AC316">
        <v>0</v>
      </c>
      <c r="AD316">
        <v>1</v>
      </c>
      <c r="AE316">
        <v>0</v>
      </c>
      <c r="AF316" t="s">
        <v>233</v>
      </c>
      <c r="AG316">
        <v>18.600000000000001</v>
      </c>
      <c r="AH316">
        <v>2</v>
      </c>
      <c r="AI316">
        <v>16784613</v>
      </c>
      <c r="AJ316">
        <v>312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ROW(Source!A113)</f>
        <v>113</v>
      </c>
      <c r="B317">
        <v>16784619</v>
      </c>
      <c r="C317">
        <v>16784610</v>
      </c>
      <c r="D317">
        <v>15167286</v>
      </c>
      <c r="E317">
        <v>1</v>
      </c>
      <c r="F317">
        <v>1</v>
      </c>
      <c r="G317">
        <v>1</v>
      </c>
      <c r="H317">
        <v>3</v>
      </c>
      <c r="I317" t="s">
        <v>597</v>
      </c>
      <c r="J317" t="s">
        <v>598</v>
      </c>
      <c r="K317" t="s">
        <v>599</v>
      </c>
      <c r="L317">
        <v>1339</v>
      </c>
      <c r="N317">
        <v>1007</v>
      </c>
      <c r="O317" t="s">
        <v>128</v>
      </c>
      <c r="P317" t="s">
        <v>128</v>
      </c>
      <c r="Q317">
        <v>1</v>
      </c>
      <c r="X317">
        <v>0.23499999999999999</v>
      </c>
      <c r="Y317">
        <v>2.44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0</v>
      </c>
      <c r="AF317" t="s">
        <v>233</v>
      </c>
      <c r="AG317">
        <v>3.5249999999999999</v>
      </c>
      <c r="AH317">
        <v>2</v>
      </c>
      <c r="AI317">
        <v>16784614</v>
      </c>
      <c r="AJ317">
        <v>313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ROW(Source!A113)</f>
        <v>113</v>
      </c>
      <c r="B318">
        <v>16784620</v>
      </c>
      <c r="C318">
        <v>16784610</v>
      </c>
      <c r="D318">
        <v>15170666</v>
      </c>
      <c r="E318">
        <v>1</v>
      </c>
      <c r="F318">
        <v>1</v>
      </c>
      <c r="G318">
        <v>1</v>
      </c>
      <c r="H318">
        <v>3</v>
      </c>
      <c r="I318" t="s">
        <v>668</v>
      </c>
      <c r="J318" t="s">
        <v>669</v>
      </c>
      <c r="K318" t="s">
        <v>670</v>
      </c>
      <c r="L318">
        <v>1354</v>
      </c>
      <c r="N318">
        <v>1010</v>
      </c>
      <c r="O318" t="s">
        <v>277</v>
      </c>
      <c r="P318" t="s">
        <v>277</v>
      </c>
      <c r="Q318">
        <v>1</v>
      </c>
      <c r="X318">
        <v>0.10100000000000001</v>
      </c>
      <c r="Y318">
        <v>3046.2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233</v>
      </c>
      <c r="AG318">
        <v>1.5150000000000001</v>
      </c>
      <c r="AH318">
        <v>2</v>
      </c>
      <c r="AI318">
        <v>16784615</v>
      </c>
      <c r="AJ318">
        <v>314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ROW(Source!A114)</f>
        <v>114</v>
      </c>
      <c r="B319">
        <v>16784633</v>
      </c>
      <c r="C319">
        <v>16784621</v>
      </c>
      <c r="D319">
        <v>15433667</v>
      </c>
      <c r="E319">
        <v>1</v>
      </c>
      <c r="F319">
        <v>1</v>
      </c>
      <c r="G319">
        <v>1</v>
      </c>
      <c r="H319">
        <v>1</v>
      </c>
      <c r="I319" t="s">
        <v>493</v>
      </c>
      <c r="J319" t="s">
        <v>6</v>
      </c>
      <c r="K319" t="s">
        <v>494</v>
      </c>
      <c r="L319">
        <v>1191</v>
      </c>
      <c r="N319">
        <v>1013</v>
      </c>
      <c r="O319" t="s">
        <v>495</v>
      </c>
      <c r="P319" t="s">
        <v>495</v>
      </c>
      <c r="Q319">
        <v>1</v>
      </c>
      <c r="X319">
        <v>75.22</v>
      </c>
      <c r="Y319">
        <v>0</v>
      </c>
      <c r="Z319">
        <v>0</v>
      </c>
      <c r="AA319">
        <v>0</v>
      </c>
      <c r="AB319">
        <v>8.09</v>
      </c>
      <c r="AC319">
        <v>0</v>
      </c>
      <c r="AD319">
        <v>1</v>
      </c>
      <c r="AE319">
        <v>1</v>
      </c>
      <c r="AF319" t="s">
        <v>6</v>
      </c>
      <c r="AG319">
        <v>75.22</v>
      </c>
      <c r="AH319">
        <v>2</v>
      </c>
      <c r="AI319">
        <v>16784622</v>
      </c>
      <c r="AJ319">
        <v>315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ROW(Source!A114)</f>
        <v>114</v>
      </c>
      <c r="B320">
        <v>16784634</v>
      </c>
      <c r="C320">
        <v>16784621</v>
      </c>
      <c r="D320">
        <v>15430395</v>
      </c>
      <c r="E320">
        <v>1</v>
      </c>
      <c r="F320">
        <v>1</v>
      </c>
      <c r="G320">
        <v>1</v>
      </c>
      <c r="H320">
        <v>1</v>
      </c>
      <c r="I320" t="s">
        <v>496</v>
      </c>
      <c r="J320" t="s">
        <v>6</v>
      </c>
      <c r="K320" t="s">
        <v>497</v>
      </c>
      <c r="L320">
        <v>1191</v>
      </c>
      <c r="N320">
        <v>1013</v>
      </c>
      <c r="O320" t="s">
        <v>495</v>
      </c>
      <c r="P320" t="s">
        <v>495</v>
      </c>
      <c r="Q320">
        <v>1</v>
      </c>
      <c r="X320">
        <v>0.4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2</v>
      </c>
      <c r="AF320" t="s">
        <v>6</v>
      </c>
      <c r="AG320">
        <v>0.4</v>
      </c>
      <c r="AH320">
        <v>2</v>
      </c>
      <c r="AI320">
        <v>16784623</v>
      </c>
      <c r="AJ320">
        <v>316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ROW(Source!A114)</f>
        <v>114</v>
      </c>
      <c r="B321">
        <v>16784635</v>
      </c>
      <c r="C321">
        <v>16784621</v>
      </c>
      <c r="D321">
        <v>15247878</v>
      </c>
      <c r="E321">
        <v>1</v>
      </c>
      <c r="F321">
        <v>1</v>
      </c>
      <c r="G321">
        <v>1</v>
      </c>
      <c r="H321">
        <v>2</v>
      </c>
      <c r="I321" t="s">
        <v>671</v>
      </c>
      <c r="J321" t="s">
        <v>672</v>
      </c>
      <c r="K321" t="s">
        <v>673</v>
      </c>
      <c r="L321">
        <v>1368</v>
      </c>
      <c r="N321">
        <v>1011</v>
      </c>
      <c r="O321" t="s">
        <v>501</v>
      </c>
      <c r="P321" t="s">
        <v>501</v>
      </c>
      <c r="Q321">
        <v>1</v>
      </c>
      <c r="X321">
        <v>0.21</v>
      </c>
      <c r="Y321">
        <v>0</v>
      </c>
      <c r="Z321">
        <v>1.7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6</v>
      </c>
      <c r="AG321">
        <v>0.21</v>
      </c>
      <c r="AH321">
        <v>2</v>
      </c>
      <c r="AI321">
        <v>16784624</v>
      </c>
      <c r="AJ321">
        <v>317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ROW(Source!A114)</f>
        <v>114</v>
      </c>
      <c r="B322">
        <v>16784636</v>
      </c>
      <c r="C322">
        <v>16784621</v>
      </c>
      <c r="D322">
        <v>15249073</v>
      </c>
      <c r="E322">
        <v>1</v>
      </c>
      <c r="F322">
        <v>1</v>
      </c>
      <c r="G322">
        <v>1</v>
      </c>
      <c r="H322">
        <v>2</v>
      </c>
      <c r="I322" t="s">
        <v>504</v>
      </c>
      <c r="J322" t="s">
        <v>505</v>
      </c>
      <c r="K322" t="s">
        <v>506</v>
      </c>
      <c r="L322">
        <v>1368</v>
      </c>
      <c r="N322">
        <v>1011</v>
      </c>
      <c r="O322" t="s">
        <v>501</v>
      </c>
      <c r="P322" t="s">
        <v>501</v>
      </c>
      <c r="Q322">
        <v>1</v>
      </c>
      <c r="X322">
        <v>0.4</v>
      </c>
      <c r="Y322">
        <v>0</v>
      </c>
      <c r="Z322">
        <v>65.709999999999994</v>
      </c>
      <c r="AA322">
        <v>11.6</v>
      </c>
      <c r="AB322">
        <v>0</v>
      </c>
      <c r="AC322">
        <v>0</v>
      </c>
      <c r="AD322">
        <v>1</v>
      </c>
      <c r="AE322">
        <v>0</v>
      </c>
      <c r="AF322" t="s">
        <v>6</v>
      </c>
      <c r="AG322">
        <v>0.4</v>
      </c>
      <c r="AH322">
        <v>2</v>
      </c>
      <c r="AI322">
        <v>16784625</v>
      </c>
      <c r="AJ322">
        <v>318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ROW(Source!A114)</f>
        <v>114</v>
      </c>
      <c r="B323">
        <v>16784637</v>
      </c>
      <c r="C323">
        <v>16784621</v>
      </c>
      <c r="D323">
        <v>15167286</v>
      </c>
      <c r="E323">
        <v>1</v>
      </c>
      <c r="F323">
        <v>1</v>
      </c>
      <c r="G323">
        <v>1</v>
      </c>
      <c r="H323">
        <v>3</v>
      </c>
      <c r="I323" t="s">
        <v>597</v>
      </c>
      <c r="J323" t="s">
        <v>598</v>
      </c>
      <c r="K323" t="s">
        <v>599</v>
      </c>
      <c r="L323">
        <v>1339</v>
      </c>
      <c r="N323">
        <v>1007</v>
      </c>
      <c r="O323" t="s">
        <v>128</v>
      </c>
      <c r="P323" t="s">
        <v>128</v>
      </c>
      <c r="Q323">
        <v>1</v>
      </c>
      <c r="X323">
        <v>1.37E-2</v>
      </c>
      <c r="Y323">
        <v>2.44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1.37E-2</v>
      </c>
      <c r="AH323">
        <v>2</v>
      </c>
      <c r="AI323">
        <v>16784626</v>
      </c>
      <c r="AJ323">
        <v>319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ROW(Source!A114)</f>
        <v>114</v>
      </c>
      <c r="B324">
        <v>16784638</v>
      </c>
      <c r="C324">
        <v>16784621</v>
      </c>
      <c r="D324">
        <v>15170039</v>
      </c>
      <c r="E324">
        <v>1</v>
      </c>
      <c r="F324">
        <v>1</v>
      </c>
      <c r="G324">
        <v>1</v>
      </c>
      <c r="H324">
        <v>3</v>
      </c>
      <c r="I324" t="s">
        <v>561</v>
      </c>
      <c r="J324" t="s">
        <v>562</v>
      </c>
      <c r="K324" t="s">
        <v>563</v>
      </c>
      <c r="L324">
        <v>1348</v>
      </c>
      <c r="N324">
        <v>1009</v>
      </c>
      <c r="O324" t="s">
        <v>65</v>
      </c>
      <c r="P324" t="s">
        <v>65</v>
      </c>
      <c r="Q324">
        <v>1000</v>
      </c>
      <c r="X324">
        <v>5.8999999999999999E-3</v>
      </c>
      <c r="Y324">
        <v>11978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</v>
      </c>
      <c r="AG324">
        <v>5.8999999999999999E-3</v>
      </c>
      <c r="AH324">
        <v>2</v>
      </c>
      <c r="AI324">
        <v>16784627</v>
      </c>
      <c r="AJ324">
        <v>320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ROW(Source!A114)</f>
        <v>114</v>
      </c>
      <c r="B325">
        <v>16784639</v>
      </c>
      <c r="C325">
        <v>16784621</v>
      </c>
      <c r="D325">
        <v>15172014</v>
      </c>
      <c r="E325">
        <v>1</v>
      </c>
      <c r="F325">
        <v>1</v>
      </c>
      <c r="G325">
        <v>1</v>
      </c>
      <c r="H325">
        <v>3</v>
      </c>
      <c r="I325" t="s">
        <v>674</v>
      </c>
      <c r="J325" t="s">
        <v>675</v>
      </c>
      <c r="K325" t="s">
        <v>676</v>
      </c>
      <c r="L325">
        <v>1348</v>
      </c>
      <c r="N325">
        <v>1009</v>
      </c>
      <c r="O325" t="s">
        <v>65</v>
      </c>
      <c r="P325" t="s">
        <v>65</v>
      </c>
      <c r="Q325">
        <v>1000</v>
      </c>
      <c r="X325">
        <v>4.8999999999999998E-3</v>
      </c>
      <c r="Y325">
        <v>734.5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6</v>
      </c>
      <c r="AG325">
        <v>4.8999999999999998E-3</v>
      </c>
      <c r="AH325">
        <v>2</v>
      </c>
      <c r="AI325">
        <v>16784628</v>
      </c>
      <c r="AJ325">
        <v>321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ROW(Source!A114)</f>
        <v>114</v>
      </c>
      <c r="B326">
        <v>16784640</v>
      </c>
      <c r="C326">
        <v>16784621</v>
      </c>
      <c r="D326">
        <v>15161601</v>
      </c>
      <c r="E326">
        <v>17</v>
      </c>
      <c r="F326">
        <v>1</v>
      </c>
      <c r="G326">
        <v>1</v>
      </c>
      <c r="H326">
        <v>3</v>
      </c>
      <c r="I326" t="s">
        <v>797</v>
      </c>
      <c r="J326" t="s">
        <v>6</v>
      </c>
      <c r="K326" t="s">
        <v>798</v>
      </c>
      <c r="L326">
        <v>1339</v>
      </c>
      <c r="N326">
        <v>1007</v>
      </c>
      <c r="O326" t="s">
        <v>128</v>
      </c>
      <c r="P326" t="s">
        <v>128</v>
      </c>
      <c r="Q326">
        <v>1</v>
      </c>
      <c r="X326">
        <v>1.04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 t="s">
        <v>6</v>
      </c>
      <c r="AG326">
        <v>1.04</v>
      </c>
      <c r="AH326">
        <v>3</v>
      </c>
      <c r="AI326">
        <v>-1</v>
      </c>
      <c r="AJ326" t="s">
        <v>6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ROW(Source!A114)</f>
        <v>114</v>
      </c>
      <c r="B327">
        <v>16784641</v>
      </c>
      <c r="C327">
        <v>16784621</v>
      </c>
      <c r="D327">
        <v>15191153</v>
      </c>
      <c r="E327">
        <v>1</v>
      </c>
      <c r="F327">
        <v>1</v>
      </c>
      <c r="G327">
        <v>1</v>
      </c>
      <c r="H327">
        <v>3</v>
      </c>
      <c r="I327" t="s">
        <v>570</v>
      </c>
      <c r="J327" t="s">
        <v>571</v>
      </c>
      <c r="K327" t="s">
        <v>572</v>
      </c>
      <c r="L327">
        <v>1348</v>
      </c>
      <c r="N327">
        <v>1009</v>
      </c>
      <c r="O327" t="s">
        <v>65</v>
      </c>
      <c r="P327" t="s">
        <v>65</v>
      </c>
      <c r="Q327">
        <v>1000</v>
      </c>
      <c r="X327">
        <v>9.4999999999999998E-3</v>
      </c>
      <c r="Y327">
        <v>4455.2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6</v>
      </c>
      <c r="AG327">
        <v>9.4999999999999998E-3</v>
      </c>
      <c r="AH327">
        <v>2</v>
      </c>
      <c r="AI327">
        <v>16784629</v>
      </c>
      <c r="AJ327">
        <v>323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ROW(Source!A114)</f>
        <v>114</v>
      </c>
      <c r="B328">
        <v>16784642</v>
      </c>
      <c r="C328">
        <v>16784621</v>
      </c>
      <c r="D328">
        <v>15195822</v>
      </c>
      <c r="E328">
        <v>1</v>
      </c>
      <c r="F328">
        <v>1</v>
      </c>
      <c r="G328">
        <v>1</v>
      </c>
      <c r="H328">
        <v>3</v>
      </c>
      <c r="I328" t="s">
        <v>677</v>
      </c>
      <c r="J328" t="s">
        <v>678</v>
      </c>
      <c r="K328" t="s">
        <v>679</v>
      </c>
      <c r="L328">
        <v>1339</v>
      </c>
      <c r="N328">
        <v>1007</v>
      </c>
      <c r="O328" t="s">
        <v>128</v>
      </c>
      <c r="P328" t="s">
        <v>128</v>
      </c>
      <c r="Q328">
        <v>1</v>
      </c>
      <c r="X328">
        <v>0.21</v>
      </c>
      <c r="Y328">
        <v>1287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0.21</v>
      </c>
      <c r="AH328">
        <v>2</v>
      </c>
      <c r="AI328">
        <v>16784630</v>
      </c>
      <c r="AJ328">
        <v>324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ROW(Source!A114)</f>
        <v>114</v>
      </c>
      <c r="B329">
        <v>16784643</v>
      </c>
      <c r="C329">
        <v>16784621</v>
      </c>
      <c r="D329">
        <v>15196012</v>
      </c>
      <c r="E329">
        <v>1</v>
      </c>
      <c r="F329">
        <v>1</v>
      </c>
      <c r="G329">
        <v>1</v>
      </c>
      <c r="H329">
        <v>3</v>
      </c>
      <c r="I329" t="s">
        <v>680</v>
      </c>
      <c r="J329" t="s">
        <v>681</v>
      </c>
      <c r="K329" t="s">
        <v>682</v>
      </c>
      <c r="L329">
        <v>1339</v>
      </c>
      <c r="N329">
        <v>1007</v>
      </c>
      <c r="O329" t="s">
        <v>128</v>
      </c>
      <c r="P329" t="s">
        <v>128</v>
      </c>
      <c r="Q329">
        <v>1</v>
      </c>
      <c r="X329">
        <v>0.18</v>
      </c>
      <c r="Y329">
        <v>1155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0.18</v>
      </c>
      <c r="AH329">
        <v>2</v>
      </c>
      <c r="AI329">
        <v>16784632</v>
      </c>
      <c r="AJ329">
        <v>325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ROW(Source!A115)</f>
        <v>115</v>
      </c>
      <c r="B330">
        <v>16784633</v>
      </c>
      <c r="C330">
        <v>16784621</v>
      </c>
      <c r="D330">
        <v>15433667</v>
      </c>
      <c r="E330">
        <v>1</v>
      </c>
      <c r="F330">
        <v>1</v>
      </c>
      <c r="G330">
        <v>1</v>
      </c>
      <c r="H330">
        <v>1</v>
      </c>
      <c r="I330" t="s">
        <v>493</v>
      </c>
      <c r="J330" t="s">
        <v>6</v>
      </c>
      <c r="K330" t="s">
        <v>494</v>
      </c>
      <c r="L330">
        <v>1191</v>
      </c>
      <c r="N330">
        <v>1013</v>
      </c>
      <c r="O330" t="s">
        <v>495</v>
      </c>
      <c r="P330" t="s">
        <v>495</v>
      </c>
      <c r="Q330">
        <v>1</v>
      </c>
      <c r="X330">
        <v>75.22</v>
      </c>
      <c r="Y330">
        <v>0</v>
      </c>
      <c r="Z330">
        <v>0</v>
      </c>
      <c r="AA330">
        <v>0</v>
      </c>
      <c r="AB330">
        <v>8.09</v>
      </c>
      <c r="AC330">
        <v>0</v>
      </c>
      <c r="AD330">
        <v>1</v>
      </c>
      <c r="AE330">
        <v>1</v>
      </c>
      <c r="AF330" t="s">
        <v>6</v>
      </c>
      <c r="AG330">
        <v>75.22</v>
      </c>
      <c r="AH330">
        <v>2</v>
      </c>
      <c r="AI330">
        <v>16784622</v>
      </c>
      <c r="AJ330">
        <v>326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ROW(Source!A115)</f>
        <v>115</v>
      </c>
      <c r="B331">
        <v>16784634</v>
      </c>
      <c r="C331">
        <v>16784621</v>
      </c>
      <c r="D331">
        <v>15430395</v>
      </c>
      <c r="E331">
        <v>1</v>
      </c>
      <c r="F331">
        <v>1</v>
      </c>
      <c r="G331">
        <v>1</v>
      </c>
      <c r="H331">
        <v>1</v>
      </c>
      <c r="I331" t="s">
        <v>496</v>
      </c>
      <c r="J331" t="s">
        <v>6</v>
      </c>
      <c r="K331" t="s">
        <v>497</v>
      </c>
      <c r="L331">
        <v>1191</v>
      </c>
      <c r="N331">
        <v>1013</v>
      </c>
      <c r="O331" t="s">
        <v>495</v>
      </c>
      <c r="P331" t="s">
        <v>495</v>
      </c>
      <c r="Q331">
        <v>1</v>
      </c>
      <c r="X331">
        <v>0.4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2</v>
      </c>
      <c r="AF331" t="s">
        <v>6</v>
      </c>
      <c r="AG331">
        <v>0.4</v>
      </c>
      <c r="AH331">
        <v>2</v>
      </c>
      <c r="AI331">
        <v>16784623</v>
      </c>
      <c r="AJ331">
        <v>327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ROW(Source!A115)</f>
        <v>115</v>
      </c>
      <c r="B332">
        <v>16784635</v>
      </c>
      <c r="C332">
        <v>16784621</v>
      </c>
      <c r="D332">
        <v>15247878</v>
      </c>
      <c r="E332">
        <v>1</v>
      </c>
      <c r="F332">
        <v>1</v>
      </c>
      <c r="G332">
        <v>1</v>
      </c>
      <c r="H332">
        <v>2</v>
      </c>
      <c r="I332" t="s">
        <v>671</v>
      </c>
      <c r="J332" t="s">
        <v>672</v>
      </c>
      <c r="K332" t="s">
        <v>673</v>
      </c>
      <c r="L332">
        <v>1368</v>
      </c>
      <c r="N332">
        <v>1011</v>
      </c>
      <c r="O332" t="s">
        <v>501</v>
      </c>
      <c r="P332" t="s">
        <v>501</v>
      </c>
      <c r="Q332">
        <v>1</v>
      </c>
      <c r="X332">
        <v>0.21</v>
      </c>
      <c r="Y332">
        <v>0</v>
      </c>
      <c r="Z332">
        <v>1.7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0.21</v>
      </c>
      <c r="AH332">
        <v>2</v>
      </c>
      <c r="AI332">
        <v>16784624</v>
      </c>
      <c r="AJ332">
        <v>328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ROW(Source!A115)</f>
        <v>115</v>
      </c>
      <c r="B333">
        <v>16784636</v>
      </c>
      <c r="C333">
        <v>16784621</v>
      </c>
      <c r="D333">
        <v>15249073</v>
      </c>
      <c r="E333">
        <v>1</v>
      </c>
      <c r="F333">
        <v>1</v>
      </c>
      <c r="G333">
        <v>1</v>
      </c>
      <c r="H333">
        <v>2</v>
      </c>
      <c r="I333" t="s">
        <v>504</v>
      </c>
      <c r="J333" t="s">
        <v>505</v>
      </c>
      <c r="K333" t="s">
        <v>506</v>
      </c>
      <c r="L333">
        <v>1368</v>
      </c>
      <c r="N333">
        <v>1011</v>
      </c>
      <c r="O333" t="s">
        <v>501</v>
      </c>
      <c r="P333" t="s">
        <v>501</v>
      </c>
      <c r="Q333">
        <v>1</v>
      </c>
      <c r="X333">
        <v>0.4</v>
      </c>
      <c r="Y333">
        <v>0</v>
      </c>
      <c r="Z333">
        <v>65.709999999999994</v>
      </c>
      <c r="AA333">
        <v>11.6</v>
      </c>
      <c r="AB333">
        <v>0</v>
      </c>
      <c r="AC333">
        <v>0</v>
      </c>
      <c r="AD333">
        <v>1</v>
      </c>
      <c r="AE333">
        <v>0</v>
      </c>
      <c r="AF333" t="s">
        <v>6</v>
      </c>
      <c r="AG333">
        <v>0.4</v>
      </c>
      <c r="AH333">
        <v>2</v>
      </c>
      <c r="AI333">
        <v>16784625</v>
      </c>
      <c r="AJ333">
        <v>329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ROW(Source!A115)</f>
        <v>115</v>
      </c>
      <c r="B334">
        <v>16784637</v>
      </c>
      <c r="C334">
        <v>16784621</v>
      </c>
      <c r="D334">
        <v>15167286</v>
      </c>
      <c r="E334">
        <v>1</v>
      </c>
      <c r="F334">
        <v>1</v>
      </c>
      <c r="G334">
        <v>1</v>
      </c>
      <c r="H334">
        <v>3</v>
      </c>
      <c r="I334" t="s">
        <v>597</v>
      </c>
      <c r="J334" t="s">
        <v>598</v>
      </c>
      <c r="K334" t="s">
        <v>599</v>
      </c>
      <c r="L334">
        <v>1339</v>
      </c>
      <c r="N334">
        <v>1007</v>
      </c>
      <c r="O334" t="s">
        <v>128</v>
      </c>
      <c r="P334" t="s">
        <v>128</v>
      </c>
      <c r="Q334">
        <v>1</v>
      </c>
      <c r="X334">
        <v>1.37E-2</v>
      </c>
      <c r="Y334">
        <v>2.44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6</v>
      </c>
      <c r="AG334">
        <v>1.37E-2</v>
      </c>
      <c r="AH334">
        <v>2</v>
      </c>
      <c r="AI334">
        <v>16784626</v>
      </c>
      <c r="AJ334">
        <v>330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ROW(Source!A115)</f>
        <v>115</v>
      </c>
      <c r="B335">
        <v>16784638</v>
      </c>
      <c r="C335">
        <v>16784621</v>
      </c>
      <c r="D335">
        <v>15170039</v>
      </c>
      <c r="E335">
        <v>1</v>
      </c>
      <c r="F335">
        <v>1</v>
      </c>
      <c r="G335">
        <v>1</v>
      </c>
      <c r="H335">
        <v>3</v>
      </c>
      <c r="I335" t="s">
        <v>561</v>
      </c>
      <c r="J335" t="s">
        <v>562</v>
      </c>
      <c r="K335" t="s">
        <v>563</v>
      </c>
      <c r="L335">
        <v>1348</v>
      </c>
      <c r="N335">
        <v>1009</v>
      </c>
      <c r="O335" t="s">
        <v>65</v>
      </c>
      <c r="P335" t="s">
        <v>65</v>
      </c>
      <c r="Q335">
        <v>1000</v>
      </c>
      <c r="X335">
        <v>5.8999999999999999E-3</v>
      </c>
      <c r="Y335">
        <v>11978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6</v>
      </c>
      <c r="AG335">
        <v>5.8999999999999999E-3</v>
      </c>
      <c r="AH335">
        <v>2</v>
      </c>
      <c r="AI335">
        <v>16784627</v>
      </c>
      <c r="AJ335">
        <v>331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ROW(Source!A115)</f>
        <v>115</v>
      </c>
      <c r="B336">
        <v>16784639</v>
      </c>
      <c r="C336">
        <v>16784621</v>
      </c>
      <c r="D336">
        <v>15172014</v>
      </c>
      <c r="E336">
        <v>1</v>
      </c>
      <c r="F336">
        <v>1</v>
      </c>
      <c r="G336">
        <v>1</v>
      </c>
      <c r="H336">
        <v>3</v>
      </c>
      <c r="I336" t="s">
        <v>674</v>
      </c>
      <c r="J336" t="s">
        <v>675</v>
      </c>
      <c r="K336" t="s">
        <v>676</v>
      </c>
      <c r="L336">
        <v>1348</v>
      </c>
      <c r="N336">
        <v>1009</v>
      </c>
      <c r="O336" t="s">
        <v>65</v>
      </c>
      <c r="P336" t="s">
        <v>65</v>
      </c>
      <c r="Q336">
        <v>1000</v>
      </c>
      <c r="X336">
        <v>4.8999999999999998E-3</v>
      </c>
      <c r="Y336">
        <v>734.5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4.8999999999999998E-3</v>
      </c>
      <c r="AH336">
        <v>2</v>
      </c>
      <c r="AI336">
        <v>16784628</v>
      </c>
      <c r="AJ336">
        <v>332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ROW(Source!A115)</f>
        <v>115</v>
      </c>
      <c r="B337">
        <v>16784640</v>
      </c>
      <c r="C337">
        <v>16784621</v>
      </c>
      <c r="D337">
        <v>15161601</v>
      </c>
      <c r="E337">
        <v>17</v>
      </c>
      <c r="F337">
        <v>1</v>
      </c>
      <c r="G337">
        <v>1</v>
      </c>
      <c r="H337">
        <v>3</v>
      </c>
      <c r="I337" t="s">
        <v>797</v>
      </c>
      <c r="J337" t="s">
        <v>6</v>
      </c>
      <c r="K337" t="s">
        <v>798</v>
      </c>
      <c r="L337">
        <v>1339</v>
      </c>
      <c r="N337">
        <v>1007</v>
      </c>
      <c r="O337" t="s">
        <v>128</v>
      </c>
      <c r="P337" t="s">
        <v>128</v>
      </c>
      <c r="Q337">
        <v>1</v>
      </c>
      <c r="X337">
        <v>1.04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 t="s">
        <v>6</v>
      </c>
      <c r="AG337">
        <v>1.04</v>
      </c>
      <c r="AH337">
        <v>3</v>
      </c>
      <c r="AI337">
        <v>-1</v>
      </c>
      <c r="AJ337" t="s">
        <v>6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ROW(Source!A115)</f>
        <v>115</v>
      </c>
      <c r="B338">
        <v>16784641</v>
      </c>
      <c r="C338">
        <v>16784621</v>
      </c>
      <c r="D338">
        <v>15191153</v>
      </c>
      <c r="E338">
        <v>1</v>
      </c>
      <c r="F338">
        <v>1</v>
      </c>
      <c r="G338">
        <v>1</v>
      </c>
      <c r="H338">
        <v>3</v>
      </c>
      <c r="I338" t="s">
        <v>570</v>
      </c>
      <c r="J338" t="s">
        <v>571</v>
      </c>
      <c r="K338" t="s">
        <v>572</v>
      </c>
      <c r="L338">
        <v>1348</v>
      </c>
      <c r="N338">
        <v>1009</v>
      </c>
      <c r="O338" t="s">
        <v>65</v>
      </c>
      <c r="P338" t="s">
        <v>65</v>
      </c>
      <c r="Q338">
        <v>1000</v>
      </c>
      <c r="X338">
        <v>9.4999999999999998E-3</v>
      </c>
      <c r="Y338">
        <v>4455.2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6</v>
      </c>
      <c r="AG338">
        <v>9.4999999999999998E-3</v>
      </c>
      <c r="AH338">
        <v>2</v>
      </c>
      <c r="AI338">
        <v>16784629</v>
      </c>
      <c r="AJ338">
        <v>334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ROW(Source!A115)</f>
        <v>115</v>
      </c>
      <c r="B339">
        <v>16784642</v>
      </c>
      <c r="C339">
        <v>16784621</v>
      </c>
      <c r="D339">
        <v>15195822</v>
      </c>
      <c r="E339">
        <v>1</v>
      </c>
      <c r="F339">
        <v>1</v>
      </c>
      <c r="G339">
        <v>1</v>
      </c>
      <c r="H339">
        <v>3</v>
      </c>
      <c r="I339" t="s">
        <v>677</v>
      </c>
      <c r="J339" t="s">
        <v>678</v>
      </c>
      <c r="K339" t="s">
        <v>679</v>
      </c>
      <c r="L339">
        <v>1339</v>
      </c>
      <c r="N339">
        <v>1007</v>
      </c>
      <c r="O339" t="s">
        <v>128</v>
      </c>
      <c r="P339" t="s">
        <v>128</v>
      </c>
      <c r="Q339">
        <v>1</v>
      </c>
      <c r="X339">
        <v>0.21</v>
      </c>
      <c r="Y339">
        <v>1287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0.21</v>
      </c>
      <c r="AH339">
        <v>2</v>
      </c>
      <c r="AI339">
        <v>16784630</v>
      </c>
      <c r="AJ339">
        <v>335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ROW(Source!A115)</f>
        <v>115</v>
      </c>
      <c r="B340">
        <v>16784643</v>
      </c>
      <c r="C340">
        <v>16784621</v>
      </c>
      <c r="D340">
        <v>15196012</v>
      </c>
      <c r="E340">
        <v>1</v>
      </c>
      <c r="F340">
        <v>1</v>
      </c>
      <c r="G340">
        <v>1</v>
      </c>
      <c r="H340">
        <v>3</v>
      </c>
      <c r="I340" t="s">
        <v>680</v>
      </c>
      <c r="J340" t="s">
        <v>681</v>
      </c>
      <c r="K340" t="s">
        <v>682</v>
      </c>
      <c r="L340">
        <v>1339</v>
      </c>
      <c r="N340">
        <v>1007</v>
      </c>
      <c r="O340" t="s">
        <v>128</v>
      </c>
      <c r="P340" t="s">
        <v>128</v>
      </c>
      <c r="Q340">
        <v>1</v>
      </c>
      <c r="X340">
        <v>0.18</v>
      </c>
      <c r="Y340">
        <v>1155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0.18</v>
      </c>
      <c r="AH340">
        <v>2</v>
      </c>
      <c r="AI340">
        <v>16784632</v>
      </c>
      <c r="AJ340">
        <v>336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ROW(Source!A118)</f>
        <v>118</v>
      </c>
      <c r="B341">
        <v>16784647</v>
      </c>
      <c r="C341">
        <v>16784645</v>
      </c>
      <c r="D341">
        <v>15430767</v>
      </c>
      <c r="E341">
        <v>1</v>
      </c>
      <c r="F341">
        <v>1</v>
      </c>
      <c r="G341">
        <v>1</v>
      </c>
      <c r="H341">
        <v>1</v>
      </c>
      <c r="I341" t="s">
        <v>527</v>
      </c>
      <c r="J341" t="s">
        <v>6</v>
      </c>
      <c r="K341" t="s">
        <v>528</v>
      </c>
      <c r="L341">
        <v>1191</v>
      </c>
      <c r="N341">
        <v>1013</v>
      </c>
      <c r="O341" t="s">
        <v>495</v>
      </c>
      <c r="P341" t="s">
        <v>495</v>
      </c>
      <c r="Q341">
        <v>1</v>
      </c>
      <c r="X341">
        <v>6.84</v>
      </c>
      <c r="Y341">
        <v>0</v>
      </c>
      <c r="Z341">
        <v>0</v>
      </c>
      <c r="AA341">
        <v>0</v>
      </c>
      <c r="AB341">
        <v>8.5299999999999994</v>
      </c>
      <c r="AC341">
        <v>0</v>
      </c>
      <c r="AD341">
        <v>1</v>
      </c>
      <c r="AE341">
        <v>1</v>
      </c>
      <c r="AF341" t="s">
        <v>6</v>
      </c>
      <c r="AG341">
        <v>6.84</v>
      </c>
      <c r="AH341">
        <v>2</v>
      </c>
      <c r="AI341">
        <v>16784646</v>
      </c>
      <c r="AJ341">
        <v>337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ROW(Source!A119)</f>
        <v>119</v>
      </c>
      <c r="B342">
        <v>16784647</v>
      </c>
      <c r="C342">
        <v>16784645</v>
      </c>
      <c r="D342">
        <v>15430767</v>
      </c>
      <c r="E342">
        <v>1</v>
      </c>
      <c r="F342">
        <v>1</v>
      </c>
      <c r="G342">
        <v>1</v>
      </c>
      <c r="H342">
        <v>1</v>
      </c>
      <c r="I342" t="s">
        <v>527</v>
      </c>
      <c r="J342" t="s">
        <v>6</v>
      </c>
      <c r="K342" t="s">
        <v>528</v>
      </c>
      <c r="L342">
        <v>1191</v>
      </c>
      <c r="N342">
        <v>1013</v>
      </c>
      <c r="O342" t="s">
        <v>495</v>
      </c>
      <c r="P342" t="s">
        <v>495</v>
      </c>
      <c r="Q342">
        <v>1</v>
      </c>
      <c r="X342">
        <v>6.84</v>
      </c>
      <c r="Y342">
        <v>0</v>
      </c>
      <c r="Z342">
        <v>0</v>
      </c>
      <c r="AA342">
        <v>0</v>
      </c>
      <c r="AB342">
        <v>8.5299999999999994</v>
      </c>
      <c r="AC342">
        <v>0</v>
      </c>
      <c r="AD342">
        <v>1</v>
      </c>
      <c r="AE342">
        <v>1</v>
      </c>
      <c r="AF342" t="s">
        <v>6</v>
      </c>
      <c r="AG342">
        <v>6.84</v>
      </c>
      <c r="AH342">
        <v>2</v>
      </c>
      <c r="AI342">
        <v>16784646</v>
      </c>
      <c r="AJ342">
        <v>338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ROW(Source!A120)</f>
        <v>120</v>
      </c>
      <c r="B343">
        <v>16784654</v>
      </c>
      <c r="C343">
        <v>16784648</v>
      </c>
      <c r="D343">
        <v>15430497</v>
      </c>
      <c r="E343">
        <v>1</v>
      </c>
      <c r="F343">
        <v>1</v>
      </c>
      <c r="G343">
        <v>1</v>
      </c>
      <c r="H343">
        <v>1</v>
      </c>
      <c r="I343" t="s">
        <v>634</v>
      </c>
      <c r="J343" t="s">
        <v>6</v>
      </c>
      <c r="K343" t="s">
        <v>635</v>
      </c>
      <c r="L343">
        <v>1191</v>
      </c>
      <c r="N343">
        <v>1013</v>
      </c>
      <c r="O343" t="s">
        <v>495</v>
      </c>
      <c r="P343" t="s">
        <v>495</v>
      </c>
      <c r="Q343">
        <v>1</v>
      </c>
      <c r="X343">
        <v>315.01</v>
      </c>
      <c r="Y343">
        <v>0</v>
      </c>
      <c r="Z343">
        <v>0</v>
      </c>
      <c r="AA343">
        <v>0</v>
      </c>
      <c r="AB343">
        <v>8.86</v>
      </c>
      <c r="AC343">
        <v>0</v>
      </c>
      <c r="AD343">
        <v>1</v>
      </c>
      <c r="AE343">
        <v>1</v>
      </c>
      <c r="AF343" t="s">
        <v>28</v>
      </c>
      <c r="AG343">
        <v>362.26149999999996</v>
      </c>
      <c r="AH343">
        <v>2</v>
      </c>
      <c r="AI343">
        <v>16784649</v>
      </c>
      <c r="AJ343">
        <v>339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ROW(Source!A120)</f>
        <v>120</v>
      </c>
      <c r="B344">
        <v>16784655</v>
      </c>
      <c r="C344">
        <v>16784648</v>
      </c>
      <c r="D344">
        <v>15430395</v>
      </c>
      <c r="E344">
        <v>1</v>
      </c>
      <c r="F344">
        <v>1</v>
      </c>
      <c r="G344">
        <v>1</v>
      </c>
      <c r="H344">
        <v>1</v>
      </c>
      <c r="I344" t="s">
        <v>496</v>
      </c>
      <c r="J344" t="s">
        <v>6</v>
      </c>
      <c r="K344" t="s">
        <v>497</v>
      </c>
      <c r="L344">
        <v>1191</v>
      </c>
      <c r="N344">
        <v>1013</v>
      </c>
      <c r="O344" t="s">
        <v>495</v>
      </c>
      <c r="P344" t="s">
        <v>495</v>
      </c>
      <c r="Q344">
        <v>1</v>
      </c>
      <c r="X344">
        <v>0.62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27</v>
      </c>
      <c r="AG344">
        <v>0.77500000000000002</v>
      </c>
      <c r="AH344">
        <v>2</v>
      </c>
      <c r="AI344">
        <v>16784650</v>
      </c>
      <c r="AJ344">
        <v>340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ROW(Source!A120)</f>
        <v>120</v>
      </c>
      <c r="B345">
        <v>16784656</v>
      </c>
      <c r="C345">
        <v>16784648</v>
      </c>
      <c r="D345">
        <v>15247680</v>
      </c>
      <c r="E345">
        <v>1</v>
      </c>
      <c r="F345">
        <v>1</v>
      </c>
      <c r="G345">
        <v>1</v>
      </c>
      <c r="H345">
        <v>2</v>
      </c>
      <c r="I345" t="s">
        <v>537</v>
      </c>
      <c r="J345" t="s">
        <v>538</v>
      </c>
      <c r="K345" t="s">
        <v>539</v>
      </c>
      <c r="L345">
        <v>1368</v>
      </c>
      <c r="N345">
        <v>1011</v>
      </c>
      <c r="O345" t="s">
        <v>501</v>
      </c>
      <c r="P345" t="s">
        <v>501</v>
      </c>
      <c r="Q345">
        <v>1</v>
      </c>
      <c r="X345">
        <v>0.25</v>
      </c>
      <c r="Y345">
        <v>0</v>
      </c>
      <c r="Z345">
        <v>111.99</v>
      </c>
      <c r="AA345">
        <v>13.5</v>
      </c>
      <c r="AB345">
        <v>0</v>
      </c>
      <c r="AC345">
        <v>0</v>
      </c>
      <c r="AD345">
        <v>1</v>
      </c>
      <c r="AE345">
        <v>0</v>
      </c>
      <c r="AF345" t="s">
        <v>27</v>
      </c>
      <c r="AG345">
        <v>0.3125</v>
      </c>
      <c r="AH345">
        <v>2</v>
      </c>
      <c r="AI345">
        <v>16784651</v>
      </c>
      <c r="AJ345">
        <v>341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ROW(Source!A120)</f>
        <v>120</v>
      </c>
      <c r="B346">
        <v>16784657</v>
      </c>
      <c r="C346">
        <v>16784648</v>
      </c>
      <c r="D346">
        <v>15249073</v>
      </c>
      <c r="E346">
        <v>1</v>
      </c>
      <c r="F346">
        <v>1</v>
      </c>
      <c r="G346">
        <v>1</v>
      </c>
      <c r="H346">
        <v>2</v>
      </c>
      <c r="I346" t="s">
        <v>504</v>
      </c>
      <c r="J346" t="s">
        <v>505</v>
      </c>
      <c r="K346" t="s">
        <v>506</v>
      </c>
      <c r="L346">
        <v>1368</v>
      </c>
      <c r="N346">
        <v>1011</v>
      </c>
      <c r="O346" t="s">
        <v>501</v>
      </c>
      <c r="P346" t="s">
        <v>501</v>
      </c>
      <c r="Q346">
        <v>1</v>
      </c>
      <c r="X346">
        <v>0.37</v>
      </c>
      <c r="Y346">
        <v>0</v>
      </c>
      <c r="Z346">
        <v>65.709999999999994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27</v>
      </c>
      <c r="AG346">
        <v>0.46250000000000002</v>
      </c>
      <c r="AH346">
        <v>2</v>
      </c>
      <c r="AI346">
        <v>16784652</v>
      </c>
      <c r="AJ346">
        <v>342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ROW(Source!A120)</f>
        <v>120</v>
      </c>
      <c r="B347">
        <v>16784658</v>
      </c>
      <c r="C347">
        <v>16784648</v>
      </c>
      <c r="D347">
        <v>15161862</v>
      </c>
      <c r="E347">
        <v>17</v>
      </c>
      <c r="F347">
        <v>1</v>
      </c>
      <c r="G347">
        <v>1</v>
      </c>
      <c r="H347">
        <v>3</v>
      </c>
      <c r="I347" t="s">
        <v>799</v>
      </c>
      <c r="J347" t="s">
        <v>6</v>
      </c>
      <c r="K347" t="s">
        <v>800</v>
      </c>
      <c r="L347">
        <v>1354</v>
      </c>
      <c r="N347">
        <v>1010</v>
      </c>
      <c r="O347" t="s">
        <v>277</v>
      </c>
      <c r="P347" t="s">
        <v>277</v>
      </c>
      <c r="Q347">
        <v>1</v>
      </c>
      <c r="X347">
        <v>0.01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 t="s">
        <v>6</v>
      </c>
      <c r="AG347">
        <v>0.01</v>
      </c>
      <c r="AH347">
        <v>3</v>
      </c>
      <c r="AI347">
        <v>-1</v>
      </c>
      <c r="AJ347" t="s">
        <v>6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ROW(Source!A120)</f>
        <v>120</v>
      </c>
      <c r="B348">
        <v>16784659</v>
      </c>
      <c r="C348">
        <v>16784648</v>
      </c>
      <c r="D348">
        <v>15192016</v>
      </c>
      <c r="E348">
        <v>1</v>
      </c>
      <c r="F348">
        <v>1</v>
      </c>
      <c r="G348">
        <v>1</v>
      </c>
      <c r="H348">
        <v>3</v>
      </c>
      <c r="I348" t="s">
        <v>683</v>
      </c>
      <c r="J348" t="s">
        <v>684</v>
      </c>
      <c r="K348" t="s">
        <v>685</v>
      </c>
      <c r="L348">
        <v>1348</v>
      </c>
      <c r="N348">
        <v>1009</v>
      </c>
      <c r="O348" t="s">
        <v>65</v>
      </c>
      <c r="P348" t="s">
        <v>65</v>
      </c>
      <c r="Q348">
        <v>1000</v>
      </c>
      <c r="X348">
        <v>1</v>
      </c>
      <c r="Y348">
        <v>10100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1</v>
      </c>
      <c r="AH348">
        <v>2</v>
      </c>
      <c r="AI348">
        <v>16784653</v>
      </c>
      <c r="AJ348">
        <v>343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ROW(Source!A121)</f>
        <v>121</v>
      </c>
      <c r="B349">
        <v>16784654</v>
      </c>
      <c r="C349">
        <v>16784648</v>
      </c>
      <c r="D349">
        <v>15430497</v>
      </c>
      <c r="E349">
        <v>1</v>
      </c>
      <c r="F349">
        <v>1</v>
      </c>
      <c r="G349">
        <v>1</v>
      </c>
      <c r="H349">
        <v>1</v>
      </c>
      <c r="I349" t="s">
        <v>634</v>
      </c>
      <c r="J349" t="s">
        <v>6</v>
      </c>
      <c r="K349" t="s">
        <v>635</v>
      </c>
      <c r="L349">
        <v>1191</v>
      </c>
      <c r="N349">
        <v>1013</v>
      </c>
      <c r="O349" t="s">
        <v>495</v>
      </c>
      <c r="P349" t="s">
        <v>495</v>
      </c>
      <c r="Q349">
        <v>1</v>
      </c>
      <c r="X349">
        <v>315.01</v>
      </c>
      <c r="Y349">
        <v>0</v>
      </c>
      <c r="Z349">
        <v>0</v>
      </c>
      <c r="AA349">
        <v>0</v>
      </c>
      <c r="AB349">
        <v>8.86</v>
      </c>
      <c r="AC349">
        <v>0</v>
      </c>
      <c r="AD349">
        <v>1</v>
      </c>
      <c r="AE349">
        <v>1</v>
      </c>
      <c r="AF349" t="s">
        <v>28</v>
      </c>
      <c r="AG349">
        <v>362.26149999999996</v>
      </c>
      <c r="AH349">
        <v>2</v>
      </c>
      <c r="AI349">
        <v>16784649</v>
      </c>
      <c r="AJ349">
        <v>344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ROW(Source!A121)</f>
        <v>121</v>
      </c>
      <c r="B350">
        <v>16784655</v>
      </c>
      <c r="C350">
        <v>16784648</v>
      </c>
      <c r="D350">
        <v>15430395</v>
      </c>
      <c r="E350">
        <v>1</v>
      </c>
      <c r="F350">
        <v>1</v>
      </c>
      <c r="G350">
        <v>1</v>
      </c>
      <c r="H350">
        <v>1</v>
      </c>
      <c r="I350" t="s">
        <v>496</v>
      </c>
      <c r="J350" t="s">
        <v>6</v>
      </c>
      <c r="K350" t="s">
        <v>497</v>
      </c>
      <c r="L350">
        <v>1191</v>
      </c>
      <c r="N350">
        <v>1013</v>
      </c>
      <c r="O350" t="s">
        <v>495</v>
      </c>
      <c r="P350" t="s">
        <v>495</v>
      </c>
      <c r="Q350">
        <v>1</v>
      </c>
      <c r="X350">
        <v>0.62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2</v>
      </c>
      <c r="AF350" t="s">
        <v>27</v>
      </c>
      <c r="AG350">
        <v>0.77500000000000002</v>
      </c>
      <c r="AH350">
        <v>2</v>
      </c>
      <c r="AI350">
        <v>16784650</v>
      </c>
      <c r="AJ350">
        <v>345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ROW(Source!A121)</f>
        <v>121</v>
      </c>
      <c r="B351">
        <v>16784656</v>
      </c>
      <c r="C351">
        <v>16784648</v>
      </c>
      <c r="D351">
        <v>15247680</v>
      </c>
      <c r="E351">
        <v>1</v>
      </c>
      <c r="F351">
        <v>1</v>
      </c>
      <c r="G351">
        <v>1</v>
      </c>
      <c r="H351">
        <v>2</v>
      </c>
      <c r="I351" t="s">
        <v>537</v>
      </c>
      <c r="J351" t="s">
        <v>538</v>
      </c>
      <c r="K351" t="s">
        <v>539</v>
      </c>
      <c r="L351">
        <v>1368</v>
      </c>
      <c r="N351">
        <v>1011</v>
      </c>
      <c r="O351" t="s">
        <v>501</v>
      </c>
      <c r="P351" t="s">
        <v>501</v>
      </c>
      <c r="Q351">
        <v>1</v>
      </c>
      <c r="X351">
        <v>0.25</v>
      </c>
      <c r="Y351">
        <v>0</v>
      </c>
      <c r="Z351">
        <v>111.99</v>
      </c>
      <c r="AA351">
        <v>13.5</v>
      </c>
      <c r="AB351">
        <v>0</v>
      </c>
      <c r="AC351">
        <v>0</v>
      </c>
      <c r="AD351">
        <v>1</v>
      </c>
      <c r="AE351">
        <v>0</v>
      </c>
      <c r="AF351" t="s">
        <v>27</v>
      </c>
      <c r="AG351">
        <v>0.3125</v>
      </c>
      <c r="AH351">
        <v>2</v>
      </c>
      <c r="AI351">
        <v>16784651</v>
      </c>
      <c r="AJ351">
        <v>346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ROW(Source!A121)</f>
        <v>121</v>
      </c>
      <c r="B352">
        <v>16784657</v>
      </c>
      <c r="C352">
        <v>16784648</v>
      </c>
      <c r="D352">
        <v>15249073</v>
      </c>
      <c r="E352">
        <v>1</v>
      </c>
      <c r="F352">
        <v>1</v>
      </c>
      <c r="G352">
        <v>1</v>
      </c>
      <c r="H352">
        <v>2</v>
      </c>
      <c r="I352" t="s">
        <v>504</v>
      </c>
      <c r="J352" t="s">
        <v>505</v>
      </c>
      <c r="K352" t="s">
        <v>506</v>
      </c>
      <c r="L352">
        <v>1368</v>
      </c>
      <c r="N352">
        <v>1011</v>
      </c>
      <c r="O352" t="s">
        <v>501</v>
      </c>
      <c r="P352" t="s">
        <v>501</v>
      </c>
      <c r="Q352">
        <v>1</v>
      </c>
      <c r="X352">
        <v>0.37</v>
      </c>
      <c r="Y352">
        <v>0</v>
      </c>
      <c r="Z352">
        <v>65.709999999999994</v>
      </c>
      <c r="AA352">
        <v>11.6</v>
      </c>
      <c r="AB352">
        <v>0</v>
      </c>
      <c r="AC352">
        <v>0</v>
      </c>
      <c r="AD352">
        <v>1</v>
      </c>
      <c r="AE352">
        <v>0</v>
      </c>
      <c r="AF352" t="s">
        <v>27</v>
      </c>
      <c r="AG352">
        <v>0.46250000000000002</v>
      </c>
      <c r="AH352">
        <v>2</v>
      </c>
      <c r="AI352">
        <v>16784652</v>
      </c>
      <c r="AJ352">
        <v>347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ROW(Source!A121)</f>
        <v>121</v>
      </c>
      <c r="B353">
        <v>16784658</v>
      </c>
      <c r="C353">
        <v>16784648</v>
      </c>
      <c r="D353">
        <v>15161862</v>
      </c>
      <c r="E353">
        <v>17</v>
      </c>
      <c r="F353">
        <v>1</v>
      </c>
      <c r="G353">
        <v>1</v>
      </c>
      <c r="H353">
        <v>3</v>
      </c>
      <c r="I353" t="s">
        <v>799</v>
      </c>
      <c r="J353" t="s">
        <v>6</v>
      </c>
      <c r="K353" t="s">
        <v>800</v>
      </c>
      <c r="L353">
        <v>1354</v>
      </c>
      <c r="N353">
        <v>1010</v>
      </c>
      <c r="O353" t="s">
        <v>277</v>
      </c>
      <c r="P353" t="s">
        <v>277</v>
      </c>
      <c r="Q353">
        <v>1</v>
      </c>
      <c r="X353">
        <v>0.01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 t="s">
        <v>6</v>
      </c>
      <c r="AG353">
        <v>0.01</v>
      </c>
      <c r="AH353">
        <v>3</v>
      </c>
      <c r="AI353">
        <v>-1</v>
      </c>
      <c r="AJ353" t="s">
        <v>6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ROW(Source!A121)</f>
        <v>121</v>
      </c>
      <c r="B354">
        <v>16784659</v>
      </c>
      <c r="C354">
        <v>16784648</v>
      </c>
      <c r="D354">
        <v>15192016</v>
      </c>
      <c r="E354">
        <v>1</v>
      </c>
      <c r="F354">
        <v>1</v>
      </c>
      <c r="G354">
        <v>1</v>
      </c>
      <c r="H354">
        <v>3</v>
      </c>
      <c r="I354" t="s">
        <v>683</v>
      </c>
      <c r="J354" t="s">
        <v>684</v>
      </c>
      <c r="K354" t="s">
        <v>685</v>
      </c>
      <c r="L354">
        <v>1348</v>
      </c>
      <c r="N354">
        <v>1009</v>
      </c>
      <c r="O354" t="s">
        <v>65</v>
      </c>
      <c r="P354" t="s">
        <v>65</v>
      </c>
      <c r="Q354">
        <v>1000</v>
      </c>
      <c r="X354">
        <v>1</v>
      </c>
      <c r="Y354">
        <v>10100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</v>
      </c>
      <c r="AG354">
        <v>1</v>
      </c>
      <c r="AH354">
        <v>2</v>
      </c>
      <c r="AI354">
        <v>16784653</v>
      </c>
      <c r="AJ354">
        <v>348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ROW(Source!A126)</f>
        <v>126</v>
      </c>
      <c r="B355">
        <v>16784676</v>
      </c>
      <c r="C355">
        <v>16784662</v>
      </c>
      <c r="D355">
        <v>15446300</v>
      </c>
      <c r="E355">
        <v>1</v>
      </c>
      <c r="F355">
        <v>1</v>
      </c>
      <c r="G355">
        <v>1</v>
      </c>
      <c r="H355">
        <v>1</v>
      </c>
      <c r="I355" t="s">
        <v>686</v>
      </c>
      <c r="J355" t="s">
        <v>6</v>
      </c>
      <c r="K355" t="s">
        <v>687</v>
      </c>
      <c r="L355">
        <v>1191</v>
      </c>
      <c r="N355">
        <v>1013</v>
      </c>
      <c r="O355" t="s">
        <v>495</v>
      </c>
      <c r="P355" t="s">
        <v>495</v>
      </c>
      <c r="Q355">
        <v>1</v>
      </c>
      <c r="X355">
        <v>276.8</v>
      </c>
      <c r="Y355">
        <v>0</v>
      </c>
      <c r="Z355">
        <v>0</v>
      </c>
      <c r="AA355">
        <v>0</v>
      </c>
      <c r="AB355">
        <v>9.92</v>
      </c>
      <c r="AC355">
        <v>0</v>
      </c>
      <c r="AD355">
        <v>1</v>
      </c>
      <c r="AE355">
        <v>1</v>
      </c>
      <c r="AF355" t="s">
        <v>6</v>
      </c>
      <c r="AG355">
        <v>276.8</v>
      </c>
      <c r="AH355">
        <v>2</v>
      </c>
      <c r="AI355">
        <v>16784663</v>
      </c>
      <c r="AJ355">
        <v>349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ROW(Source!A126)</f>
        <v>126</v>
      </c>
      <c r="B356">
        <v>16784677</v>
      </c>
      <c r="C356">
        <v>16784662</v>
      </c>
      <c r="D356">
        <v>15430395</v>
      </c>
      <c r="E356">
        <v>1</v>
      </c>
      <c r="F356">
        <v>1</v>
      </c>
      <c r="G356">
        <v>1</v>
      </c>
      <c r="H356">
        <v>1</v>
      </c>
      <c r="I356" t="s">
        <v>496</v>
      </c>
      <c r="J356" t="s">
        <v>6</v>
      </c>
      <c r="K356" t="s">
        <v>497</v>
      </c>
      <c r="L356">
        <v>1191</v>
      </c>
      <c r="N356">
        <v>1013</v>
      </c>
      <c r="O356" t="s">
        <v>495</v>
      </c>
      <c r="P356" t="s">
        <v>495</v>
      </c>
      <c r="Q356">
        <v>1</v>
      </c>
      <c r="X356">
        <v>2.4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2</v>
      </c>
      <c r="AF356" t="s">
        <v>6</v>
      </c>
      <c r="AG356">
        <v>2.4</v>
      </c>
      <c r="AH356">
        <v>2</v>
      </c>
      <c r="AI356">
        <v>16784664</v>
      </c>
      <c r="AJ356">
        <v>350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ROW(Source!A126)</f>
        <v>126</v>
      </c>
      <c r="B357">
        <v>16784678</v>
      </c>
      <c r="C357">
        <v>16784662</v>
      </c>
      <c r="D357">
        <v>15247680</v>
      </c>
      <c r="E357">
        <v>1</v>
      </c>
      <c r="F357">
        <v>1</v>
      </c>
      <c r="G357">
        <v>1</v>
      </c>
      <c r="H357">
        <v>2</v>
      </c>
      <c r="I357" t="s">
        <v>537</v>
      </c>
      <c r="J357" t="s">
        <v>538</v>
      </c>
      <c r="K357" t="s">
        <v>539</v>
      </c>
      <c r="L357">
        <v>1368</v>
      </c>
      <c r="N357">
        <v>1011</v>
      </c>
      <c r="O357" t="s">
        <v>501</v>
      </c>
      <c r="P357" t="s">
        <v>501</v>
      </c>
      <c r="Q357">
        <v>1</v>
      </c>
      <c r="X357">
        <v>1.2</v>
      </c>
      <c r="Y357">
        <v>0</v>
      </c>
      <c r="Z357">
        <v>111.99</v>
      </c>
      <c r="AA357">
        <v>13.5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1.2</v>
      </c>
      <c r="AH357">
        <v>2</v>
      </c>
      <c r="AI357">
        <v>16784665</v>
      </c>
      <c r="AJ357">
        <v>351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ROW(Source!A126)</f>
        <v>126</v>
      </c>
      <c r="B358">
        <v>16784679</v>
      </c>
      <c r="C358">
        <v>16784662</v>
      </c>
      <c r="D358">
        <v>15249073</v>
      </c>
      <c r="E358">
        <v>1</v>
      </c>
      <c r="F358">
        <v>1</v>
      </c>
      <c r="G358">
        <v>1</v>
      </c>
      <c r="H358">
        <v>2</v>
      </c>
      <c r="I358" t="s">
        <v>504</v>
      </c>
      <c r="J358" t="s">
        <v>505</v>
      </c>
      <c r="K358" t="s">
        <v>506</v>
      </c>
      <c r="L358">
        <v>1368</v>
      </c>
      <c r="N358">
        <v>1011</v>
      </c>
      <c r="O358" t="s">
        <v>501</v>
      </c>
      <c r="P358" t="s">
        <v>501</v>
      </c>
      <c r="Q358">
        <v>1</v>
      </c>
      <c r="X358">
        <v>1.2</v>
      </c>
      <c r="Y358">
        <v>0</v>
      </c>
      <c r="Z358">
        <v>65.709999999999994</v>
      </c>
      <c r="AA358">
        <v>11.6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1.2</v>
      </c>
      <c r="AH358">
        <v>2</v>
      </c>
      <c r="AI358">
        <v>16784666</v>
      </c>
      <c r="AJ358">
        <v>352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ROW(Source!A126)</f>
        <v>126</v>
      </c>
      <c r="B359">
        <v>16784680</v>
      </c>
      <c r="C359">
        <v>16784662</v>
      </c>
      <c r="D359">
        <v>15249377</v>
      </c>
      <c r="E359">
        <v>1</v>
      </c>
      <c r="F359">
        <v>1</v>
      </c>
      <c r="G359">
        <v>1</v>
      </c>
      <c r="H359">
        <v>2</v>
      </c>
      <c r="I359" t="s">
        <v>688</v>
      </c>
      <c r="J359" t="s">
        <v>689</v>
      </c>
      <c r="K359" t="s">
        <v>690</v>
      </c>
      <c r="L359">
        <v>1368</v>
      </c>
      <c r="N359">
        <v>1011</v>
      </c>
      <c r="O359" t="s">
        <v>501</v>
      </c>
      <c r="P359" t="s">
        <v>501</v>
      </c>
      <c r="Q359">
        <v>1</v>
      </c>
      <c r="X359">
        <v>1.1399999999999999</v>
      </c>
      <c r="Y359">
        <v>0</v>
      </c>
      <c r="Z359">
        <v>8.1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1.1399999999999999</v>
      </c>
      <c r="AH359">
        <v>2</v>
      </c>
      <c r="AI359">
        <v>16784667</v>
      </c>
      <c r="AJ359">
        <v>353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ROW(Source!A126)</f>
        <v>126</v>
      </c>
      <c r="B360">
        <v>16784681</v>
      </c>
      <c r="C360">
        <v>16784662</v>
      </c>
      <c r="D360">
        <v>15167588</v>
      </c>
      <c r="E360">
        <v>1</v>
      </c>
      <c r="F360">
        <v>1</v>
      </c>
      <c r="G360">
        <v>1</v>
      </c>
      <c r="H360">
        <v>3</v>
      </c>
      <c r="I360" t="s">
        <v>691</v>
      </c>
      <c r="J360" t="s">
        <v>692</v>
      </c>
      <c r="K360" t="s">
        <v>693</v>
      </c>
      <c r="L360">
        <v>1346</v>
      </c>
      <c r="N360">
        <v>1009</v>
      </c>
      <c r="O360" t="s">
        <v>60</v>
      </c>
      <c r="P360" t="s">
        <v>60</v>
      </c>
      <c r="Q360">
        <v>1</v>
      </c>
      <c r="X360">
        <v>0.42</v>
      </c>
      <c r="Y360">
        <v>30.4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0.42</v>
      </c>
      <c r="AH360">
        <v>2</v>
      </c>
      <c r="AI360">
        <v>16784668</v>
      </c>
      <c r="AJ360">
        <v>354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ROW(Source!A126)</f>
        <v>126</v>
      </c>
      <c r="B361">
        <v>16784682</v>
      </c>
      <c r="C361">
        <v>16784662</v>
      </c>
      <c r="D361">
        <v>15167600</v>
      </c>
      <c r="E361">
        <v>1</v>
      </c>
      <c r="F361">
        <v>1</v>
      </c>
      <c r="G361">
        <v>1</v>
      </c>
      <c r="H361">
        <v>3</v>
      </c>
      <c r="I361" t="s">
        <v>694</v>
      </c>
      <c r="J361" t="s">
        <v>695</v>
      </c>
      <c r="K361" t="s">
        <v>696</v>
      </c>
      <c r="L361">
        <v>1308</v>
      </c>
      <c r="N361">
        <v>1003</v>
      </c>
      <c r="O361" t="s">
        <v>40</v>
      </c>
      <c r="P361" t="s">
        <v>40</v>
      </c>
      <c r="Q361">
        <v>100</v>
      </c>
      <c r="X361">
        <v>0.1</v>
      </c>
      <c r="Y361">
        <v>120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0.1</v>
      </c>
      <c r="AH361">
        <v>2</v>
      </c>
      <c r="AI361">
        <v>16784669</v>
      </c>
      <c r="AJ361">
        <v>355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ROW(Source!A126)</f>
        <v>126</v>
      </c>
      <c r="B362">
        <v>16784683</v>
      </c>
      <c r="C362">
        <v>16784662</v>
      </c>
      <c r="D362">
        <v>15168752</v>
      </c>
      <c r="E362">
        <v>1</v>
      </c>
      <c r="F362">
        <v>1</v>
      </c>
      <c r="G362">
        <v>1</v>
      </c>
      <c r="H362">
        <v>3</v>
      </c>
      <c r="I362" t="s">
        <v>697</v>
      </c>
      <c r="J362" t="s">
        <v>698</v>
      </c>
      <c r="K362" t="s">
        <v>699</v>
      </c>
      <c r="L362">
        <v>1346</v>
      </c>
      <c r="N362">
        <v>1009</v>
      </c>
      <c r="O362" t="s">
        <v>60</v>
      </c>
      <c r="P362" t="s">
        <v>60</v>
      </c>
      <c r="Q362">
        <v>1</v>
      </c>
      <c r="X362">
        <v>2.1</v>
      </c>
      <c r="Y362">
        <v>10.57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2.1</v>
      </c>
      <c r="AH362">
        <v>2</v>
      </c>
      <c r="AI362">
        <v>16784670</v>
      </c>
      <c r="AJ362">
        <v>356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ROW(Source!A126)</f>
        <v>126</v>
      </c>
      <c r="B363">
        <v>16784684</v>
      </c>
      <c r="C363">
        <v>16784662</v>
      </c>
      <c r="D363">
        <v>15169942</v>
      </c>
      <c r="E363">
        <v>1</v>
      </c>
      <c r="F363">
        <v>1</v>
      </c>
      <c r="G363">
        <v>1</v>
      </c>
      <c r="H363">
        <v>3</v>
      </c>
      <c r="I363" t="s">
        <v>700</v>
      </c>
      <c r="J363" t="s">
        <v>701</v>
      </c>
      <c r="K363" t="s">
        <v>560</v>
      </c>
      <c r="L363">
        <v>1346</v>
      </c>
      <c r="N363">
        <v>1009</v>
      </c>
      <c r="O363" t="s">
        <v>60</v>
      </c>
      <c r="P363" t="s">
        <v>60</v>
      </c>
      <c r="Q363">
        <v>1</v>
      </c>
      <c r="X363">
        <v>10.4</v>
      </c>
      <c r="Y363">
        <v>9.0399999999999991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10.4</v>
      </c>
      <c r="AH363">
        <v>2</v>
      </c>
      <c r="AI363">
        <v>16784671</v>
      </c>
      <c r="AJ363">
        <v>357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ROW(Source!A126)</f>
        <v>126</v>
      </c>
      <c r="B364">
        <v>16784685</v>
      </c>
      <c r="C364">
        <v>16784662</v>
      </c>
      <c r="D364">
        <v>15191488</v>
      </c>
      <c r="E364">
        <v>1</v>
      </c>
      <c r="F364">
        <v>1</v>
      </c>
      <c r="G364">
        <v>1</v>
      </c>
      <c r="H364">
        <v>3</v>
      </c>
      <c r="I364" t="s">
        <v>702</v>
      </c>
      <c r="J364" t="s">
        <v>703</v>
      </c>
      <c r="K364" t="s">
        <v>704</v>
      </c>
      <c r="L364">
        <v>1348</v>
      </c>
      <c r="N364">
        <v>1009</v>
      </c>
      <c r="O364" t="s">
        <v>65</v>
      </c>
      <c r="P364" t="s">
        <v>65</v>
      </c>
      <c r="Q364">
        <v>1000</v>
      </c>
      <c r="X364">
        <v>0.15</v>
      </c>
      <c r="Y364">
        <v>5000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0.15</v>
      </c>
      <c r="AH364">
        <v>2</v>
      </c>
      <c r="AI364">
        <v>16784672</v>
      </c>
      <c r="AJ364">
        <v>358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ROW(Source!A126)</f>
        <v>126</v>
      </c>
      <c r="B365">
        <v>16784686</v>
      </c>
      <c r="C365">
        <v>16784662</v>
      </c>
      <c r="D365">
        <v>15203834</v>
      </c>
      <c r="E365">
        <v>1</v>
      </c>
      <c r="F365">
        <v>1</v>
      </c>
      <c r="G365">
        <v>1</v>
      </c>
      <c r="H365">
        <v>3</v>
      </c>
      <c r="I365" t="s">
        <v>705</v>
      </c>
      <c r="J365" t="s">
        <v>706</v>
      </c>
      <c r="K365" t="s">
        <v>707</v>
      </c>
      <c r="L365">
        <v>1346</v>
      </c>
      <c r="N365">
        <v>1009</v>
      </c>
      <c r="O365" t="s">
        <v>60</v>
      </c>
      <c r="P365" t="s">
        <v>60</v>
      </c>
      <c r="Q365">
        <v>1</v>
      </c>
      <c r="X365">
        <v>3</v>
      </c>
      <c r="Y365">
        <v>28.6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6</v>
      </c>
      <c r="AG365">
        <v>3</v>
      </c>
      <c r="AH365">
        <v>2</v>
      </c>
      <c r="AI365">
        <v>16784673</v>
      </c>
      <c r="AJ365">
        <v>359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ROW(Source!A126)</f>
        <v>126</v>
      </c>
      <c r="B366">
        <v>16784687</v>
      </c>
      <c r="C366">
        <v>16784662</v>
      </c>
      <c r="D366">
        <v>15164559</v>
      </c>
      <c r="E366">
        <v>17</v>
      </c>
      <c r="F366">
        <v>1</v>
      </c>
      <c r="G366">
        <v>1</v>
      </c>
      <c r="H366">
        <v>3</v>
      </c>
      <c r="I366" t="s">
        <v>708</v>
      </c>
      <c r="J366" t="s">
        <v>6</v>
      </c>
      <c r="K366" t="s">
        <v>709</v>
      </c>
      <c r="L366">
        <v>1374</v>
      </c>
      <c r="N366">
        <v>1013</v>
      </c>
      <c r="O366" t="s">
        <v>710</v>
      </c>
      <c r="P366" t="s">
        <v>710</v>
      </c>
      <c r="Q366">
        <v>1</v>
      </c>
      <c r="X366">
        <v>54.92</v>
      </c>
      <c r="Y366">
        <v>1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6</v>
      </c>
      <c r="AG366">
        <v>54.92</v>
      </c>
      <c r="AH366">
        <v>2</v>
      </c>
      <c r="AI366">
        <v>16784674</v>
      </c>
      <c r="AJ366">
        <v>361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ROW(Source!A127)</f>
        <v>127</v>
      </c>
      <c r="B367">
        <v>16784676</v>
      </c>
      <c r="C367">
        <v>16784662</v>
      </c>
      <c r="D367">
        <v>15446300</v>
      </c>
      <c r="E367">
        <v>1</v>
      </c>
      <c r="F367">
        <v>1</v>
      </c>
      <c r="G367">
        <v>1</v>
      </c>
      <c r="H367">
        <v>1</v>
      </c>
      <c r="I367" t="s">
        <v>686</v>
      </c>
      <c r="J367" t="s">
        <v>6</v>
      </c>
      <c r="K367" t="s">
        <v>687</v>
      </c>
      <c r="L367">
        <v>1191</v>
      </c>
      <c r="N367">
        <v>1013</v>
      </c>
      <c r="O367" t="s">
        <v>495</v>
      </c>
      <c r="P367" t="s">
        <v>495</v>
      </c>
      <c r="Q367">
        <v>1</v>
      </c>
      <c r="X367">
        <v>276.8</v>
      </c>
      <c r="Y367">
        <v>0</v>
      </c>
      <c r="Z367">
        <v>0</v>
      </c>
      <c r="AA367">
        <v>0</v>
      </c>
      <c r="AB367">
        <v>9.92</v>
      </c>
      <c r="AC367">
        <v>0</v>
      </c>
      <c r="AD367">
        <v>1</v>
      </c>
      <c r="AE367">
        <v>1</v>
      </c>
      <c r="AF367" t="s">
        <v>6</v>
      </c>
      <c r="AG367">
        <v>276.8</v>
      </c>
      <c r="AH367">
        <v>2</v>
      </c>
      <c r="AI367">
        <v>16784663</v>
      </c>
      <c r="AJ367">
        <v>362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ROW(Source!A127)</f>
        <v>127</v>
      </c>
      <c r="B368">
        <v>16784677</v>
      </c>
      <c r="C368">
        <v>16784662</v>
      </c>
      <c r="D368">
        <v>15430395</v>
      </c>
      <c r="E368">
        <v>1</v>
      </c>
      <c r="F368">
        <v>1</v>
      </c>
      <c r="G368">
        <v>1</v>
      </c>
      <c r="H368">
        <v>1</v>
      </c>
      <c r="I368" t="s">
        <v>496</v>
      </c>
      <c r="J368" t="s">
        <v>6</v>
      </c>
      <c r="K368" t="s">
        <v>497</v>
      </c>
      <c r="L368">
        <v>1191</v>
      </c>
      <c r="N368">
        <v>1013</v>
      </c>
      <c r="O368" t="s">
        <v>495</v>
      </c>
      <c r="P368" t="s">
        <v>495</v>
      </c>
      <c r="Q368">
        <v>1</v>
      </c>
      <c r="X368">
        <v>2.4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2</v>
      </c>
      <c r="AF368" t="s">
        <v>6</v>
      </c>
      <c r="AG368">
        <v>2.4</v>
      </c>
      <c r="AH368">
        <v>2</v>
      </c>
      <c r="AI368">
        <v>16784664</v>
      </c>
      <c r="AJ368">
        <v>363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ROW(Source!A127)</f>
        <v>127</v>
      </c>
      <c r="B369">
        <v>16784678</v>
      </c>
      <c r="C369">
        <v>16784662</v>
      </c>
      <c r="D369">
        <v>15247680</v>
      </c>
      <c r="E369">
        <v>1</v>
      </c>
      <c r="F369">
        <v>1</v>
      </c>
      <c r="G369">
        <v>1</v>
      </c>
      <c r="H369">
        <v>2</v>
      </c>
      <c r="I369" t="s">
        <v>537</v>
      </c>
      <c r="J369" t="s">
        <v>538</v>
      </c>
      <c r="K369" t="s">
        <v>539</v>
      </c>
      <c r="L369">
        <v>1368</v>
      </c>
      <c r="N369">
        <v>1011</v>
      </c>
      <c r="O369" t="s">
        <v>501</v>
      </c>
      <c r="P369" t="s">
        <v>501</v>
      </c>
      <c r="Q369">
        <v>1</v>
      </c>
      <c r="X369">
        <v>1.2</v>
      </c>
      <c r="Y369">
        <v>0</v>
      </c>
      <c r="Z369">
        <v>111.99</v>
      </c>
      <c r="AA369">
        <v>13.5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1.2</v>
      </c>
      <c r="AH369">
        <v>2</v>
      </c>
      <c r="AI369">
        <v>16784665</v>
      </c>
      <c r="AJ369">
        <v>364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ROW(Source!A127)</f>
        <v>127</v>
      </c>
      <c r="B370">
        <v>16784679</v>
      </c>
      <c r="C370">
        <v>16784662</v>
      </c>
      <c r="D370">
        <v>15249073</v>
      </c>
      <c r="E370">
        <v>1</v>
      </c>
      <c r="F370">
        <v>1</v>
      </c>
      <c r="G370">
        <v>1</v>
      </c>
      <c r="H370">
        <v>2</v>
      </c>
      <c r="I370" t="s">
        <v>504</v>
      </c>
      <c r="J370" t="s">
        <v>505</v>
      </c>
      <c r="K370" t="s">
        <v>506</v>
      </c>
      <c r="L370">
        <v>1368</v>
      </c>
      <c r="N370">
        <v>1011</v>
      </c>
      <c r="O370" t="s">
        <v>501</v>
      </c>
      <c r="P370" t="s">
        <v>501</v>
      </c>
      <c r="Q370">
        <v>1</v>
      </c>
      <c r="X370">
        <v>1.2</v>
      </c>
      <c r="Y370">
        <v>0</v>
      </c>
      <c r="Z370">
        <v>65.709999999999994</v>
      </c>
      <c r="AA370">
        <v>11.6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1.2</v>
      </c>
      <c r="AH370">
        <v>2</v>
      </c>
      <c r="AI370">
        <v>16784666</v>
      </c>
      <c r="AJ370">
        <v>365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ROW(Source!A127)</f>
        <v>127</v>
      </c>
      <c r="B371">
        <v>16784680</v>
      </c>
      <c r="C371">
        <v>16784662</v>
      </c>
      <c r="D371">
        <v>15249377</v>
      </c>
      <c r="E371">
        <v>1</v>
      </c>
      <c r="F371">
        <v>1</v>
      </c>
      <c r="G371">
        <v>1</v>
      </c>
      <c r="H371">
        <v>2</v>
      </c>
      <c r="I371" t="s">
        <v>688</v>
      </c>
      <c r="J371" t="s">
        <v>689</v>
      </c>
      <c r="K371" t="s">
        <v>690</v>
      </c>
      <c r="L371">
        <v>1368</v>
      </c>
      <c r="N371">
        <v>1011</v>
      </c>
      <c r="O371" t="s">
        <v>501</v>
      </c>
      <c r="P371" t="s">
        <v>501</v>
      </c>
      <c r="Q371">
        <v>1</v>
      </c>
      <c r="X371">
        <v>1.1399999999999999</v>
      </c>
      <c r="Y371">
        <v>0</v>
      </c>
      <c r="Z371">
        <v>8.1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6</v>
      </c>
      <c r="AG371">
        <v>1.1399999999999999</v>
      </c>
      <c r="AH371">
        <v>2</v>
      </c>
      <c r="AI371">
        <v>16784667</v>
      </c>
      <c r="AJ371">
        <v>366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ROW(Source!A127)</f>
        <v>127</v>
      </c>
      <c r="B372">
        <v>16784681</v>
      </c>
      <c r="C372">
        <v>16784662</v>
      </c>
      <c r="D372">
        <v>15167588</v>
      </c>
      <c r="E372">
        <v>1</v>
      </c>
      <c r="F372">
        <v>1</v>
      </c>
      <c r="G372">
        <v>1</v>
      </c>
      <c r="H372">
        <v>3</v>
      </c>
      <c r="I372" t="s">
        <v>691</v>
      </c>
      <c r="J372" t="s">
        <v>692</v>
      </c>
      <c r="K372" t="s">
        <v>693</v>
      </c>
      <c r="L372">
        <v>1346</v>
      </c>
      <c r="N372">
        <v>1009</v>
      </c>
      <c r="O372" t="s">
        <v>60</v>
      </c>
      <c r="P372" t="s">
        <v>60</v>
      </c>
      <c r="Q372">
        <v>1</v>
      </c>
      <c r="X372">
        <v>0.42</v>
      </c>
      <c r="Y372">
        <v>30.4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0.42</v>
      </c>
      <c r="AH372">
        <v>2</v>
      </c>
      <c r="AI372">
        <v>16784668</v>
      </c>
      <c r="AJ372">
        <v>367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ROW(Source!A127)</f>
        <v>127</v>
      </c>
      <c r="B373">
        <v>16784682</v>
      </c>
      <c r="C373">
        <v>16784662</v>
      </c>
      <c r="D373">
        <v>15167600</v>
      </c>
      <c r="E373">
        <v>1</v>
      </c>
      <c r="F373">
        <v>1</v>
      </c>
      <c r="G373">
        <v>1</v>
      </c>
      <c r="H373">
        <v>3</v>
      </c>
      <c r="I373" t="s">
        <v>694</v>
      </c>
      <c r="J373" t="s">
        <v>695</v>
      </c>
      <c r="K373" t="s">
        <v>696</v>
      </c>
      <c r="L373">
        <v>1308</v>
      </c>
      <c r="N373">
        <v>1003</v>
      </c>
      <c r="O373" t="s">
        <v>40</v>
      </c>
      <c r="P373" t="s">
        <v>40</v>
      </c>
      <c r="Q373">
        <v>100</v>
      </c>
      <c r="X373">
        <v>0.1</v>
      </c>
      <c r="Y373">
        <v>120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0.1</v>
      </c>
      <c r="AH373">
        <v>2</v>
      </c>
      <c r="AI373">
        <v>16784669</v>
      </c>
      <c r="AJ373">
        <v>368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ROW(Source!A127)</f>
        <v>127</v>
      </c>
      <c r="B374">
        <v>16784683</v>
      </c>
      <c r="C374">
        <v>16784662</v>
      </c>
      <c r="D374">
        <v>15168752</v>
      </c>
      <c r="E374">
        <v>1</v>
      </c>
      <c r="F374">
        <v>1</v>
      </c>
      <c r="G374">
        <v>1</v>
      </c>
      <c r="H374">
        <v>3</v>
      </c>
      <c r="I374" t="s">
        <v>697</v>
      </c>
      <c r="J374" t="s">
        <v>698</v>
      </c>
      <c r="K374" t="s">
        <v>699</v>
      </c>
      <c r="L374">
        <v>1346</v>
      </c>
      <c r="N374">
        <v>1009</v>
      </c>
      <c r="O374" t="s">
        <v>60</v>
      </c>
      <c r="P374" t="s">
        <v>60</v>
      </c>
      <c r="Q374">
        <v>1</v>
      </c>
      <c r="X374">
        <v>2.1</v>
      </c>
      <c r="Y374">
        <v>10.57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2.1</v>
      </c>
      <c r="AH374">
        <v>2</v>
      </c>
      <c r="AI374">
        <v>16784670</v>
      </c>
      <c r="AJ374">
        <v>369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ROW(Source!A127)</f>
        <v>127</v>
      </c>
      <c r="B375">
        <v>16784684</v>
      </c>
      <c r="C375">
        <v>16784662</v>
      </c>
      <c r="D375">
        <v>15169942</v>
      </c>
      <c r="E375">
        <v>1</v>
      </c>
      <c r="F375">
        <v>1</v>
      </c>
      <c r="G375">
        <v>1</v>
      </c>
      <c r="H375">
        <v>3</v>
      </c>
      <c r="I375" t="s">
        <v>700</v>
      </c>
      <c r="J375" t="s">
        <v>701</v>
      </c>
      <c r="K375" t="s">
        <v>560</v>
      </c>
      <c r="L375">
        <v>1346</v>
      </c>
      <c r="N375">
        <v>1009</v>
      </c>
      <c r="O375" t="s">
        <v>60</v>
      </c>
      <c r="P375" t="s">
        <v>60</v>
      </c>
      <c r="Q375">
        <v>1</v>
      </c>
      <c r="X375">
        <v>10.4</v>
      </c>
      <c r="Y375">
        <v>9.0399999999999991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10.4</v>
      </c>
      <c r="AH375">
        <v>2</v>
      </c>
      <c r="AI375">
        <v>16784671</v>
      </c>
      <c r="AJ375">
        <v>370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ROW(Source!A127)</f>
        <v>127</v>
      </c>
      <c r="B376">
        <v>16784685</v>
      </c>
      <c r="C376">
        <v>16784662</v>
      </c>
      <c r="D376">
        <v>15191488</v>
      </c>
      <c r="E376">
        <v>1</v>
      </c>
      <c r="F376">
        <v>1</v>
      </c>
      <c r="G376">
        <v>1</v>
      </c>
      <c r="H376">
        <v>3</v>
      </c>
      <c r="I376" t="s">
        <v>702</v>
      </c>
      <c r="J376" t="s">
        <v>703</v>
      </c>
      <c r="K376" t="s">
        <v>704</v>
      </c>
      <c r="L376">
        <v>1348</v>
      </c>
      <c r="N376">
        <v>1009</v>
      </c>
      <c r="O376" t="s">
        <v>65</v>
      </c>
      <c r="P376" t="s">
        <v>65</v>
      </c>
      <c r="Q376">
        <v>1000</v>
      </c>
      <c r="X376">
        <v>0.15</v>
      </c>
      <c r="Y376">
        <v>5000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0.15</v>
      </c>
      <c r="AH376">
        <v>2</v>
      </c>
      <c r="AI376">
        <v>16784672</v>
      </c>
      <c r="AJ376">
        <v>371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ROW(Source!A127)</f>
        <v>127</v>
      </c>
      <c r="B377">
        <v>16784686</v>
      </c>
      <c r="C377">
        <v>16784662</v>
      </c>
      <c r="D377">
        <v>15203834</v>
      </c>
      <c r="E377">
        <v>1</v>
      </c>
      <c r="F377">
        <v>1</v>
      </c>
      <c r="G377">
        <v>1</v>
      </c>
      <c r="H377">
        <v>3</v>
      </c>
      <c r="I377" t="s">
        <v>705</v>
      </c>
      <c r="J377" t="s">
        <v>706</v>
      </c>
      <c r="K377" t="s">
        <v>707</v>
      </c>
      <c r="L377">
        <v>1346</v>
      </c>
      <c r="N377">
        <v>1009</v>
      </c>
      <c r="O377" t="s">
        <v>60</v>
      </c>
      <c r="P377" t="s">
        <v>60</v>
      </c>
      <c r="Q377">
        <v>1</v>
      </c>
      <c r="X377">
        <v>3</v>
      </c>
      <c r="Y377">
        <v>28.6</v>
      </c>
      <c r="Z377">
        <v>0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6</v>
      </c>
      <c r="AG377">
        <v>3</v>
      </c>
      <c r="AH377">
        <v>2</v>
      </c>
      <c r="AI377">
        <v>16784673</v>
      </c>
      <c r="AJ377">
        <v>372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ROW(Source!A127)</f>
        <v>127</v>
      </c>
      <c r="B378">
        <v>16784687</v>
      </c>
      <c r="C378">
        <v>16784662</v>
      </c>
      <c r="D378">
        <v>15164559</v>
      </c>
      <c r="E378">
        <v>17</v>
      </c>
      <c r="F378">
        <v>1</v>
      </c>
      <c r="G378">
        <v>1</v>
      </c>
      <c r="H378">
        <v>3</v>
      </c>
      <c r="I378" t="s">
        <v>708</v>
      </c>
      <c r="J378" t="s">
        <v>6</v>
      </c>
      <c r="K378" t="s">
        <v>709</v>
      </c>
      <c r="L378">
        <v>1374</v>
      </c>
      <c r="N378">
        <v>1013</v>
      </c>
      <c r="O378" t="s">
        <v>710</v>
      </c>
      <c r="P378" t="s">
        <v>710</v>
      </c>
      <c r="Q378">
        <v>1</v>
      </c>
      <c r="X378">
        <v>54.92</v>
      </c>
      <c r="Y378">
        <v>1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6</v>
      </c>
      <c r="AG378">
        <v>54.92</v>
      </c>
      <c r="AH378">
        <v>2</v>
      </c>
      <c r="AI378">
        <v>16784674</v>
      </c>
      <c r="AJ378">
        <v>374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ROW(Source!A130)</f>
        <v>130</v>
      </c>
      <c r="B379">
        <v>16784694</v>
      </c>
      <c r="C379">
        <v>16784689</v>
      </c>
      <c r="D379">
        <v>15432258</v>
      </c>
      <c r="E379">
        <v>1</v>
      </c>
      <c r="F379">
        <v>1</v>
      </c>
      <c r="G379">
        <v>1</v>
      </c>
      <c r="H379">
        <v>1</v>
      </c>
      <c r="I379" t="s">
        <v>711</v>
      </c>
      <c r="J379" t="s">
        <v>6</v>
      </c>
      <c r="K379" t="s">
        <v>712</v>
      </c>
      <c r="L379">
        <v>1191</v>
      </c>
      <c r="N379">
        <v>1013</v>
      </c>
      <c r="O379" t="s">
        <v>495</v>
      </c>
      <c r="P379" t="s">
        <v>495</v>
      </c>
      <c r="Q379">
        <v>1</v>
      </c>
      <c r="X379">
        <v>85.3</v>
      </c>
      <c r="Y379">
        <v>0</v>
      </c>
      <c r="Z379">
        <v>0</v>
      </c>
      <c r="AA379">
        <v>0</v>
      </c>
      <c r="AB379">
        <v>8.4600000000000009</v>
      </c>
      <c r="AC379">
        <v>0</v>
      </c>
      <c r="AD379">
        <v>1</v>
      </c>
      <c r="AE379">
        <v>1</v>
      </c>
      <c r="AF379" t="s">
        <v>6</v>
      </c>
      <c r="AG379">
        <v>85.3</v>
      </c>
      <c r="AH379">
        <v>2</v>
      </c>
      <c r="AI379">
        <v>16784690</v>
      </c>
      <c r="AJ379">
        <v>375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ROW(Source!A130)</f>
        <v>130</v>
      </c>
      <c r="B380">
        <v>16784695</v>
      </c>
      <c r="C380">
        <v>16784689</v>
      </c>
      <c r="D380">
        <v>15430395</v>
      </c>
      <c r="E380">
        <v>1</v>
      </c>
      <c r="F380">
        <v>1</v>
      </c>
      <c r="G380">
        <v>1</v>
      </c>
      <c r="H380">
        <v>1</v>
      </c>
      <c r="I380" t="s">
        <v>496</v>
      </c>
      <c r="J380" t="s">
        <v>6</v>
      </c>
      <c r="K380" t="s">
        <v>497</v>
      </c>
      <c r="L380">
        <v>1191</v>
      </c>
      <c r="N380">
        <v>1013</v>
      </c>
      <c r="O380" t="s">
        <v>495</v>
      </c>
      <c r="P380" t="s">
        <v>495</v>
      </c>
      <c r="Q380">
        <v>1</v>
      </c>
      <c r="X380">
        <v>0.32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2</v>
      </c>
      <c r="AF380" t="s">
        <v>6</v>
      </c>
      <c r="AG380">
        <v>0.32</v>
      </c>
      <c r="AH380">
        <v>2</v>
      </c>
      <c r="AI380">
        <v>16784691</v>
      </c>
      <c r="AJ380">
        <v>376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ROW(Source!A130)</f>
        <v>130</v>
      </c>
      <c r="B381">
        <v>16784696</v>
      </c>
      <c r="C381">
        <v>16784689</v>
      </c>
      <c r="D381">
        <v>15247974</v>
      </c>
      <c r="E381">
        <v>1</v>
      </c>
      <c r="F381">
        <v>1</v>
      </c>
      <c r="G381">
        <v>1</v>
      </c>
      <c r="H381">
        <v>2</v>
      </c>
      <c r="I381" t="s">
        <v>498</v>
      </c>
      <c r="J381" t="s">
        <v>499</v>
      </c>
      <c r="K381" t="s">
        <v>500</v>
      </c>
      <c r="L381">
        <v>1368</v>
      </c>
      <c r="N381">
        <v>1011</v>
      </c>
      <c r="O381" t="s">
        <v>501</v>
      </c>
      <c r="P381" t="s">
        <v>501</v>
      </c>
      <c r="Q381">
        <v>1</v>
      </c>
      <c r="X381">
        <v>0.32</v>
      </c>
      <c r="Y381">
        <v>0</v>
      </c>
      <c r="Z381">
        <v>31.26</v>
      </c>
      <c r="AA381">
        <v>13.5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0.32</v>
      </c>
      <c r="AH381">
        <v>2</v>
      </c>
      <c r="AI381">
        <v>16784692</v>
      </c>
      <c r="AJ381">
        <v>377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ROW(Source!A130)</f>
        <v>130</v>
      </c>
      <c r="B382">
        <v>16784697</v>
      </c>
      <c r="C382">
        <v>16784689</v>
      </c>
      <c r="D382">
        <v>15164566</v>
      </c>
      <c r="E382">
        <v>17</v>
      </c>
      <c r="F382">
        <v>1</v>
      </c>
      <c r="G382">
        <v>1</v>
      </c>
      <c r="H382">
        <v>3</v>
      </c>
      <c r="I382" t="s">
        <v>781</v>
      </c>
      <c r="J382" t="s">
        <v>6</v>
      </c>
      <c r="K382" t="s">
        <v>801</v>
      </c>
      <c r="L382">
        <v>1348</v>
      </c>
      <c r="N382">
        <v>1009</v>
      </c>
      <c r="O382" t="s">
        <v>65</v>
      </c>
      <c r="P382" t="s">
        <v>65</v>
      </c>
      <c r="Q382">
        <v>1000</v>
      </c>
      <c r="X382">
        <v>1.34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 t="s">
        <v>6</v>
      </c>
      <c r="AG382">
        <v>1.34</v>
      </c>
      <c r="AH382">
        <v>3</v>
      </c>
      <c r="AI382">
        <v>-1</v>
      </c>
      <c r="AJ382" t="s">
        <v>6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ROW(Source!A131)</f>
        <v>131</v>
      </c>
      <c r="B383">
        <v>16784694</v>
      </c>
      <c r="C383">
        <v>16784689</v>
      </c>
      <c r="D383">
        <v>15432258</v>
      </c>
      <c r="E383">
        <v>1</v>
      </c>
      <c r="F383">
        <v>1</v>
      </c>
      <c r="G383">
        <v>1</v>
      </c>
      <c r="H383">
        <v>1</v>
      </c>
      <c r="I383" t="s">
        <v>711</v>
      </c>
      <c r="J383" t="s">
        <v>6</v>
      </c>
      <c r="K383" t="s">
        <v>712</v>
      </c>
      <c r="L383">
        <v>1191</v>
      </c>
      <c r="N383">
        <v>1013</v>
      </c>
      <c r="O383" t="s">
        <v>495</v>
      </c>
      <c r="P383" t="s">
        <v>495</v>
      </c>
      <c r="Q383">
        <v>1</v>
      </c>
      <c r="X383">
        <v>85.3</v>
      </c>
      <c r="Y383">
        <v>0</v>
      </c>
      <c r="Z383">
        <v>0</v>
      </c>
      <c r="AA383">
        <v>0</v>
      </c>
      <c r="AB383">
        <v>8.4600000000000009</v>
      </c>
      <c r="AC383">
        <v>0</v>
      </c>
      <c r="AD383">
        <v>1</v>
      </c>
      <c r="AE383">
        <v>1</v>
      </c>
      <c r="AF383" t="s">
        <v>6</v>
      </c>
      <c r="AG383">
        <v>85.3</v>
      </c>
      <c r="AH383">
        <v>2</v>
      </c>
      <c r="AI383">
        <v>16784690</v>
      </c>
      <c r="AJ383">
        <v>378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ROW(Source!A131)</f>
        <v>131</v>
      </c>
      <c r="B384">
        <v>16784695</v>
      </c>
      <c r="C384">
        <v>16784689</v>
      </c>
      <c r="D384">
        <v>15430395</v>
      </c>
      <c r="E384">
        <v>1</v>
      </c>
      <c r="F384">
        <v>1</v>
      </c>
      <c r="G384">
        <v>1</v>
      </c>
      <c r="H384">
        <v>1</v>
      </c>
      <c r="I384" t="s">
        <v>496</v>
      </c>
      <c r="J384" t="s">
        <v>6</v>
      </c>
      <c r="K384" t="s">
        <v>497</v>
      </c>
      <c r="L384">
        <v>1191</v>
      </c>
      <c r="N384">
        <v>1013</v>
      </c>
      <c r="O384" t="s">
        <v>495</v>
      </c>
      <c r="P384" t="s">
        <v>495</v>
      </c>
      <c r="Q384">
        <v>1</v>
      </c>
      <c r="X384">
        <v>0.32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2</v>
      </c>
      <c r="AF384" t="s">
        <v>6</v>
      </c>
      <c r="AG384">
        <v>0.32</v>
      </c>
      <c r="AH384">
        <v>2</v>
      </c>
      <c r="AI384">
        <v>16784691</v>
      </c>
      <c r="AJ384">
        <v>379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ROW(Source!A131)</f>
        <v>131</v>
      </c>
      <c r="B385">
        <v>16784696</v>
      </c>
      <c r="C385">
        <v>16784689</v>
      </c>
      <c r="D385">
        <v>15247974</v>
      </c>
      <c r="E385">
        <v>1</v>
      </c>
      <c r="F385">
        <v>1</v>
      </c>
      <c r="G385">
        <v>1</v>
      </c>
      <c r="H385">
        <v>2</v>
      </c>
      <c r="I385" t="s">
        <v>498</v>
      </c>
      <c r="J385" t="s">
        <v>499</v>
      </c>
      <c r="K385" t="s">
        <v>500</v>
      </c>
      <c r="L385">
        <v>1368</v>
      </c>
      <c r="N385">
        <v>1011</v>
      </c>
      <c r="O385" t="s">
        <v>501</v>
      </c>
      <c r="P385" t="s">
        <v>501</v>
      </c>
      <c r="Q385">
        <v>1</v>
      </c>
      <c r="X385">
        <v>0.32</v>
      </c>
      <c r="Y385">
        <v>0</v>
      </c>
      <c r="Z385">
        <v>31.26</v>
      </c>
      <c r="AA385">
        <v>13.5</v>
      </c>
      <c r="AB385">
        <v>0</v>
      </c>
      <c r="AC385">
        <v>0</v>
      </c>
      <c r="AD385">
        <v>1</v>
      </c>
      <c r="AE385">
        <v>0</v>
      </c>
      <c r="AF385" t="s">
        <v>6</v>
      </c>
      <c r="AG385">
        <v>0.32</v>
      </c>
      <c r="AH385">
        <v>2</v>
      </c>
      <c r="AI385">
        <v>16784692</v>
      </c>
      <c r="AJ385">
        <v>380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ROW(Source!A131)</f>
        <v>131</v>
      </c>
      <c r="B386">
        <v>16784697</v>
      </c>
      <c r="C386">
        <v>16784689</v>
      </c>
      <c r="D386">
        <v>15164566</v>
      </c>
      <c r="E386">
        <v>17</v>
      </c>
      <c r="F386">
        <v>1</v>
      </c>
      <c r="G386">
        <v>1</v>
      </c>
      <c r="H386">
        <v>3</v>
      </c>
      <c r="I386" t="s">
        <v>781</v>
      </c>
      <c r="J386" t="s">
        <v>6</v>
      </c>
      <c r="K386" t="s">
        <v>801</v>
      </c>
      <c r="L386">
        <v>1348</v>
      </c>
      <c r="N386">
        <v>1009</v>
      </c>
      <c r="O386" t="s">
        <v>65</v>
      </c>
      <c r="P386" t="s">
        <v>65</v>
      </c>
      <c r="Q386">
        <v>1000</v>
      </c>
      <c r="X386">
        <v>1.34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 t="s">
        <v>6</v>
      </c>
      <c r="AG386">
        <v>1.34</v>
      </c>
      <c r="AH386">
        <v>3</v>
      </c>
      <c r="AI386">
        <v>-1</v>
      </c>
      <c r="AJ386" t="s">
        <v>6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ROW(Source!A132)</f>
        <v>132</v>
      </c>
      <c r="B387">
        <v>16784709</v>
      </c>
      <c r="C387">
        <v>16784699</v>
      </c>
      <c r="D387">
        <v>15446300</v>
      </c>
      <c r="E387">
        <v>1</v>
      </c>
      <c r="F387">
        <v>1</v>
      </c>
      <c r="G387">
        <v>1</v>
      </c>
      <c r="H387">
        <v>1</v>
      </c>
      <c r="I387" t="s">
        <v>686</v>
      </c>
      <c r="J387" t="s">
        <v>6</v>
      </c>
      <c r="K387" t="s">
        <v>687</v>
      </c>
      <c r="L387">
        <v>1191</v>
      </c>
      <c r="N387">
        <v>1013</v>
      </c>
      <c r="O387" t="s">
        <v>495</v>
      </c>
      <c r="P387" t="s">
        <v>495</v>
      </c>
      <c r="Q387">
        <v>1</v>
      </c>
      <c r="X387">
        <v>61.6</v>
      </c>
      <c r="Y387">
        <v>0</v>
      </c>
      <c r="Z387">
        <v>0</v>
      </c>
      <c r="AA387">
        <v>0</v>
      </c>
      <c r="AB387">
        <v>9.92</v>
      </c>
      <c r="AC387">
        <v>0</v>
      </c>
      <c r="AD387">
        <v>1</v>
      </c>
      <c r="AE387">
        <v>1</v>
      </c>
      <c r="AF387" t="s">
        <v>28</v>
      </c>
      <c r="AG387">
        <v>70.839999999999989</v>
      </c>
      <c r="AH387">
        <v>2</v>
      </c>
      <c r="AI387">
        <v>16784700</v>
      </c>
      <c r="AJ387">
        <v>381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ROW(Source!A132)</f>
        <v>132</v>
      </c>
      <c r="B388">
        <v>16784710</v>
      </c>
      <c r="C388">
        <v>16784699</v>
      </c>
      <c r="D388">
        <v>15430395</v>
      </c>
      <c r="E388">
        <v>1</v>
      </c>
      <c r="F388">
        <v>1</v>
      </c>
      <c r="G388">
        <v>1</v>
      </c>
      <c r="H388">
        <v>1</v>
      </c>
      <c r="I388" t="s">
        <v>496</v>
      </c>
      <c r="J388" t="s">
        <v>6</v>
      </c>
      <c r="K388" t="s">
        <v>497</v>
      </c>
      <c r="L388">
        <v>1191</v>
      </c>
      <c r="N388">
        <v>1013</v>
      </c>
      <c r="O388" t="s">
        <v>495</v>
      </c>
      <c r="P388" t="s">
        <v>495</v>
      </c>
      <c r="Q388">
        <v>1</v>
      </c>
      <c r="X388">
        <v>7.0000000000000007E-2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2</v>
      </c>
      <c r="AF388" t="s">
        <v>27</v>
      </c>
      <c r="AG388">
        <v>8.7500000000000008E-2</v>
      </c>
      <c r="AH388">
        <v>2</v>
      </c>
      <c r="AI388">
        <v>16784701</v>
      </c>
      <c r="AJ388">
        <v>382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ROW(Source!A132)</f>
        <v>132</v>
      </c>
      <c r="B389">
        <v>16784711</v>
      </c>
      <c r="C389">
        <v>16784699</v>
      </c>
      <c r="D389">
        <v>15247578</v>
      </c>
      <c r="E389">
        <v>1</v>
      </c>
      <c r="F389">
        <v>1</v>
      </c>
      <c r="G389">
        <v>1</v>
      </c>
      <c r="H389">
        <v>2</v>
      </c>
      <c r="I389" t="s">
        <v>713</v>
      </c>
      <c r="J389" t="s">
        <v>714</v>
      </c>
      <c r="K389" t="s">
        <v>715</v>
      </c>
      <c r="L389">
        <v>1368</v>
      </c>
      <c r="N389">
        <v>1011</v>
      </c>
      <c r="O389" t="s">
        <v>501</v>
      </c>
      <c r="P389" t="s">
        <v>501</v>
      </c>
      <c r="Q389">
        <v>1</v>
      </c>
      <c r="X389">
        <v>0.03</v>
      </c>
      <c r="Y389">
        <v>0</v>
      </c>
      <c r="Z389">
        <v>86.4</v>
      </c>
      <c r="AA389">
        <v>13.5</v>
      </c>
      <c r="AB389">
        <v>0</v>
      </c>
      <c r="AC389">
        <v>0</v>
      </c>
      <c r="AD389">
        <v>1</v>
      </c>
      <c r="AE389">
        <v>0</v>
      </c>
      <c r="AF389" t="s">
        <v>27</v>
      </c>
      <c r="AG389">
        <v>3.7499999999999999E-2</v>
      </c>
      <c r="AH389">
        <v>2</v>
      </c>
      <c r="AI389">
        <v>16784702</v>
      </c>
      <c r="AJ389">
        <v>383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ROW(Source!A132)</f>
        <v>132</v>
      </c>
      <c r="B390">
        <v>16784712</v>
      </c>
      <c r="C390">
        <v>16784699</v>
      </c>
      <c r="D390">
        <v>15247680</v>
      </c>
      <c r="E390">
        <v>1</v>
      </c>
      <c r="F390">
        <v>1</v>
      </c>
      <c r="G390">
        <v>1</v>
      </c>
      <c r="H390">
        <v>2</v>
      </c>
      <c r="I390" t="s">
        <v>537</v>
      </c>
      <c r="J390" t="s">
        <v>538</v>
      </c>
      <c r="K390" t="s">
        <v>539</v>
      </c>
      <c r="L390">
        <v>1368</v>
      </c>
      <c r="N390">
        <v>1011</v>
      </c>
      <c r="O390" t="s">
        <v>501</v>
      </c>
      <c r="P390" t="s">
        <v>501</v>
      </c>
      <c r="Q390">
        <v>1</v>
      </c>
      <c r="X390">
        <v>0.02</v>
      </c>
      <c r="Y390">
        <v>0</v>
      </c>
      <c r="Z390">
        <v>111.99</v>
      </c>
      <c r="AA390">
        <v>13.5</v>
      </c>
      <c r="AB390">
        <v>0</v>
      </c>
      <c r="AC390">
        <v>0</v>
      </c>
      <c r="AD390">
        <v>1</v>
      </c>
      <c r="AE390">
        <v>0</v>
      </c>
      <c r="AF390" t="s">
        <v>27</v>
      </c>
      <c r="AG390">
        <v>2.5000000000000001E-2</v>
      </c>
      <c r="AH390">
        <v>2</v>
      </c>
      <c r="AI390">
        <v>16784703</v>
      </c>
      <c r="AJ390">
        <v>384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ROW(Source!A132)</f>
        <v>132</v>
      </c>
      <c r="B391">
        <v>16784713</v>
      </c>
      <c r="C391">
        <v>16784699</v>
      </c>
      <c r="D391">
        <v>15249073</v>
      </c>
      <c r="E391">
        <v>1</v>
      </c>
      <c r="F391">
        <v>1</v>
      </c>
      <c r="G391">
        <v>1</v>
      </c>
      <c r="H391">
        <v>2</v>
      </c>
      <c r="I391" t="s">
        <v>504</v>
      </c>
      <c r="J391" t="s">
        <v>505</v>
      </c>
      <c r="K391" t="s">
        <v>506</v>
      </c>
      <c r="L391">
        <v>1368</v>
      </c>
      <c r="N391">
        <v>1011</v>
      </c>
      <c r="O391" t="s">
        <v>501</v>
      </c>
      <c r="P391" t="s">
        <v>501</v>
      </c>
      <c r="Q391">
        <v>1</v>
      </c>
      <c r="X391">
        <v>0.02</v>
      </c>
      <c r="Y391">
        <v>0</v>
      </c>
      <c r="Z391">
        <v>65.709999999999994</v>
      </c>
      <c r="AA391">
        <v>11.6</v>
      </c>
      <c r="AB391">
        <v>0</v>
      </c>
      <c r="AC391">
        <v>0</v>
      </c>
      <c r="AD391">
        <v>1</v>
      </c>
      <c r="AE391">
        <v>0</v>
      </c>
      <c r="AF391" t="s">
        <v>27</v>
      </c>
      <c r="AG391">
        <v>2.5000000000000001E-2</v>
      </c>
      <c r="AH391">
        <v>2</v>
      </c>
      <c r="AI391">
        <v>16784704</v>
      </c>
      <c r="AJ391">
        <v>385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ROW(Source!A132)</f>
        <v>132</v>
      </c>
      <c r="B392">
        <v>16784714</v>
      </c>
      <c r="C392">
        <v>16784699</v>
      </c>
      <c r="D392">
        <v>15167286</v>
      </c>
      <c r="E392">
        <v>1</v>
      </c>
      <c r="F392">
        <v>1</v>
      </c>
      <c r="G392">
        <v>1</v>
      </c>
      <c r="H392">
        <v>3</v>
      </c>
      <c r="I392" t="s">
        <v>597</v>
      </c>
      <c r="J392" t="s">
        <v>598</v>
      </c>
      <c r="K392" t="s">
        <v>599</v>
      </c>
      <c r="L392">
        <v>1339</v>
      </c>
      <c r="N392">
        <v>1007</v>
      </c>
      <c r="O392" t="s">
        <v>128</v>
      </c>
      <c r="P392" t="s">
        <v>128</v>
      </c>
      <c r="Q392">
        <v>1</v>
      </c>
      <c r="X392">
        <v>1.57</v>
      </c>
      <c r="Y392">
        <v>2.44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6</v>
      </c>
      <c r="AG392">
        <v>1.57</v>
      </c>
      <c r="AH392">
        <v>2</v>
      </c>
      <c r="AI392">
        <v>16784705</v>
      </c>
      <c r="AJ392">
        <v>386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ROW(Source!A132)</f>
        <v>132</v>
      </c>
      <c r="B393">
        <v>16784715</v>
      </c>
      <c r="C393">
        <v>16784699</v>
      </c>
      <c r="D393">
        <v>15169924</v>
      </c>
      <c r="E393">
        <v>1</v>
      </c>
      <c r="F393">
        <v>1</v>
      </c>
      <c r="G393">
        <v>1</v>
      </c>
      <c r="H393">
        <v>3</v>
      </c>
      <c r="I393" t="s">
        <v>716</v>
      </c>
      <c r="J393" t="s">
        <v>717</v>
      </c>
      <c r="K393" t="s">
        <v>718</v>
      </c>
      <c r="L393">
        <v>1348</v>
      </c>
      <c r="N393">
        <v>1009</v>
      </c>
      <c r="O393" t="s">
        <v>65</v>
      </c>
      <c r="P393" t="s">
        <v>65</v>
      </c>
      <c r="Q393">
        <v>1000</v>
      </c>
      <c r="X393">
        <v>2.66E-3</v>
      </c>
      <c r="Y393">
        <v>14830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2.66E-3</v>
      </c>
      <c r="AH393">
        <v>2</v>
      </c>
      <c r="AI393">
        <v>16784706</v>
      </c>
      <c r="AJ393">
        <v>387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ROW(Source!A132)</f>
        <v>132</v>
      </c>
      <c r="B394">
        <v>16784716</v>
      </c>
      <c r="C394">
        <v>16784699</v>
      </c>
      <c r="D394">
        <v>15170781</v>
      </c>
      <c r="E394">
        <v>1</v>
      </c>
      <c r="F394">
        <v>1</v>
      </c>
      <c r="G394">
        <v>1</v>
      </c>
      <c r="H394">
        <v>3</v>
      </c>
      <c r="I394" t="s">
        <v>719</v>
      </c>
      <c r="J394" t="s">
        <v>720</v>
      </c>
      <c r="K394" t="s">
        <v>721</v>
      </c>
      <c r="L394">
        <v>1346</v>
      </c>
      <c r="N394">
        <v>1009</v>
      </c>
      <c r="O394" t="s">
        <v>60</v>
      </c>
      <c r="P394" t="s">
        <v>60</v>
      </c>
      <c r="Q394">
        <v>1</v>
      </c>
      <c r="X394">
        <v>4</v>
      </c>
      <c r="Y394">
        <v>24.41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4</v>
      </c>
      <c r="AH394">
        <v>2</v>
      </c>
      <c r="AI394">
        <v>16784707</v>
      </c>
      <c r="AJ394">
        <v>388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ROW(Source!A132)</f>
        <v>132</v>
      </c>
      <c r="B395">
        <v>16784717</v>
      </c>
      <c r="C395">
        <v>16784699</v>
      </c>
      <c r="D395">
        <v>15161573</v>
      </c>
      <c r="E395">
        <v>17</v>
      </c>
      <c r="F395">
        <v>1</v>
      </c>
      <c r="G395">
        <v>1</v>
      </c>
      <c r="H395">
        <v>3</v>
      </c>
      <c r="I395" t="s">
        <v>802</v>
      </c>
      <c r="J395" t="s">
        <v>6</v>
      </c>
      <c r="K395" t="s">
        <v>803</v>
      </c>
      <c r="L395">
        <v>1354</v>
      </c>
      <c r="N395">
        <v>1010</v>
      </c>
      <c r="O395" t="s">
        <v>277</v>
      </c>
      <c r="P395" t="s">
        <v>277</v>
      </c>
      <c r="Q395">
        <v>1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1</v>
      </c>
      <c r="AD395">
        <v>0</v>
      </c>
      <c r="AE395">
        <v>0</v>
      </c>
      <c r="AF395" t="s">
        <v>6</v>
      </c>
      <c r="AG395">
        <v>0</v>
      </c>
      <c r="AH395">
        <v>3</v>
      </c>
      <c r="AI395">
        <v>-1</v>
      </c>
      <c r="AJ395" t="s">
        <v>6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ROW(Source!A132)</f>
        <v>132</v>
      </c>
      <c r="B396">
        <v>16784718</v>
      </c>
      <c r="C396">
        <v>16784699</v>
      </c>
      <c r="D396">
        <v>15163115</v>
      </c>
      <c r="E396">
        <v>17</v>
      </c>
      <c r="F396">
        <v>1</v>
      </c>
      <c r="G396">
        <v>1</v>
      </c>
      <c r="H396">
        <v>3</v>
      </c>
      <c r="I396" t="s">
        <v>804</v>
      </c>
      <c r="J396" t="s">
        <v>6</v>
      </c>
      <c r="K396" t="s">
        <v>805</v>
      </c>
      <c r="L396">
        <v>1346</v>
      </c>
      <c r="N396">
        <v>1009</v>
      </c>
      <c r="O396" t="s">
        <v>60</v>
      </c>
      <c r="P396" t="s">
        <v>60</v>
      </c>
      <c r="Q396">
        <v>1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1</v>
      </c>
      <c r="AD396">
        <v>0</v>
      </c>
      <c r="AE396">
        <v>0</v>
      </c>
      <c r="AF396" t="s">
        <v>6</v>
      </c>
      <c r="AG396">
        <v>0</v>
      </c>
      <c r="AH396">
        <v>3</v>
      </c>
      <c r="AI396">
        <v>-1</v>
      </c>
      <c r="AJ396" t="s">
        <v>6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ROW(Source!A132)</f>
        <v>132</v>
      </c>
      <c r="B397">
        <v>16784719</v>
      </c>
      <c r="C397">
        <v>16784699</v>
      </c>
      <c r="D397">
        <v>15163153</v>
      </c>
      <c r="E397">
        <v>17</v>
      </c>
      <c r="F397">
        <v>1</v>
      </c>
      <c r="G397">
        <v>1</v>
      </c>
      <c r="H397">
        <v>3</v>
      </c>
      <c r="I397" t="s">
        <v>806</v>
      </c>
      <c r="J397" t="s">
        <v>6</v>
      </c>
      <c r="K397" t="s">
        <v>293</v>
      </c>
      <c r="L397">
        <v>1301</v>
      </c>
      <c r="N397">
        <v>1003</v>
      </c>
      <c r="O397" t="s">
        <v>45</v>
      </c>
      <c r="P397" t="s">
        <v>45</v>
      </c>
      <c r="Q397">
        <v>1</v>
      </c>
      <c r="X397">
        <v>99.8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 t="s">
        <v>6</v>
      </c>
      <c r="AG397">
        <v>99.8</v>
      </c>
      <c r="AH397">
        <v>3</v>
      </c>
      <c r="AI397">
        <v>-1</v>
      </c>
      <c r="AJ397" t="s">
        <v>6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ROW(Source!A133)</f>
        <v>133</v>
      </c>
      <c r="B398">
        <v>16784709</v>
      </c>
      <c r="C398">
        <v>16784699</v>
      </c>
      <c r="D398">
        <v>15446300</v>
      </c>
      <c r="E398">
        <v>1</v>
      </c>
      <c r="F398">
        <v>1</v>
      </c>
      <c r="G398">
        <v>1</v>
      </c>
      <c r="H398">
        <v>1</v>
      </c>
      <c r="I398" t="s">
        <v>686</v>
      </c>
      <c r="J398" t="s">
        <v>6</v>
      </c>
      <c r="K398" t="s">
        <v>687</v>
      </c>
      <c r="L398">
        <v>1191</v>
      </c>
      <c r="N398">
        <v>1013</v>
      </c>
      <c r="O398" t="s">
        <v>495</v>
      </c>
      <c r="P398" t="s">
        <v>495</v>
      </c>
      <c r="Q398">
        <v>1</v>
      </c>
      <c r="X398">
        <v>61.6</v>
      </c>
      <c r="Y398">
        <v>0</v>
      </c>
      <c r="Z398">
        <v>0</v>
      </c>
      <c r="AA398">
        <v>0</v>
      </c>
      <c r="AB398">
        <v>9.92</v>
      </c>
      <c r="AC398">
        <v>0</v>
      </c>
      <c r="AD398">
        <v>1</v>
      </c>
      <c r="AE398">
        <v>1</v>
      </c>
      <c r="AF398" t="s">
        <v>28</v>
      </c>
      <c r="AG398">
        <v>70.839999999999989</v>
      </c>
      <c r="AH398">
        <v>2</v>
      </c>
      <c r="AI398">
        <v>16784700</v>
      </c>
      <c r="AJ398">
        <v>390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ROW(Source!A133)</f>
        <v>133</v>
      </c>
      <c r="B399">
        <v>16784710</v>
      </c>
      <c r="C399">
        <v>16784699</v>
      </c>
      <c r="D399">
        <v>15430395</v>
      </c>
      <c r="E399">
        <v>1</v>
      </c>
      <c r="F399">
        <v>1</v>
      </c>
      <c r="G399">
        <v>1</v>
      </c>
      <c r="H399">
        <v>1</v>
      </c>
      <c r="I399" t="s">
        <v>496</v>
      </c>
      <c r="J399" t="s">
        <v>6</v>
      </c>
      <c r="K399" t="s">
        <v>497</v>
      </c>
      <c r="L399">
        <v>1191</v>
      </c>
      <c r="N399">
        <v>1013</v>
      </c>
      <c r="O399" t="s">
        <v>495</v>
      </c>
      <c r="P399" t="s">
        <v>495</v>
      </c>
      <c r="Q399">
        <v>1</v>
      </c>
      <c r="X399">
        <v>7.0000000000000007E-2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2</v>
      </c>
      <c r="AF399" t="s">
        <v>27</v>
      </c>
      <c r="AG399">
        <v>8.7500000000000008E-2</v>
      </c>
      <c r="AH399">
        <v>2</v>
      </c>
      <c r="AI399">
        <v>16784701</v>
      </c>
      <c r="AJ399">
        <v>391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ROW(Source!A133)</f>
        <v>133</v>
      </c>
      <c r="B400">
        <v>16784711</v>
      </c>
      <c r="C400">
        <v>16784699</v>
      </c>
      <c r="D400">
        <v>15247578</v>
      </c>
      <c r="E400">
        <v>1</v>
      </c>
      <c r="F400">
        <v>1</v>
      </c>
      <c r="G400">
        <v>1</v>
      </c>
      <c r="H400">
        <v>2</v>
      </c>
      <c r="I400" t="s">
        <v>713</v>
      </c>
      <c r="J400" t="s">
        <v>714</v>
      </c>
      <c r="K400" t="s">
        <v>715</v>
      </c>
      <c r="L400">
        <v>1368</v>
      </c>
      <c r="N400">
        <v>1011</v>
      </c>
      <c r="O400" t="s">
        <v>501</v>
      </c>
      <c r="P400" t="s">
        <v>501</v>
      </c>
      <c r="Q400">
        <v>1</v>
      </c>
      <c r="X400">
        <v>0.03</v>
      </c>
      <c r="Y400">
        <v>0</v>
      </c>
      <c r="Z400">
        <v>86.4</v>
      </c>
      <c r="AA400">
        <v>13.5</v>
      </c>
      <c r="AB400">
        <v>0</v>
      </c>
      <c r="AC400">
        <v>0</v>
      </c>
      <c r="AD400">
        <v>1</v>
      </c>
      <c r="AE400">
        <v>0</v>
      </c>
      <c r="AF400" t="s">
        <v>27</v>
      </c>
      <c r="AG400">
        <v>3.7499999999999999E-2</v>
      </c>
      <c r="AH400">
        <v>2</v>
      </c>
      <c r="AI400">
        <v>16784702</v>
      </c>
      <c r="AJ400">
        <v>392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ROW(Source!A133)</f>
        <v>133</v>
      </c>
      <c r="B401">
        <v>16784712</v>
      </c>
      <c r="C401">
        <v>16784699</v>
      </c>
      <c r="D401">
        <v>15247680</v>
      </c>
      <c r="E401">
        <v>1</v>
      </c>
      <c r="F401">
        <v>1</v>
      </c>
      <c r="G401">
        <v>1</v>
      </c>
      <c r="H401">
        <v>2</v>
      </c>
      <c r="I401" t="s">
        <v>537</v>
      </c>
      <c r="J401" t="s">
        <v>538</v>
      </c>
      <c r="K401" t="s">
        <v>539</v>
      </c>
      <c r="L401">
        <v>1368</v>
      </c>
      <c r="N401">
        <v>1011</v>
      </c>
      <c r="O401" t="s">
        <v>501</v>
      </c>
      <c r="P401" t="s">
        <v>501</v>
      </c>
      <c r="Q401">
        <v>1</v>
      </c>
      <c r="X401">
        <v>0.02</v>
      </c>
      <c r="Y401">
        <v>0</v>
      </c>
      <c r="Z401">
        <v>111.99</v>
      </c>
      <c r="AA401">
        <v>13.5</v>
      </c>
      <c r="AB401">
        <v>0</v>
      </c>
      <c r="AC401">
        <v>0</v>
      </c>
      <c r="AD401">
        <v>1</v>
      </c>
      <c r="AE401">
        <v>0</v>
      </c>
      <c r="AF401" t="s">
        <v>27</v>
      </c>
      <c r="AG401">
        <v>2.5000000000000001E-2</v>
      </c>
      <c r="AH401">
        <v>2</v>
      </c>
      <c r="AI401">
        <v>16784703</v>
      </c>
      <c r="AJ401">
        <v>393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ROW(Source!A133)</f>
        <v>133</v>
      </c>
      <c r="B402">
        <v>16784713</v>
      </c>
      <c r="C402">
        <v>16784699</v>
      </c>
      <c r="D402">
        <v>15249073</v>
      </c>
      <c r="E402">
        <v>1</v>
      </c>
      <c r="F402">
        <v>1</v>
      </c>
      <c r="G402">
        <v>1</v>
      </c>
      <c r="H402">
        <v>2</v>
      </c>
      <c r="I402" t="s">
        <v>504</v>
      </c>
      <c r="J402" t="s">
        <v>505</v>
      </c>
      <c r="K402" t="s">
        <v>506</v>
      </c>
      <c r="L402">
        <v>1368</v>
      </c>
      <c r="N402">
        <v>1011</v>
      </c>
      <c r="O402" t="s">
        <v>501</v>
      </c>
      <c r="P402" t="s">
        <v>501</v>
      </c>
      <c r="Q402">
        <v>1</v>
      </c>
      <c r="X402">
        <v>0.02</v>
      </c>
      <c r="Y402">
        <v>0</v>
      </c>
      <c r="Z402">
        <v>65.709999999999994</v>
      </c>
      <c r="AA402">
        <v>11.6</v>
      </c>
      <c r="AB402">
        <v>0</v>
      </c>
      <c r="AC402">
        <v>0</v>
      </c>
      <c r="AD402">
        <v>1</v>
      </c>
      <c r="AE402">
        <v>0</v>
      </c>
      <c r="AF402" t="s">
        <v>27</v>
      </c>
      <c r="AG402">
        <v>2.5000000000000001E-2</v>
      </c>
      <c r="AH402">
        <v>2</v>
      </c>
      <c r="AI402">
        <v>16784704</v>
      </c>
      <c r="AJ402">
        <v>394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ROW(Source!A133)</f>
        <v>133</v>
      </c>
      <c r="B403">
        <v>16784714</v>
      </c>
      <c r="C403">
        <v>16784699</v>
      </c>
      <c r="D403">
        <v>15167286</v>
      </c>
      <c r="E403">
        <v>1</v>
      </c>
      <c r="F403">
        <v>1</v>
      </c>
      <c r="G403">
        <v>1</v>
      </c>
      <c r="H403">
        <v>3</v>
      </c>
      <c r="I403" t="s">
        <v>597</v>
      </c>
      <c r="J403" t="s">
        <v>598</v>
      </c>
      <c r="K403" t="s">
        <v>599</v>
      </c>
      <c r="L403">
        <v>1339</v>
      </c>
      <c r="N403">
        <v>1007</v>
      </c>
      <c r="O403" t="s">
        <v>128</v>
      </c>
      <c r="P403" t="s">
        <v>128</v>
      </c>
      <c r="Q403">
        <v>1</v>
      </c>
      <c r="X403">
        <v>1.57</v>
      </c>
      <c r="Y403">
        <v>2.44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1.57</v>
      </c>
      <c r="AH403">
        <v>2</v>
      </c>
      <c r="AI403">
        <v>16784705</v>
      </c>
      <c r="AJ403">
        <v>395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ROW(Source!A133)</f>
        <v>133</v>
      </c>
      <c r="B404">
        <v>16784715</v>
      </c>
      <c r="C404">
        <v>16784699</v>
      </c>
      <c r="D404">
        <v>15169924</v>
      </c>
      <c r="E404">
        <v>1</v>
      </c>
      <c r="F404">
        <v>1</v>
      </c>
      <c r="G404">
        <v>1</v>
      </c>
      <c r="H404">
        <v>3</v>
      </c>
      <c r="I404" t="s">
        <v>716</v>
      </c>
      <c r="J404" t="s">
        <v>717</v>
      </c>
      <c r="K404" t="s">
        <v>718</v>
      </c>
      <c r="L404">
        <v>1348</v>
      </c>
      <c r="N404">
        <v>1009</v>
      </c>
      <c r="O404" t="s">
        <v>65</v>
      </c>
      <c r="P404" t="s">
        <v>65</v>
      </c>
      <c r="Q404">
        <v>1000</v>
      </c>
      <c r="X404">
        <v>2.66E-3</v>
      </c>
      <c r="Y404">
        <v>14830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2.66E-3</v>
      </c>
      <c r="AH404">
        <v>2</v>
      </c>
      <c r="AI404">
        <v>16784706</v>
      </c>
      <c r="AJ404">
        <v>396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ROW(Source!A133)</f>
        <v>133</v>
      </c>
      <c r="B405">
        <v>16784716</v>
      </c>
      <c r="C405">
        <v>16784699</v>
      </c>
      <c r="D405">
        <v>15170781</v>
      </c>
      <c r="E405">
        <v>1</v>
      </c>
      <c r="F405">
        <v>1</v>
      </c>
      <c r="G405">
        <v>1</v>
      </c>
      <c r="H405">
        <v>3</v>
      </c>
      <c r="I405" t="s">
        <v>719</v>
      </c>
      <c r="J405" t="s">
        <v>720</v>
      </c>
      <c r="K405" t="s">
        <v>721</v>
      </c>
      <c r="L405">
        <v>1346</v>
      </c>
      <c r="N405">
        <v>1009</v>
      </c>
      <c r="O405" t="s">
        <v>60</v>
      </c>
      <c r="P405" t="s">
        <v>60</v>
      </c>
      <c r="Q405">
        <v>1</v>
      </c>
      <c r="X405">
        <v>4</v>
      </c>
      <c r="Y405">
        <v>24.41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6</v>
      </c>
      <c r="AG405">
        <v>4</v>
      </c>
      <c r="AH405">
        <v>2</v>
      </c>
      <c r="AI405">
        <v>16784707</v>
      </c>
      <c r="AJ405">
        <v>397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ROW(Source!A133)</f>
        <v>133</v>
      </c>
      <c r="B406">
        <v>16784717</v>
      </c>
      <c r="C406">
        <v>16784699</v>
      </c>
      <c r="D406">
        <v>15161573</v>
      </c>
      <c r="E406">
        <v>17</v>
      </c>
      <c r="F406">
        <v>1</v>
      </c>
      <c r="G406">
        <v>1</v>
      </c>
      <c r="H406">
        <v>3</v>
      </c>
      <c r="I406" t="s">
        <v>802</v>
      </c>
      <c r="J406" t="s">
        <v>6</v>
      </c>
      <c r="K406" t="s">
        <v>803</v>
      </c>
      <c r="L406">
        <v>1354</v>
      </c>
      <c r="N406">
        <v>1010</v>
      </c>
      <c r="O406" t="s">
        <v>277</v>
      </c>
      <c r="P406" t="s">
        <v>277</v>
      </c>
      <c r="Q406">
        <v>1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1</v>
      </c>
      <c r="AD406">
        <v>0</v>
      </c>
      <c r="AE406">
        <v>0</v>
      </c>
      <c r="AF406" t="s">
        <v>6</v>
      </c>
      <c r="AG406">
        <v>0</v>
      </c>
      <c r="AH406">
        <v>3</v>
      </c>
      <c r="AI406">
        <v>-1</v>
      </c>
      <c r="AJ406" t="s">
        <v>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ROW(Source!A133)</f>
        <v>133</v>
      </c>
      <c r="B407">
        <v>16784718</v>
      </c>
      <c r="C407">
        <v>16784699</v>
      </c>
      <c r="D407">
        <v>15163115</v>
      </c>
      <c r="E407">
        <v>17</v>
      </c>
      <c r="F407">
        <v>1</v>
      </c>
      <c r="G407">
        <v>1</v>
      </c>
      <c r="H407">
        <v>3</v>
      </c>
      <c r="I407" t="s">
        <v>804</v>
      </c>
      <c r="J407" t="s">
        <v>6</v>
      </c>
      <c r="K407" t="s">
        <v>805</v>
      </c>
      <c r="L407">
        <v>1346</v>
      </c>
      <c r="N407">
        <v>1009</v>
      </c>
      <c r="O407" t="s">
        <v>60</v>
      </c>
      <c r="P407" t="s">
        <v>60</v>
      </c>
      <c r="Q407">
        <v>1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1</v>
      </c>
      <c r="AD407">
        <v>0</v>
      </c>
      <c r="AE407">
        <v>0</v>
      </c>
      <c r="AF407" t="s">
        <v>6</v>
      </c>
      <c r="AG407">
        <v>0</v>
      </c>
      <c r="AH407">
        <v>3</v>
      </c>
      <c r="AI407">
        <v>-1</v>
      </c>
      <c r="AJ407" t="s">
        <v>6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ROW(Source!A133)</f>
        <v>133</v>
      </c>
      <c r="B408">
        <v>16784719</v>
      </c>
      <c r="C408">
        <v>16784699</v>
      </c>
      <c r="D408">
        <v>15163153</v>
      </c>
      <c r="E408">
        <v>17</v>
      </c>
      <c r="F408">
        <v>1</v>
      </c>
      <c r="G408">
        <v>1</v>
      </c>
      <c r="H408">
        <v>3</v>
      </c>
      <c r="I408" t="s">
        <v>806</v>
      </c>
      <c r="J408" t="s">
        <v>6</v>
      </c>
      <c r="K408" t="s">
        <v>293</v>
      </c>
      <c r="L408">
        <v>1301</v>
      </c>
      <c r="N408">
        <v>1003</v>
      </c>
      <c r="O408" t="s">
        <v>45</v>
      </c>
      <c r="P408" t="s">
        <v>45</v>
      </c>
      <c r="Q408">
        <v>1</v>
      </c>
      <c r="X408">
        <v>99.8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 t="s">
        <v>6</v>
      </c>
      <c r="AG408">
        <v>99.8</v>
      </c>
      <c r="AH408">
        <v>3</v>
      </c>
      <c r="AI408">
        <v>-1</v>
      </c>
      <c r="AJ408" t="s">
        <v>6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ROW(Source!A136)</f>
        <v>136</v>
      </c>
      <c r="B409">
        <v>16784953</v>
      </c>
      <c r="C409">
        <v>16784952</v>
      </c>
      <c r="D409">
        <v>15430767</v>
      </c>
      <c r="E409">
        <v>1</v>
      </c>
      <c r="F409">
        <v>1</v>
      </c>
      <c r="G409">
        <v>1</v>
      </c>
      <c r="H409">
        <v>1</v>
      </c>
      <c r="I409" t="s">
        <v>527</v>
      </c>
      <c r="J409" t="s">
        <v>6</v>
      </c>
      <c r="K409" t="s">
        <v>528</v>
      </c>
      <c r="L409">
        <v>1191</v>
      </c>
      <c r="N409">
        <v>1013</v>
      </c>
      <c r="O409" t="s">
        <v>495</v>
      </c>
      <c r="P409" t="s">
        <v>495</v>
      </c>
      <c r="Q409">
        <v>1</v>
      </c>
      <c r="X409">
        <v>63.84</v>
      </c>
      <c r="Y409">
        <v>0</v>
      </c>
      <c r="Z409">
        <v>0</v>
      </c>
      <c r="AA409">
        <v>0</v>
      </c>
      <c r="AB409">
        <v>8.5299999999999994</v>
      </c>
      <c r="AC409">
        <v>0</v>
      </c>
      <c r="AD409">
        <v>1</v>
      </c>
      <c r="AE409">
        <v>1</v>
      </c>
      <c r="AF409" t="s">
        <v>6</v>
      </c>
      <c r="AG409">
        <v>63.84</v>
      </c>
      <c r="AH409">
        <v>2</v>
      </c>
      <c r="AI409">
        <v>16784953</v>
      </c>
      <c r="AJ409">
        <v>399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ROW(Source!A136)</f>
        <v>136</v>
      </c>
      <c r="B410">
        <v>16784954</v>
      </c>
      <c r="C410">
        <v>16784952</v>
      </c>
      <c r="D410">
        <v>15430395</v>
      </c>
      <c r="E410">
        <v>1</v>
      </c>
      <c r="F410">
        <v>1</v>
      </c>
      <c r="G410">
        <v>1</v>
      </c>
      <c r="H410">
        <v>1</v>
      </c>
      <c r="I410" t="s">
        <v>496</v>
      </c>
      <c r="J410" t="s">
        <v>6</v>
      </c>
      <c r="K410" t="s">
        <v>497</v>
      </c>
      <c r="L410">
        <v>1191</v>
      </c>
      <c r="N410">
        <v>1013</v>
      </c>
      <c r="O410" t="s">
        <v>495</v>
      </c>
      <c r="P410" t="s">
        <v>495</v>
      </c>
      <c r="Q410">
        <v>1</v>
      </c>
      <c r="X410">
        <v>0.28999999999999998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2</v>
      </c>
      <c r="AF410" t="s">
        <v>6</v>
      </c>
      <c r="AG410">
        <v>0.28999999999999998</v>
      </c>
      <c r="AH410">
        <v>2</v>
      </c>
      <c r="AI410">
        <v>16784954</v>
      </c>
      <c r="AJ410">
        <v>400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ROW(Source!A136)</f>
        <v>136</v>
      </c>
      <c r="B411">
        <v>16784955</v>
      </c>
      <c r="C411">
        <v>16784952</v>
      </c>
      <c r="D411">
        <v>15247974</v>
      </c>
      <c r="E411">
        <v>1</v>
      </c>
      <c r="F411">
        <v>1</v>
      </c>
      <c r="G411">
        <v>1</v>
      </c>
      <c r="H411">
        <v>2</v>
      </c>
      <c r="I411" t="s">
        <v>498</v>
      </c>
      <c r="J411" t="s">
        <v>499</v>
      </c>
      <c r="K411" t="s">
        <v>500</v>
      </c>
      <c r="L411">
        <v>1368</v>
      </c>
      <c r="N411">
        <v>1011</v>
      </c>
      <c r="O411" t="s">
        <v>501</v>
      </c>
      <c r="P411" t="s">
        <v>501</v>
      </c>
      <c r="Q411">
        <v>1</v>
      </c>
      <c r="X411">
        <v>0.28999999999999998</v>
      </c>
      <c r="Y411">
        <v>0</v>
      </c>
      <c r="Z411">
        <v>31.26</v>
      </c>
      <c r="AA411">
        <v>13.5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0.28999999999999998</v>
      </c>
      <c r="AH411">
        <v>2</v>
      </c>
      <c r="AI411">
        <v>16784955</v>
      </c>
      <c r="AJ411">
        <v>401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ROW(Source!A136)</f>
        <v>136</v>
      </c>
      <c r="B412">
        <v>16784956</v>
      </c>
      <c r="C412">
        <v>16784952</v>
      </c>
      <c r="D412">
        <v>15164576</v>
      </c>
      <c r="E412">
        <v>17</v>
      </c>
      <c r="F412">
        <v>1</v>
      </c>
      <c r="G412">
        <v>1</v>
      </c>
      <c r="H412">
        <v>3</v>
      </c>
      <c r="I412" t="s">
        <v>781</v>
      </c>
      <c r="J412" t="s">
        <v>6</v>
      </c>
      <c r="K412" t="s">
        <v>801</v>
      </c>
      <c r="L412">
        <v>1348</v>
      </c>
      <c r="N412">
        <v>1009</v>
      </c>
      <c r="O412" t="s">
        <v>65</v>
      </c>
      <c r="P412" t="s">
        <v>65</v>
      </c>
      <c r="Q412">
        <v>1000</v>
      </c>
      <c r="X412">
        <v>2.65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 t="s">
        <v>6</v>
      </c>
      <c r="AG412">
        <v>2.65</v>
      </c>
      <c r="AH412">
        <v>3</v>
      </c>
      <c r="AI412">
        <v>-1</v>
      </c>
      <c r="AJ412" t="s">
        <v>6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ROW(Source!A137)</f>
        <v>137</v>
      </c>
      <c r="B413">
        <v>16784953</v>
      </c>
      <c r="C413">
        <v>16784952</v>
      </c>
      <c r="D413">
        <v>15430767</v>
      </c>
      <c r="E413">
        <v>1</v>
      </c>
      <c r="F413">
        <v>1</v>
      </c>
      <c r="G413">
        <v>1</v>
      </c>
      <c r="H413">
        <v>1</v>
      </c>
      <c r="I413" t="s">
        <v>527</v>
      </c>
      <c r="J413" t="s">
        <v>6</v>
      </c>
      <c r="K413" t="s">
        <v>528</v>
      </c>
      <c r="L413">
        <v>1191</v>
      </c>
      <c r="N413">
        <v>1013</v>
      </c>
      <c r="O413" t="s">
        <v>495</v>
      </c>
      <c r="P413" t="s">
        <v>495</v>
      </c>
      <c r="Q413">
        <v>1</v>
      </c>
      <c r="X413">
        <v>63.84</v>
      </c>
      <c r="Y413">
        <v>0</v>
      </c>
      <c r="Z413">
        <v>0</v>
      </c>
      <c r="AA413">
        <v>0</v>
      </c>
      <c r="AB413">
        <v>8.5299999999999994</v>
      </c>
      <c r="AC413">
        <v>0</v>
      </c>
      <c r="AD413">
        <v>1</v>
      </c>
      <c r="AE413">
        <v>1</v>
      </c>
      <c r="AF413" t="s">
        <v>6</v>
      </c>
      <c r="AG413">
        <v>63.84</v>
      </c>
      <c r="AH413">
        <v>2</v>
      </c>
      <c r="AI413">
        <v>16784953</v>
      </c>
      <c r="AJ413">
        <v>402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ROW(Source!A137)</f>
        <v>137</v>
      </c>
      <c r="B414">
        <v>16784954</v>
      </c>
      <c r="C414">
        <v>16784952</v>
      </c>
      <c r="D414">
        <v>15430395</v>
      </c>
      <c r="E414">
        <v>1</v>
      </c>
      <c r="F414">
        <v>1</v>
      </c>
      <c r="G414">
        <v>1</v>
      </c>
      <c r="H414">
        <v>1</v>
      </c>
      <c r="I414" t="s">
        <v>496</v>
      </c>
      <c r="J414" t="s">
        <v>6</v>
      </c>
      <c r="K414" t="s">
        <v>497</v>
      </c>
      <c r="L414">
        <v>1191</v>
      </c>
      <c r="N414">
        <v>1013</v>
      </c>
      <c r="O414" t="s">
        <v>495</v>
      </c>
      <c r="P414" t="s">
        <v>495</v>
      </c>
      <c r="Q414">
        <v>1</v>
      </c>
      <c r="X414">
        <v>0.28999999999999998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2</v>
      </c>
      <c r="AF414" t="s">
        <v>6</v>
      </c>
      <c r="AG414">
        <v>0.28999999999999998</v>
      </c>
      <c r="AH414">
        <v>2</v>
      </c>
      <c r="AI414">
        <v>16784954</v>
      </c>
      <c r="AJ414">
        <v>403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ROW(Source!A137)</f>
        <v>137</v>
      </c>
      <c r="B415">
        <v>16784955</v>
      </c>
      <c r="C415">
        <v>16784952</v>
      </c>
      <c r="D415">
        <v>15247974</v>
      </c>
      <c r="E415">
        <v>1</v>
      </c>
      <c r="F415">
        <v>1</v>
      </c>
      <c r="G415">
        <v>1</v>
      </c>
      <c r="H415">
        <v>2</v>
      </c>
      <c r="I415" t="s">
        <v>498</v>
      </c>
      <c r="J415" t="s">
        <v>499</v>
      </c>
      <c r="K415" t="s">
        <v>500</v>
      </c>
      <c r="L415">
        <v>1368</v>
      </c>
      <c r="N415">
        <v>1011</v>
      </c>
      <c r="O415" t="s">
        <v>501</v>
      </c>
      <c r="P415" t="s">
        <v>501</v>
      </c>
      <c r="Q415">
        <v>1</v>
      </c>
      <c r="X415">
        <v>0.28999999999999998</v>
      </c>
      <c r="Y415">
        <v>0</v>
      </c>
      <c r="Z415">
        <v>31.26</v>
      </c>
      <c r="AA415">
        <v>13.5</v>
      </c>
      <c r="AB415">
        <v>0</v>
      </c>
      <c r="AC415">
        <v>0</v>
      </c>
      <c r="AD415">
        <v>1</v>
      </c>
      <c r="AE415">
        <v>0</v>
      </c>
      <c r="AF415" t="s">
        <v>6</v>
      </c>
      <c r="AG415">
        <v>0.28999999999999998</v>
      </c>
      <c r="AH415">
        <v>2</v>
      </c>
      <c r="AI415">
        <v>16784955</v>
      </c>
      <c r="AJ415">
        <v>404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ROW(Source!A137)</f>
        <v>137</v>
      </c>
      <c r="B416">
        <v>16784956</v>
      </c>
      <c r="C416">
        <v>16784952</v>
      </c>
      <c r="D416">
        <v>15164576</v>
      </c>
      <c r="E416">
        <v>17</v>
      </c>
      <c r="F416">
        <v>1</v>
      </c>
      <c r="G416">
        <v>1</v>
      </c>
      <c r="H416">
        <v>3</v>
      </c>
      <c r="I416" t="s">
        <v>781</v>
      </c>
      <c r="J416" t="s">
        <v>6</v>
      </c>
      <c r="K416" t="s">
        <v>801</v>
      </c>
      <c r="L416">
        <v>1348</v>
      </c>
      <c r="N416">
        <v>1009</v>
      </c>
      <c r="O416" t="s">
        <v>65</v>
      </c>
      <c r="P416" t="s">
        <v>65</v>
      </c>
      <c r="Q416">
        <v>1000</v>
      </c>
      <c r="X416">
        <v>2.65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 t="s">
        <v>6</v>
      </c>
      <c r="AG416">
        <v>2.65</v>
      </c>
      <c r="AH416">
        <v>3</v>
      </c>
      <c r="AI416">
        <v>-1</v>
      </c>
      <c r="AJ416" t="s">
        <v>6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ROW(Source!A138)</f>
        <v>138</v>
      </c>
      <c r="B417">
        <v>16784959</v>
      </c>
      <c r="C417">
        <v>16784958</v>
      </c>
      <c r="D417">
        <v>15430767</v>
      </c>
      <c r="E417">
        <v>1</v>
      </c>
      <c r="F417">
        <v>1</v>
      </c>
      <c r="G417">
        <v>1</v>
      </c>
      <c r="H417">
        <v>1</v>
      </c>
      <c r="I417" t="s">
        <v>527</v>
      </c>
      <c r="J417" t="s">
        <v>6</v>
      </c>
      <c r="K417" t="s">
        <v>528</v>
      </c>
      <c r="L417">
        <v>1191</v>
      </c>
      <c r="N417">
        <v>1013</v>
      </c>
      <c r="O417" t="s">
        <v>495</v>
      </c>
      <c r="P417" t="s">
        <v>495</v>
      </c>
      <c r="Q417">
        <v>1</v>
      </c>
      <c r="X417">
        <v>51.3</v>
      </c>
      <c r="Y417">
        <v>0</v>
      </c>
      <c r="Z417">
        <v>0</v>
      </c>
      <c r="AA417">
        <v>0</v>
      </c>
      <c r="AB417">
        <v>8.5299999999999994</v>
      </c>
      <c r="AC417">
        <v>0</v>
      </c>
      <c r="AD417">
        <v>1</v>
      </c>
      <c r="AE417">
        <v>1</v>
      </c>
      <c r="AF417" t="s">
        <v>6</v>
      </c>
      <c r="AG417">
        <v>51.3</v>
      </c>
      <c r="AH417">
        <v>2</v>
      </c>
      <c r="AI417">
        <v>16784959</v>
      </c>
      <c r="AJ417">
        <v>405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ROW(Source!A138)</f>
        <v>138</v>
      </c>
      <c r="B418">
        <v>16784960</v>
      </c>
      <c r="C418">
        <v>16784958</v>
      </c>
      <c r="D418">
        <v>15430395</v>
      </c>
      <c r="E418">
        <v>1</v>
      </c>
      <c r="F418">
        <v>1</v>
      </c>
      <c r="G418">
        <v>1</v>
      </c>
      <c r="H418">
        <v>1</v>
      </c>
      <c r="I418" t="s">
        <v>496</v>
      </c>
      <c r="J418" t="s">
        <v>6</v>
      </c>
      <c r="K418" t="s">
        <v>497</v>
      </c>
      <c r="L418">
        <v>1191</v>
      </c>
      <c r="N418">
        <v>1013</v>
      </c>
      <c r="O418" t="s">
        <v>495</v>
      </c>
      <c r="P418" t="s">
        <v>495</v>
      </c>
      <c r="Q418">
        <v>1</v>
      </c>
      <c r="X418">
        <v>0.26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2</v>
      </c>
      <c r="AF418" t="s">
        <v>6</v>
      </c>
      <c r="AG418">
        <v>0.26</v>
      </c>
      <c r="AH418">
        <v>2</v>
      </c>
      <c r="AI418">
        <v>16784960</v>
      </c>
      <c r="AJ418">
        <v>406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ROW(Source!A138)</f>
        <v>138</v>
      </c>
      <c r="B419">
        <v>16784961</v>
      </c>
      <c r="C419">
        <v>16784958</v>
      </c>
      <c r="D419">
        <v>15247974</v>
      </c>
      <c r="E419">
        <v>1</v>
      </c>
      <c r="F419">
        <v>1</v>
      </c>
      <c r="G419">
        <v>1</v>
      </c>
      <c r="H419">
        <v>2</v>
      </c>
      <c r="I419" t="s">
        <v>498</v>
      </c>
      <c r="J419" t="s">
        <v>499</v>
      </c>
      <c r="K419" t="s">
        <v>500</v>
      </c>
      <c r="L419">
        <v>1368</v>
      </c>
      <c r="N419">
        <v>1011</v>
      </c>
      <c r="O419" t="s">
        <v>501</v>
      </c>
      <c r="P419" t="s">
        <v>501</v>
      </c>
      <c r="Q419">
        <v>1</v>
      </c>
      <c r="X419">
        <v>0.26</v>
      </c>
      <c r="Y419">
        <v>0</v>
      </c>
      <c r="Z419">
        <v>31.26</v>
      </c>
      <c r="AA419">
        <v>13.5</v>
      </c>
      <c r="AB419">
        <v>0</v>
      </c>
      <c r="AC419">
        <v>0</v>
      </c>
      <c r="AD419">
        <v>1</v>
      </c>
      <c r="AE419">
        <v>0</v>
      </c>
      <c r="AF419" t="s">
        <v>6</v>
      </c>
      <c r="AG419">
        <v>0.26</v>
      </c>
      <c r="AH419">
        <v>2</v>
      </c>
      <c r="AI419">
        <v>16784961</v>
      </c>
      <c r="AJ419">
        <v>407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ROW(Source!A138)</f>
        <v>138</v>
      </c>
      <c r="B420">
        <v>16784962</v>
      </c>
      <c r="C420">
        <v>16784958</v>
      </c>
      <c r="D420">
        <v>15164576</v>
      </c>
      <c r="E420">
        <v>17</v>
      </c>
      <c r="F420">
        <v>1</v>
      </c>
      <c r="G420">
        <v>1</v>
      </c>
      <c r="H420">
        <v>3</v>
      </c>
      <c r="I420" t="s">
        <v>781</v>
      </c>
      <c r="J420" t="s">
        <v>6</v>
      </c>
      <c r="K420" t="s">
        <v>801</v>
      </c>
      <c r="L420">
        <v>1348</v>
      </c>
      <c r="N420">
        <v>1009</v>
      </c>
      <c r="O420" t="s">
        <v>65</v>
      </c>
      <c r="P420" t="s">
        <v>65</v>
      </c>
      <c r="Q420">
        <v>1000</v>
      </c>
      <c r="X420">
        <v>1.82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 t="s">
        <v>6</v>
      </c>
      <c r="AG420">
        <v>1.82</v>
      </c>
      <c r="AH420">
        <v>3</v>
      </c>
      <c r="AI420">
        <v>-1</v>
      </c>
      <c r="AJ420" t="s">
        <v>6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ROW(Source!A139)</f>
        <v>139</v>
      </c>
      <c r="B421">
        <v>16784959</v>
      </c>
      <c r="C421">
        <v>16784958</v>
      </c>
      <c r="D421">
        <v>15430767</v>
      </c>
      <c r="E421">
        <v>1</v>
      </c>
      <c r="F421">
        <v>1</v>
      </c>
      <c r="G421">
        <v>1</v>
      </c>
      <c r="H421">
        <v>1</v>
      </c>
      <c r="I421" t="s">
        <v>527</v>
      </c>
      <c r="J421" t="s">
        <v>6</v>
      </c>
      <c r="K421" t="s">
        <v>528</v>
      </c>
      <c r="L421">
        <v>1191</v>
      </c>
      <c r="N421">
        <v>1013</v>
      </c>
      <c r="O421" t="s">
        <v>495</v>
      </c>
      <c r="P421" t="s">
        <v>495</v>
      </c>
      <c r="Q421">
        <v>1</v>
      </c>
      <c r="X421">
        <v>51.3</v>
      </c>
      <c r="Y421">
        <v>0</v>
      </c>
      <c r="Z421">
        <v>0</v>
      </c>
      <c r="AA421">
        <v>0</v>
      </c>
      <c r="AB421">
        <v>8.5299999999999994</v>
      </c>
      <c r="AC421">
        <v>0</v>
      </c>
      <c r="AD421">
        <v>1</v>
      </c>
      <c r="AE421">
        <v>1</v>
      </c>
      <c r="AF421" t="s">
        <v>6</v>
      </c>
      <c r="AG421">
        <v>51.3</v>
      </c>
      <c r="AH421">
        <v>2</v>
      </c>
      <c r="AI421">
        <v>16784959</v>
      </c>
      <c r="AJ421">
        <v>408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ROW(Source!A139)</f>
        <v>139</v>
      </c>
      <c r="B422">
        <v>16784960</v>
      </c>
      <c r="C422">
        <v>16784958</v>
      </c>
      <c r="D422">
        <v>15430395</v>
      </c>
      <c r="E422">
        <v>1</v>
      </c>
      <c r="F422">
        <v>1</v>
      </c>
      <c r="G422">
        <v>1</v>
      </c>
      <c r="H422">
        <v>1</v>
      </c>
      <c r="I422" t="s">
        <v>496</v>
      </c>
      <c r="J422" t="s">
        <v>6</v>
      </c>
      <c r="K422" t="s">
        <v>497</v>
      </c>
      <c r="L422">
        <v>1191</v>
      </c>
      <c r="N422">
        <v>1013</v>
      </c>
      <c r="O422" t="s">
        <v>495</v>
      </c>
      <c r="P422" t="s">
        <v>495</v>
      </c>
      <c r="Q422">
        <v>1</v>
      </c>
      <c r="X422">
        <v>0.26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2</v>
      </c>
      <c r="AF422" t="s">
        <v>6</v>
      </c>
      <c r="AG422">
        <v>0.26</v>
      </c>
      <c r="AH422">
        <v>2</v>
      </c>
      <c r="AI422">
        <v>16784960</v>
      </c>
      <c r="AJ422">
        <v>409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ROW(Source!A139)</f>
        <v>139</v>
      </c>
      <c r="B423">
        <v>16784961</v>
      </c>
      <c r="C423">
        <v>16784958</v>
      </c>
      <c r="D423">
        <v>15247974</v>
      </c>
      <c r="E423">
        <v>1</v>
      </c>
      <c r="F423">
        <v>1</v>
      </c>
      <c r="G423">
        <v>1</v>
      </c>
      <c r="H423">
        <v>2</v>
      </c>
      <c r="I423" t="s">
        <v>498</v>
      </c>
      <c r="J423" t="s">
        <v>499</v>
      </c>
      <c r="K423" t="s">
        <v>500</v>
      </c>
      <c r="L423">
        <v>1368</v>
      </c>
      <c r="N423">
        <v>1011</v>
      </c>
      <c r="O423" t="s">
        <v>501</v>
      </c>
      <c r="P423" t="s">
        <v>501</v>
      </c>
      <c r="Q423">
        <v>1</v>
      </c>
      <c r="X423">
        <v>0.26</v>
      </c>
      <c r="Y423">
        <v>0</v>
      </c>
      <c r="Z423">
        <v>31.26</v>
      </c>
      <c r="AA423">
        <v>13.5</v>
      </c>
      <c r="AB423">
        <v>0</v>
      </c>
      <c r="AC423">
        <v>0</v>
      </c>
      <c r="AD423">
        <v>1</v>
      </c>
      <c r="AE423">
        <v>0</v>
      </c>
      <c r="AF423" t="s">
        <v>6</v>
      </c>
      <c r="AG423">
        <v>0.26</v>
      </c>
      <c r="AH423">
        <v>2</v>
      </c>
      <c r="AI423">
        <v>16784961</v>
      </c>
      <c r="AJ423">
        <v>410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ROW(Source!A139)</f>
        <v>139</v>
      </c>
      <c r="B424">
        <v>16784962</v>
      </c>
      <c r="C424">
        <v>16784958</v>
      </c>
      <c r="D424">
        <v>15164576</v>
      </c>
      <c r="E424">
        <v>17</v>
      </c>
      <c r="F424">
        <v>1</v>
      </c>
      <c r="G424">
        <v>1</v>
      </c>
      <c r="H424">
        <v>3</v>
      </c>
      <c r="I424" t="s">
        <v>781</v>
      </c>
      <c r="J424" t="s">
        <v>6</v>
      </c>
      <c r="K424" t="s">
        <v>801</v>
      </c>
      <c r="L424">
        <v>1348</v>
      </c>
      <c r="N424">
        <v>1009</v>
      </c>
      <c r="O424" t="s">
        <v>65</v>
      </c>
      <c r="P424" t="s">
        <v>65</v>
      </c>
      <c r="Q424">
        <v>1000</v>
      </c>
      <c r="X424">
        <v>1.82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 t="s">
        <v>6</v>
      </c>
      <c r="AG424">
        <v>1.82</v>
      </c>
      <c r="AH424">
        <v>3</v>
      </c>
      <c r="AI424">
        <v>-1</v>
      </c>
      <c r="AJ424" t="s">
        <v>6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ROW(Source!A140)</f>
        <v>140</v>
      </c>
      <c r="B425">
        <v>16784993</v>
      </c>
      <c r="C425">
        <v>16784992</v>
      </c>
      <c r="D425">
        <v>15435721</v>
      </c>
      <c r="E425">
        <v>1</v>
      </c>
      <c r="F425">
        <v>1</v>
      </c>
      <c r="G425">
        <v>1</v>
      </c>
      <c r="H425">
        <v>1</v>
      </c>
      <c r="I425" t="s">
        <v>722</v>
      </c>
      <c r="J425" t="s">
        <v>6</v>
      </c>
      <c r="K425" t="s">
        <v>723</v>
      </c>
      <c r="L425">
        <v>1191</v>
      </c>
      <c r="N425">
        <v>1013</v>
      </c>
      <c r="O425" t="s">
        <v>495</v>
      </c>
      <c r="P425" t="s">
        <v>495</v>
      </c>
      <c r="Q425">
        <v>1</v>
      </c>
      <c r="X425">
        <v>24.64</v>
      </c>
      <c r="Y425">
        <v>0</v>
      </c>
      <c r="Z425">
        <v>0</v>
      </c>
      <c r="AA425">
        <v>0</v>
      </c>
      <c r="AB425">
        <v>9.51</v>
      </c>
      <c r="AC425">
        <v>0</v>
      </c>
      <c r="AD425">
        <v>1</v>
      </c>
      <c r="AE425">
        <v>1</v>
      </c>
      <c r="AF425" t="s">
        <v>28</v>
      </c>
      <c r="AG425">
        <v>28.335999999999999</v>
      </c>
      <c r="AH425">
        <v>2</v>
      </c>
      <c r="AI425">
        <v>16784993</v>
      </c>
      <c r="AJ425">
        <v>411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ROW(Source!A140)</f>
        <v>140</v>
      </c>
      <c r="B426">
        <v>16784994</v>
      </c>
      <c r="C426">
        <v>16784992</v>
      </c>
      <c r="D426">
        <v>15430395</v>
      </c>
      <c r="E426">
        <v>1</v>
      </c>
      <c r="F426">
        <v>1</v>
      </c>
      <c r="G426">
        <v>1</v>
      </c>
      <c r="H426">
        <v>1</v>
      </c>
      <c r="I426" t="s">
        <v>496</v>
      </c>
      <c r="J426" t="s">
        <v>6</v>
      </c>
      <c r="K426" t="s">
        <v>497</v>
      </c>
      <c r="L426">
        <v>1191</v>
      </c>
      <c r="N426">
        <v>1013</v>
      </c>
      <c r="O426" t="s">
        <v>495</v>
      </c>
      <c r="P426" t="s">
        <v>495</v>
      </c>
      <c r="Q426">
        <v>1</v>
      </c>
      <c r="X426">
        <v>0.71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2</v>
      </c>
      <c r="AF426" t="s">
        <v>27</v>
      </c>
      <c r="AG426">
        <v>0.88749999999999996</v>
      </c>
      <c r="AH426">
        <v>2</v>
      </c>
      <c r="AI426">
        <v>16784994</v>
      </c>
      <c r="AJ426">
        <v>412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ROW(Source!A140)</f>
        <v>140</v>
      </c>
      <c r="B427">
        <v>16784995</v>
      </c>
      <c r="C427">
        <v>16784992</v>
      </c>
      <c r="D427">
        <v>15247974</v>
      </c>
      <c r="E427">
        <v>1</v>
      </c>
      <c r="F427">
        <v>1</v>
      </c>
      <c r="G427">
        <v>1</v>
      </c>
      <c r="H427">
        <v>2</v>
      </c>
      <c r="I427" t="s">
        <v>498</v>
      </c>
      <c r="J427" t="s">
        <v>499</v>
      </c>
      <c r="K427" t="s">
        <v>500</v>
      </c>
      <c r="L427">
        <v>1368</v>
      </c>
      <c r="N427">
        <v>1011</v>
      </c>
      <c r="O427" t="s">
        <v>501</v>
      </c>
      <c r="P427" t="s">
        <v>501</v>
      </c>
      <c r="Q427">
        <v>1</v>
      </c>
      <c r="X427">
        <v>0.32</v>
      </c>
      <c r="Y427">
        <v>0</v>
      </c>
      <c r="Z427">
        <v>31.26</v>
      </c>
      <c r="AA427">
        <v>13.5</v>
      </c>
      <c r="AB427">
        <v>0</v>
      </c>
      <c r="AC427">
        <v>0</v>
      </c>
      <c r="AD427">
        <v>1</v>
      </c>
      <c r="AE427">
        <v>0</v>
      </c>
      <c r="AF427" t="s">
        <v>27</v>
      </c>
      <c r="AG427">
        <v>0.4</v>
      </c>
      <c r="AH427">
        <v>2</v>
      </c>
      <c r="AI427">
        <v>16784995</v>
      </c>
      <c r="AJ427">
        <v>413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ROW(Source!A140)</f>
        <v>140</v>
      </c>
      <c r="B428">
        <v>16784996</v>
      </c>
      <c r="C428">
        <v>16784992</v>
      </c>
      <c r="D428">
        <v>15249073</v>
      </c>
      <c r="E428">
        <v>1</v>
      </c>
      <c r="F428">
        <v>1</v>
      </c>
      <c r="G428">
        <v>1</v>
      </c>
      <c r="H428">
        <v>2</v>
      </c>
      <c r="I428" t="s">
        <v>504</v>
      </c>
      <c r="J428" t="s">
        <v>505</v>
      </c>
      <c r="K428" t="s">
        <v>506</v>
      </c>
      <c r="L428">
        <v>1368</v>
      </c>
      <c r="N428">
        <v>1011</v>
      </c>
      <c r="O428" t="s">
        <v>501</v>
      </c>
      <c r="P428" t="s">
        <v>501</v>
      </c>
      <c r="Q428">
        <v>1</v>
      </c>
      <c r="X428">
        <v>0.39</v>
      </c>
      <c r="Y428">
        <v>0</v>
      </c>
      <c r="Z428">
        <v>65.709999999999994</v>
      </c>
      <c r="AA428">
        <v>11.6</v>
      </c>
      <c r="AB428">
        <v>0</v>
      </c>
      <c r="AC428">
        <v>0</v>
      </c>
      <c r="AD428">
        <v>1</v>
      </c>
      <c r="AE428">
        <v>0</v>
      </c>
      <c r="AF428" t="s">
        <v>27</v>
      </c>
      <c r="AG428">
        <v>0.48750000000000004</v>
      </c>
      <c r="AH428">
        <v>2</v>
      </c>
      <c r="AI428">
        <v>16784996</v>
      </c>
      <c r="AJ428">
        <v>414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ROW(Source!A140)</f>
        <v>140</v>
      </c>
      <c r="B429">
        <v>16784997</v>
      </c>
      <c r="C429">
        <v>16784992</v>
      </c>
      <c r="D429">
        <v>15167955</v>
      </c>
      <c r="E429">
        <v>1</v>
      </c>
      <c r="F429">
        <v>1</v>
      </c>
      <c r="G429">
        <v>1</v>
      </c>
      <c r="H429">
        <v>3</v>
      </c>
      <c r="I429" t="s">
        <v>724</v>
      </c>
      <c r="J429" t="s">
        <v>725</v>
      </c>
      <c r="K429" t="s">
        <v>726</v>
      </c>
      <c r="L429">
        <v>1348</v>
      </c>
      <c r="N429">
        <v>1009</v>
      </c>
      <c r="O429" t="s">
        <v>65</v>
      </c>
      <c r="P429" t="s">
        <v>65</v>
      </c>
      <c r="Q429">
        <v>1000</v>
      </c>
      <c r="X429">
        <v>1E-3</v>
      </c>
      <c r="Y429">
        <v>30030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6</v>
      </c>
      <c r="AG429">
        <v>1E-3</v>
      </c>
      <c r="AH429">
        <v>2</v>
      </c>
      <c r="AI429">
        <v>16784997</v>
      </c>
      <c r="AJ429">
        <v>415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ROW(Source!A140)</f>
        <v>140</v>
      </c>
      <c r="B430">
        <v>16784998</v>
      </c>
      <c r="C430">
        <v>16784992</v>
      </c>
      <c r="D430">
        <v>15167963</v>
      </c>
      <c r="E430">
        <v>1</v>
      </c>
      <c r="F430">
        <v>1</v>
      </c>
      <c r="G430">
        <v>1</v>
      </c>
      <c r="H430">
        <v>3</v>
      </c>
      <c r="I430" t="s">
        <v>727</v>
      </c>
      <c r="J430" t="s">
        <v>728</v>
      </c>
      <c r="K430" t="s">
        <v>729</v>
      </c>
      <c r="L430">
        <v>1346</v>
      </c>
      <c r="N430">
        <v>1009</v>
      </c>
      <c r="O430" t="s">
        <v>60</v>
      </c>
      <c r="P430" t="s">
        <v>60</v>
      </c>
      <c r="Q430">
        <v>1</v>
      </c>
      <c r="X430">
        <v>0.04</v>
      </c>
      <c r="Y430">
        <v>37.29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6</v>
      </c>
      <c r="AG430">
        <v>0.04</v>
      </c>
      <c r="AH430">
        <v>2</v>
      </c>
      <c r="AI430">
        <v>16784998</v>
      </c>
      <c r="AJ430">
        <v>416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ROW(Source!A140)</f>
        <v>140</v>
      </c>
      <c r="B431">
        <v>16784999</v>
      </c>
      <c r="C431">
        <v>16784992</v>
      </c>
      <c r="D431">
        <v>15163011</v>
      </c>
      <c r="E431">
        <v>17</v>
      </c>
      <c r="F431">
        <v>1</v>
      </c>
      <c r="G431">
        <v>1</v>
      </c>
      <c r="H431">
        <v>3</v>
      </c>
      <c r="I431" t="s">
        <v>807</v>
      </c>
      <c r="J431" t="s">
        <v>6</v>
      </c>
      <c r="K431" t="s">
        <v>808</v>
      </c>
      <c r="L431">
        <v>1358</v>
      </c>
      <c r="N431">
        <v>1010</v>
      </c>
      <c r="O431" t="s">
        <v>519</v>
      </c>
      <c r="P431" t="s">
        <v>519</v>
      </c>
      <c r="Q431">
        <v>10</v>
      </c>
      <c r="X431">
        <v>4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 t="s">
        <v>6</v>
      </c>
      <c r="AG431">
        <v>4</v>
      </c>
      <c r="AH431">
        <v>3</v>
      </c>
      <c r="AI431">
        <v>-1</v>
      </c>
      <c r="AJ431" t="s">
        <v>6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ROW(Source!A140)</f>
        <v>140</v>
      </c>
      <c r="B432">
        <v>16785000</v>
      </c>
      <c r="C432">
        <v>16784992</v>
      </c>
      <c r="D432">
        <v>15170213</v>
      </c>
      <c r="E432">
        <v>1</v>
      </c>
      <c r="F432">
        <v>1</v>
      </c>
      <c r="G432">
        <v>1</v>
      </c>
      <c r="H432">
        <v>3</v>
      </c>
      <c r="I432" t="s">
        <v>730</v>
      </c>
      <c r="J432" t="s">
        <v>731</v>
      </c>
      <c r="K432" t="s">
        <v>732</v>
      </c>
      <c r="L432">
        <v>1346</v>
      </c>
      <c r="N432">
        <v>1009</v>
      </c>
      <c r="O432" t="s">
        <v>60</v>
      </c>
      <c r="P432" t="s">
        <v>60</v>
      </c>
      <c r="Q432">
        <v>1</v>
      </c>
      <c r="X432">
        <v>20</v>
      </c>
      <c r="Y432">
        <v>6.5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0</v>
      </c>
      <c r="AF432" t="s">
        <v>6</v>
      </c>
      <c r="AG432">
        <v>20</v>
      </c>
      <c r="AH432">
        <v>2</v>
      </c>
      <c r="AI432">
        <v>16785000</v>
      </c>
      <c r="AJ432">
        <v>417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ROW(Source!A140)</f>
        <v>140</v>
      </c>
      <c r="B433">
        <v>16785001</v>
      </c>
      <c r="C433">
        <v>16784992</v>
      </c>
      <c r="D433">
        <v>15162072</v>
      </c>
      <c r="E433">
        <v>17</v>
      </c>
      <c r="F433">
        <v>1</v>
      </c>
      <c r="G433">
        <v>1</v>
      </c>
      <c r="H433">
        <v>3</v>
      </c>
      <c r="I433" t="s">
        <v>809</v>
      </c>
      <c r="J433" t="s">
        <v>6</v>
      </c>
      <c r="K433" t="s">
        <v>810</v>
      </c>
      <c r="L433">
        <v>1348</v>
      </c>
      <c r="N433">
        <v>1009</v>
      </c>
      <c r="O433" t="s">
        <v>65</v>
      </c>
      <c r="P433" t="s">
        <v>65</v>
      </c>
      <c r="Q433">
        <v>1000</v>
      </c>
      <c r="X433">
        <v>5.0000000000000001E-4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 t="s">
        <v>6</v>
      </c>
      <c r="AG433">
        <v>5.0000000000000001E-4</v>
      </c>
      <c r="AH433">
        <v>3</v>
      </c>
      <c r="AI433">
        <v>-1</v>
      </c>
      <c r="AJ433" t="s">
        <v>6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ROW(Source!A140)</f>
        <v>140</v>
      </c>
      <c r="B434">
        <v>16785002</v>
      </c>
      <c r="C434">
        <v>16784992</v>
      </c>
      <c r="D434">
        <v>15170815</v>
      </c>
      <c r="E434">
        <v>1</v>
      </c>
      <c r="F434">
        <v>1</v>
      </c>
      <c r="G434">
        <v>1</v>
      </c>
      <c r="H434">
        <v>3</v>
      </c>
      <c r="I434" t="s">
        <v>733</v>
      </c>
      <c r="J434" t="s">
        <v>734</v>
      </c>
      <c r="K434" t="s">
        <v>735</v>
      </c>
      <c r="L434">
        <v>1346</v>
      </c>
      <c r="N434">
        <v>1009</v>
      </c>
      <c r="O434" t="s">
        <v>60</v>
      </c>
      <c r="P434" t="s">
        <v>60</v>
      </c>
      <c r="Q434">
        <v>1</v>
      </c>
      <c r="X434">
        <v>0.8</v>
      </c>
      <c r="Y434">
        <v>13.56</v>
      </c>
      <c r="Z434">
        <v>0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6</v>
      </c>
      <c r="AG434">
        <v>0.8</v>
      </c>
      <c r="AH434">
        <v>2</v>
      </c>
      <c r="AI434">
        <v>16785002</v>
      </c>
      <c r="AJ434">
        <v>419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ROW(Source!A140)</f>
        <v>140</v>
      </c>
      <c r="B435">
        <v>16785003</v>
      </c>
      <c r="C435">
        <v>16784992</v>
      </c>
      <c r="D435">
        <v>15202525</v>
      </c>
      <c r="E435">
        <v>1</v>
      </c>
      <c r="F435">
        <v>1</v>
      </c>
      <c r="G435">
        <v>1</v>
      </c>
      <c r="H435">
        <v>3</v>
      </c>
      <c r="I435" t="s">
        <v>736</v>
      </c>
      <c r="J435" t="s">
        <v>737</v>
      </c>
      <c r="K435" t="s">
        <v>738</v>
      </c>
      <c r="L435">
        <v>1348</v>
      </c>
      <c r="N435">
        <v>1009</v>
      </c>
      <c r="O435" t="s">
        <v>65</v>
      </c>
      <c r="P435" t="s">
        <v>65</v>
      </c>
      <c r="Q435">
        <v>1000</v>
      </c>
      <c r="X435">
        <v>8.0000000000000004E-4</v>
      </c>
      <c r="Y435">
        <v>12330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6</v>
      </c>
      <c r="AG435">
        <v>8.0000000000000004E-4</v>
      </c>
      <c r="AH435">
        <v>2</v>
      </c>
      <c r="AI435">
        <v>16785003</v>
      </c>
      <c r="AJ435">
        <v>420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ROW(Source!A140)</f>
        <v>140</v>
      </c>
      <c r="B436">
        <v>16785004</v>
      </c>
      <c r="C436">
        <v>16784992</v>
      </c>
      <c r="D436">
        <v>15203740</v>
      </c>
      <c r="E436">
        <v>1</v>
      </c>
      <c r="F436">
        <v>1</v>
      </c>
      <c r="G436">
        <v>1</v>
      </c>
      <c r="H436">
        <v>3</v>
      </c>
      <c r="I436" t="s">
        <v>739</v>
      </c>
      <c r="J436" t="s">
        <v>740</v>
      </c>
      <c r="K436" t="s">
        <v>741</v>
      </c>
      <c r="L436">
        <v>1348</v>
      </c>
      <c r="N436">
        <v>1009</v>
      </c>
      <c r="O436" t="s">
        <v>65</v>
      </c>
      <c r="P436" t="s">
        <v>65</v>
      </c>
      <c r="Q436">
        <v>1000</v>
      </c>
      <c r="X436">
        <v>4.0000000000000002E-4</v>
      </c>
      <c r="Y436">
        <v>15119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6</v>
      </c>
      <c r="AG436">
        <v>4.0000000000000002E-4</v>
      </c>
      <c r="AH436">
        <v>2</v>
      </c>
      <c r="AI436">
        <v>16785004</v>
      </c>
      <c r="AJ436">
        <v>421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ROW(Source!A140)</f>
        <v>140</v>
      </c>
      <c r="B437">
        <v>16785005</v>
      </c>
      <c r="C437">
        <v>16784992</v>
      </c>
      <c r="D437">
        <v>15163194</v>
      </c>
      <c r="E437">
        <v>17</v>
      </c>
      <c r="F437">
        <v>1</v>
      </c>
      <c r="G437">
        <v>1</v>
      </c>
      <c r="H437">
        <v>3</v>
      </c>
      <c r="I437" t="s">
        <v>811</v>
      </c>
      <c r="J437" t="s">
        <v>6</v>
      </c>
      <c r="K437" t="s">
        <v>812</v>
      </c>
      <c r="L437">
        <v>1346</v>
      </c>
      <c r="N437">
        <v>1009</v>
      </c>
      <c r="O437" t="s">
        <v>60</v>
      </c>
      <c r="P437" t="s">
        <v>60</v>
      </c>
      <c r="Q437">
        <v>1</v>
      </c>
      <c r="X437">
        <v>4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 t="s">
        <v>6</v>
      </c>
      <c r="AG437">
        <v>4</v>
      </c>
      <c r="AH437">
        <v>3</v>
      </c>
      <c r="AI437">
        <v>-1</v>
      </c>
      <c r="AJ437" t="s">
        <v>6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ROW(Source!A140)</f>
        <v>140</v>
      </c>
      <c r="B438">
        <v>16785006</v>
      </c>
      <c r="C438">
        <v>16784992</v>
      </c>
      <c r="D438">
        <v>15204468</v>
      </c>
      <c r="E438">
        <v>1</v>
      </c>
      <c r="F438">
        <v>1</v>
      </c>
      <c r="G438">
        <v>1</v>
      </c>
      <c r="H438">
        <v>3</v>
      </c>
      <c r="I438" t="s">
        <v>659</v>
      </c>
      <c r="J438" t="s">
        <v>660</v>
      </c>
      <c r="K438" t="s">
        <v>661</v>
      </c>
      <c r="L438">
        <v>1348</v>
      </c>
      <c r="N438">
        <v>1009</v>
      </c>
      <c r="O438" t="s">
        <v>65</v>
      </c>
      <c r="P438" t="s">
        <v>65</v>
      </c>
      <c r="Q438">
        <v>1000</v>
      </c>
      <c r="X438">
        <v>2.0000000000000001E-4</v>
      </c>
      <c r="Y438">
        <v>16950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2.0000000000000001E-4</v>
      </c>
      <c r="AH438">
        <v>2</v>
      </c>
      <c r="AI438">
        <v>16785006</v>
      </c>
      <c r="AJ438">
        <v>422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ROW(Source!A140)</f>
        <v>140</v>
      </c>
      <c r="B439">
        <v>16785007</v>
      </c>
      <c r="C439">
        <v>16784992</v>
      </c>
      <c r="D439">
        <v>15163189</v>
      </c>
      <c r="E439">
        <v>17</v>
      </c>
      <c r="F439">
        <v>1</v>
      </c>
      <c r="G439">
        <v>1</v>
      </c>
      <c r="H439">
        <v>3</v>
      </c>
      <c r="I439" t="s">
        <v>332</v>
      </c>
      <c r="J439" t="s">
        <v>6</v>
      </c>
      <c r="K439" t="s">
        <v>333</v>
      </c>
      <c r="L439">
        <v>1035</v>
      </c>
      <c r="N439">
        <v>1013</v>
      </c>
      <c r="O439" t="s">
        <v>222</v>
      </c>
      <c r="P439" t="s">
        <v>222</v>
      </c>
      <c r="Q439">
        <v>1</v>
      </c>
      <c r="X439">
        <v>10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 t="s">
        <v>6</v>
      </c>
      <c r="AG439">
        <v>10</v>
      </c>
      <c r="AH439">
        <v>3</v>
      </c>
      <c r="AI439">
        <v>-1</v>
      </c>
      <c r="AJ439" t="s">
        <v>6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ROW(Source!A141)</f>
        <v>141</v>
      </c>
      <c r="B440">
        <v>16784993</v>
      </c>
      <c r="C440">
        <v>16784992</v>
      </c>
      <c r="D440">
        <v>15435721</v>
      </c>
      <c r="E440">
        <v>1</v>
      </c>
      <c r="F440">
        <v>1</v>
      </c>
      <c r="G440">
        <v>1</v>
      </c>
      <c r="H440">
        <v>1</v>
      </c>
      <c r="I440" t="s">
        <v>722</v>
      </c>
      <c r="J440" t="s">
        <v>6</v>
      </c>
      <c r="K440" t="s">
        <v>723</v>
      </c>
      <c r="L440">
        <v>1191</v>
      </c>
      <c r="N440">
        <v>1013</v>
      </c>
      <c r="O440" t="s">
        <v>495</v>
      </c>
      <c r="P440" t="s">
        <v>495</v>
      </c>
      <c r="Q440">
        <v>1</v>
      </c>
      <c r="X440">
        <v>24.64</v>
      </c>
      <c r="Y440">
        <v>0</v>
      </c>
      <c r="Z440">
        <v>0</v>
      </c>
      <c r="AA440">
        <v>0</v>
      </c>
      <c r="AB440">
        <v>9.51</v>
      </c>
      <c r="AC440">
        <v>0</v>
      </c>
      <c r="AD440">
        <v>1</v>
      </c>
      <c r="AE440">
        <v>1</v>
      </c>
      <c r="AF440" t="s">
        <v>28</v>
      </c>
      <c r="AG440">
        <v>28.335999999999999</v>
      </c>
      <c r="AH440">
        <v>2</v>
      </c>
      <c r="AI440">
        <v>16784993</v>
      </c>
      <c r="AJ440">
        <v>425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ROW(Source!A141)</f>
        <v>141</v>
      </c>
      <c r="B441">
        <v>16784994</v>
      </c>
      <c r="C441">
        <v>16784992</v>
      </c>
      <c r="D441">
        <v>15430395</v>
      </c>
      <c r="E441">
        <v>1</v>
      </c>
      <c r="F441">
        <v>1</v>
      </c>
      <c r="G441">
        <v>1</v>
      </c>
      <c r="H441">
        <v>1</v>
      </c>
      <c r="I441" t="s">
        <v>496</v>
      </c>
      <c r="J441" t="s">
        <v>6</v>
      </c>
      <c r="K441" t="s">
        <v>497</v>
      </c>
      <c r="L441">
        <v>1191</v>
      </c>
      <c r="N441">
        <v>1013</v>
      </c>
      <c r="O441" t="s">
        <v>495</v>
      </c>
      <c r="P441" t="s">
        <v>495</v>
      </c>
      <c r="Q441">
        <v>1</v>
      </c>
      <c r="X441">
        <v>0.71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2</v>
      </c>
      <c r="AF441" t="s">
        <v>27</v>
      </c>
      <c r="AG441">
        <v>0.88749999999999996</v>
      </c>
      <c r="AH441">
        <v>2</v>
      </c>
      <c r="AI441">
        <v>16784994</v>
      </c>
      <c r="AJ441">
        <v>426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ROW(Source!A141)</f>
        <v>141</v>
      </c>
      <c r="B442">
        <v>16784995</v>
      </c>
      <c r="C442">
        <v>16784992</v>
      </c>
      <c r="D442">
        <v>15247974</v>
      </c>
      <c r="E442">
        <v>1</v>
      </c>
      <c r="F442">
        <v>1</v>
      </c>
      <c r="G442">
        <v>1</v>
      </c>
      <c r="H442">
        <v>2</v>
      </c>
      <c r="I442" t="s">
        <v>498</v>
      </c>
      <c r="J442" t="s">
        <v>499</v>
      </c>
      <c r="K442" t="s">
        <v>500</v>
      </c>
      <c r="L442">
        <v>1368</v>
      </c>
      <c r="N442">
        <v>1011</v>
      </c>
      <c r="O442" t="s">
        <v>501</v>
      </c>
      <c r="P442" t="s">
        <v>501</v>
      </c>
      <c r="Q442">
        <v>1</v>
      </c>
      <c r="X442">
        <v>0.32</v>
      </c>
      <c r="Y442">
        <v>0</v>
      </c>
      <c r="Z442">
        <v>31.26</v>
      </c>
      <c r="AA442">
        <v>13.5</v>
      </c>
      <c r="AB442">
        <v>0</v>
      </c>
      <c r="AC442">
        <v>0</v>
      </c>
      <c r="AD442">
        <v>1</v>
      </c>
      <c r="AE442">
        <v>0</v>
      </c>
      <c r="AF442" t="s">
        <v>27</v>
      </c>
      <c r="AG442">
        <v>0.4</v>
      </c>
      <c r="AH442">
        <v>2</v>
      </c>
      <c r="AI442">
        <v>16784995</v>
      </c>
      <c r="AJ442">
        <v>427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ROW(Source!A141)</f>
        <v>141</v>
      </c>
      <c r="B443">
        <v>16784996</v>
      </c>
      <c r="C443">
        <v>16784992</v>
      </c>
      <c r="D443">
        <v>15249073</v>
      </c>
      <c r="E443">
        <v>1</v>
      </c>
      <c r="F443">
        <v>1</v>
      </c>
      <c r="G443">
        <v>1</v>
      </c>
      <c r="H443">
        <v>2</v>
      </c>
      <c r="I443" t="s">
        <v>504</v>
      </c>
      <c r="J443" t="s">
        <v>505</v>
      </c>
      <c r="K443" t="s">
        <v>506</v>
      </c>
      <c r="L443">
        <v>1368</v>
      </c>
      <c r="N443">
        <v>1011</v>
      </c>
      <c r="O443" t="s">
        <v>501</v>
      </c>
      <c r="P443" t="s">
        <v>501</v>
      </c>
      <c r="Q443">
        <v>1</v>
      </c>
      <c r="X443">
        <v>0.39</v>
      </c>
      <c r="Y443">
        <v>0</v>
      </c>
      <c r="Z443">
        <v>65.709999999999994</v>
      </c>
      <c r="AA443">
        <v>11.6</v>
      </c>
      <c r="AB443">
        <v>0</v>
      </c>
      <c r="AC443">
        <v>0</v>
      </c>
      <c r="AD443">
        <v>1</v>
      </c>
      <c r="AE443">
        <v>0</v>
      </c>
      <c r="AF443" t="s">
        <v>27</v>
      </c>
      <c r="AG443">
        <v>0.48750000000000004</v>
      </c>
      <c r="AH443">
        <v>2</v>
      </c>
      <c r="AI443">
        <v>16784996</v>
      </c>
      <c r="AJ443">
        <v>428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ROW(Source!A141)</f>
        <v>141</v>
      </c>
      <c r="B444">
        <v>16784997</v>
      </c>
      <c r="C444">
        <v>16784992</v>
      </c>
      <c r="D444">
        <v>15167955</v>
      </c>
      <c r="E444">
        <v>1</v>
      </c>
      <c r="F444">
        <v>1</v>
      </c>
      <c r="G444">
        <v>1</v>
      </c>
      <c r="H444">
        <v>3</v>
      </c>
      <c r="I444" t="s">
        <v>724</v>
      </c>
      <c r="J444" t="s">
        <v>725</v>
      </c>
      <c r="K444" t="s">
        <v>726</v>
      </c>
      <c r="L444">
        <v>1348</v>
      </c>
      <c r="N444">
        <v>1009</v>
      </c>
      <c r="O444" t="s">
        <v>65</v>
      </c>
      <c r="P444" t="s">
        <v>65</v>
      </c>
      <c r="Q444">
        <v>1000</v>
      </c>
      <c r="X444">
        <v>1E-3</v>
      </c>
      <c r="Y444">
        <v>30030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6</v>
      </c>
      <c r="AG444">
        <v>1E-3</v>
      </c>
      <c r="AH444">
        <v>2</v>
      </c>
      <c r="AI444">
        <v>16784997</v>
      </c>
      <c r="AJ444">
        <v>429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ROW(Source!A141)</f>
        <v>141</v>
      </c>
      <c r="B445">
        <v>16784998</v>
      </c>
      <c r="C445">
        <v>16784992</v>
      </c>
      <c r="D445">
        <v>15167963</v>
      </c>
      <c r="E445">
        <v>1</v>
      </c>
      <c r="F445">
        <v>1</v>
      </c>
      <c r="G445">
        <v>1</v>
      </c>
      <c r="H445">
        <v>3</v>
      </c>
      <c r="I445" t="s">
        <v>727</v>
      </c>
      <c r="J445" t="s">
        <v>728</v>
      </c>
      <c r="K445" t="s">
        <v>729</v>
      </c>
      <c r="L445">
        <v>1346</v>
      </c>
      <c r="N445">
        <v>1009</v>
      </c>
      <c r="O445" t="s">
        <v>60</v>
      </c>
      <c r="P445" t="s">
        <v>60</v>
      </c>
      <c r="Q445">
        <v>1</v>
      </c>
      <c r="X445">
        <v>0.04</v>
      </c>
      <c r="Y445">
        <v>37.29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6</v>
      </c>
      <c r="AG445">
        <v>0.04</v>
      </c>
      <c r="AH445">
        <v>2</v>
      </c>
      <c r="AI445">
        <v>16784998</v>
      </c>
      <c r="AJ445">
        <v>430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ROW(Source!A141)</f>
        <v>141</v>
      </c>
      <c r="B446">
        <v>16784999</v>
      </c>
      <c r="C446">
        <v>16784992</v>
      </c>
      <c r="D446">
        <v>15163011</v>
      </c>
      <c r="E446">
        <v>17</v>
      </c>
      <c r="F446">
        <v>1</v>
      </c>
      <c r="G446">
        <v>1</v>
      </c>
      <c r="H446">
        <v>3</v>
      </c>
      <c r="I446" t="s">
        <v>807</v>
      </c>
      <c r="J446" t="s">
        <v>6</v>
      </c>
      <c r="K446" t="s">
        <v>808</v>
      </c>
      <c r="L446">
        <v>1358</v>
      </c>
      <c r="N446">
        <v>1010</v>
      </c>
      <c r="O446" t="s">
        <v>519</v>
      </c>
      <c r="P446" t="s">
        <v>519</v>
      </c>
      <c r="Q446">
        <v>10</v>
      </c>
      <c r="X446">
        <v>4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 t="s">
        <v>6</v>
      </c>
      <c r="AG446">
        <v>4</v>
      </c>
      <c r="AH446">
        <v>3</v>
      </c>
      <c r="AI446">
        <v>-1</v>
      </c>
      <c r="AJ446" t="s">
        <v>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ROW(Source!A141)</f>
        <v>141</v>
      </c>
      <c r="B447">
        <v>16785000</v>
      </c>
      <c r="C447">
        <v>16784992</v>
      </c>
      <c r="D447">
        <v>15170213</v>
      </c>
      <c r="E447">
        <v>1</v>
      </c>
      <c r="F447">
        <v>1</v>
      </c>
      <c r="G447">
        <v>1</v>
      </c>
      <c r="H447">
        <v>3</v>
      </c>
      <c r="I447" t="s">
        <v>730</v>
      </c>
      <c r="J447" t="s">
        <v>731</v>
      </c>
      <c r="K447" t="s">
        <v>732</v>
      </c>
      <c r="L447">
        <v>1346</v>
      </c>
      <c r="N447">
        <v>1009</v>
      </c>
      <c r="O447" t="s">
        <v>60</v>
      </c>
      <c r="P447" t="s">
        <v>60</v>
      </c>
      <c r="Q447">
        <v>1</v>
      </c>
      <c r="X447">
        <v>20</v>
      </c>
      <c r="Y447">
        <v>6.5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20</v>
      </c>
      <c r="AH447">
        <v>2</v>
      </c>
      <c r="AI447">
        <v>16785000</v>
      </c>
      <c r="AJ447">
        <v>431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ROW(Source!A141)</f>
        <v>141</v>
      </c>
      <c r="B448">
        <v>16785001</v>
      </c>
      <c r="C448">
        <v>16784992</v>
      </c>
      <c r="D448">
        <v>15162072</v>
      </c>
      <c r="E448">
        <v>17</v>
      </c>
      <c r="F448">
        <v>1</v>
      </c>
      <c r="G448">
        <v>1</v>
      </c>
      <c r="H448">
        <v>3</v>
      </c>
      <c r="I448" t="s">
        <v>809</v>
      </c>
      <c r="J448" t="s">
        <v>6</v>
      </c>
      <c r="K448" t="s">
        <v>810</v>
      </c>
      <c r="L448">
        <v>1348</v>
      </c>
      <c r="N448">
        <v>1009</v>
      </c>
      <c r="O448" t="s">
        <v>65</v>
      </c>
      <c r="P448" t="s">
        <v>65</v>
      </c>
      <c r="Q448">
        <v>1000</v>
      </c>
      <c r="X448">
        <v>5.0000000000000001E-4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 t="s">
        <v>6</v>
      </c>
      <c r="AG448">
        <v>5.0000000000000001E-4</v>
      </c>
      <c r="AH448">
        <v>3</v>
      </c>
      <c r="AI448">
        <v>-1</v>
      </c>
      <c r="AJ448" t="s">
        <v>6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ROW(Source!A141)</f>
        <v>141</v>
      </c>
      <c r="B449">
        <v>16785002</v>
      </c>
      <c r="C449">
        <v>16784992</v>
      </c>
      <c r="D449">
        <v>15170815</v>
      </c>
      <c r="E449">
        <v>1</v>
      </c>
      <c r="F449">
        <v>1</v>
      </c>
      <c r="G449">
        <v>1</v>
      </c>
      <c r="H449">
        <v>3</v>
      </c>
      <c r="I449" t="s">
        <v>733</v>
      </c>
      <c r="J449" t="s">
        <v>734</v>
      </c>
      <c r="K449" t="s">
        <v>735</v>
      </c>
      <c r="L449">
        <v>1346</v>
      </c>
      <c r="N449">
        <v>1009</v>
      </c>
      <c r="O449" t="s">
        <v>60</v>
      </c>
      <c r="P449" t="s">
        <v>60</v>
      </c>
      <c r="Q449">
        <v>1</v>
      </c>
      <c r="X449">
        <v>0.8</v>
      </c>
      <c r="Y449">
        <v>13.56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6</v>
      </c>
      <c r="AG449">
        <v>0.8</v>
      </c>
      <c r="AH449">
        <v>2</v>
      </c>
      <c r="AI449">
        <v>16785002</v>
      </c>
      <c r="AJ449">
        <v>433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ROW(Source!A141)</f>
        <v>141</v>
      </c>
      <c r="B450">
        <v>16785003</v>
      </c>
      <c r="C450">
        <v>16784992</v>
      </c>
      <c r="D450">
        <v>15202525</v>
      </c>
      <c r="E450">
        <v>1</v>
      </c>
      <c r="F450">
        <v>1</v>
      </c>
      <c r="G450">
        <v>1</v>
      </c>
      <c r="H450">
        <v>3</v>
      </c>
      <c r="I450" t="s">
        <v>736</v>
      </c>
      <c r="J450" t="s">
        <v>737</v>
      </c>
      <c r="K450" t="s">
        <v>738</v>
      </c>
      <c r="L450">
        <v>1348</v>
      </c>
      <c r="N450">
        <v>1009</v>
      </c>
      <c r="O450" t="s">
        <v>65</v>
      </c>
      <c r="P450" t="s">
        <v>65</v>
      </c>
      <c r="Q450">
        <v>1000</v>
      </c>
      <c r="X450">
        <v>8.0000000000000004E-4</v>
      </c>
      <c r="Y450">
        <v>12330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6</v>
      </c>
      <c r="AG450">
        <v>8.0000000000000004E-4</v>
      </c>
      <c r="AH450">
        <v>2</v>
      </c>
      <c r="AI450">
        <v>16785003</v>
      </c>
      <c r="AJ450">
        <v>434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ROW(Source!A141)</f>
        <v>141</v>
      </c>
      <c r="B451">
        <v>16785004</v>
      </c>
      <c r="C451">
        <v>16784992</v>
      </c>
      <c r="D451">
        <v>15203740</v>
      </c>
      <c r="E451">
        <v>1</v>
      </c>
      <c r="F451">
        <v>1</v>
      </c>
      <c r="G451">
        <v>1</v>
      </c>
      <c r="H451">
        <v>3</v>
      </c>
      <c r="I451" t="s">
        <v>739</v>
      </c>
      <c r="J451" t="s">
        <v>740</v>
      </c>
      <c r="K451" t="s">
        <v>741</v>
      </c>
      <c r="L451">
        <v>1348</v>
      </c>
      <c r="N451">
        <v>1009</v>
      </c>
      <c r="O451" t="s">
        <v>65</v>
      </c>
      <c r="P451" t="s">
        <v>65</v>
      </c>
      <c r="Q451">
        <v>1000</v>
      </c>
      <c r="X451">
        <v>4.0000000000000002E-4</v>
      </c>
      <c r="Y451">
        <v>15119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6</v>
      </c>
      <c r="AG451">
        <v>4.0000000000000002E-4</v>
      </c>
      <c r="AH451">
        <v>2</v>
      </c>
      <c r="AI451">
        <v>16785004</v>
      </c>
      <c r="AJ451">
        <v>435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ROW(Source!A141)</f>
        <v>141</v>
      </c>
      <c r="B452">
        <v>16785005</v>
      </c>
      <c r="C452">
        <v>16784992</v>
      </c>
      <c r="D452">
        <v>15163194</v>
      </c>
      <c r="E452">
        <v>17</v>
      </c>
      <c r="F452">
        <v>1</v>
      </c>
      <c r="G452">
        <v>1</v>
      </c>
      <c r="H452">
        <v>3</v>
      </c>
      <c r="I452" t="s">
        <v>811</v>
      </c>
      <c r="J452" t="s">
        <v>6</v>
      </c>
      <c r="K452" t="s">
        <v>812</v>
      </c>
      <c r="L452">
        <v>1346</v>
      </c>
      <c r="N452">
        <v>1009</v>
      </c>
      <c r="O452" t="s">
        <v>60</v>
      </c>
      <c r="P452" t="s">
        <v>60</v>
      </c>
      <c r="Q452">
        <v>1</v>
      </c>
      <c r="X452">
        <v>4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 t="s">
        <v>6</v>
      </c>
      <c r="AG452">
        <v>4</v>
      </c>
      <c r="AH452">
        <v>3</v>
      </c>
      <c r="AI452">
        <v>-1</v>
      </c>
      <c r="AJ452" t="s">
        <v>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ROW(Source!A141)</f>
        <v>141</v>
      </c>
      <c r="B453">
        <v>16785006</v>
      </c>
      <c r="C453">
        <v>16784992</v>
      </c>
      <c r="D453">
        <v>15204468</v>
      </c>
      <c r="E453">
        <v>1</v>
      </c>
      <c r="F453">
        <v>1</v>
      </c>
      <c r="G453">
        <v>1</v>
      </c>
      <c r="H453">
        <v>3</v>
      </c>
      <c r="I453" t="s">
        <v>659</v>
      </c>
      <c r="J453" t="s">
        <v>660</v>
      </c>
      <c r="K453" t="s">
        <v>661</v>
      </c>
      <c r="L453">
        <v>1348</v>
      </c>
      <c r="N453">
        <v>1009</v>
      </c>
      <c r="O453" t="s">
        <v>65</v>
      </c>
      <c r="P453" t="s">
        <v>65</v>
      </c>
      <c r="Q453">
        <v>1000</v>
      </c>
      <c r="X453">
        <v>2.0000000000000001E-4</v>
      </c>
      <c r="Y453">
        <v>16950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6</v>
      </c>
      <c r="AG453">
        <v>2.0000000000000001E-4</v>
      </c>
      <c r="AH453">
        <v>2</v>
      </c>
      <c r="AI453">
        <v>16785006</v>
      </c>
      <c r="AJ453">
        <v>436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ROW(Source!A141)</f>
        <v>141</v>
      </c>
      <c r="B454">
        <v>16785007</v>
      </c>
      <c r="C454">
        <v>16784992</v>
      </c>
      <c r="D454">
        <v>15163189</v>
      </c>
      <c r="E454">
        <v>17</v>
      </c>
      <c r="F454">
        <v>1</v>
      </c>
      <c r="G454">
        <v>1</v>
      </c>
      <c r="H454">
        <v>3</v>
      </c>
      <c r="I454" t="s">
        <v>332</v>
      </c>
      <c r="J454" t="s">
        <v>6</v>
      </c>
      <c r="K454" t="s">
        <v>333</v>
      </c>
      <c r="L454">
        <v>1035</v>
      </c>
      <c r="N454">
        <v>1013</v>
      </c>
      <c r="O454" t="s">
        <v>222</v>
      </c>
      <c r="P454" t="s">
        <v>222</v>
      </c>
      <c r="Q454">
        <v>1</v>
      </c>
      <c r="X454">
        <v>10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 t="s">
        <v>6</v>
      </c>
      <c r="AG454">
        <v>10</v>
      </c>
      <c r="AH454">
        <v>3</v>
      </c>
      <c r="AI454">
        <v>-1</v>
      </c>
      <c r="AJ454" t="s">
        <v>6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ROW(Source!A148)</f>
        <v>148</v>
      </c>
      <c r="B455">
        <v>16785013</v>
      </c>
      <c r="C455">
        <v>16785012</v>
      </c>
      <c r="D455">
        <v>15436556</v>
      </c>
      <c r="E455">
        <v>1</v>
      </c>
      <c r="F455">
        <v>1</v>
      </c>
      <c r="G455">
        <v>1</v>
      </c>
      <c r="H455">
        <v>1</v>
      </c>
      <c r="I455" t="s">
        <v>621</v>
      </c>
      <c r="J455" t="s">
        <v>6</v>
      </c>
      <c r="K455" t="s">
        <v>622</v>
      </c>
      <c r="L455">
        <v>1191</v>
      </c>
      <c r="N455">
        <v>1013</v>
      </c>
      <c r="O455" t="s">
        <v>495</v>
      </c>
      <c r="P455" t="s">
        <v>495</v>
      </c>
      <c r="Q455">
        <v>1</v>
      </c>
      <c r="X455">
        <v>30.25</v>
      </c>
      <c r="Y455">
        <v>0</v>
      </c>
      <c r="Z455">
        <v>0</v>
      </c>
      <c r="AA455">
        <v>0</v>
      </c>
      <c r="AB455">
        <v>9.6199999999999992</v>
      </c>
      <c r="AC455">
        <v>0</v>
      </c>
      <c r="AD455">
        <v>1</v>
      </c>
      <c r="AE455">
        <v>1</v>
      </c>
      <c r="AF455" t="s">
        <v>28</v>
      </c>
      <c r="AG455">
        <v>34.787499999999994</v>
      </c>
      <c r="AH455">
        <v>2</v>
      </c>
      <c r="AI455">
        <v>16785013</v>
      </c>
      <c r="AJ455">
        <v>439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ROW(Source!A148)</f>
        <v>148</v>
      </c>
      <c r="B456">
        <v>16785014</v>
      </c>
      <c r="C456">
        <v>16785012</v>
      </c>
      <c r="D456">
        <v>15430395</v>
      </c>
      <c r="E456">
        <v>1</v>
      </c>
      <c r="F456">
        <v>1</v>
      </c>
      <c r="G456">
        <v>1</v>
      </c>
      <c r="H456">
        <v>1</v>
      </c>
      <c r="I456" t="s">
        <v>496</v>
      </c>
      <c r="J456" t="s">
        <v>6</v>
      </c>
      <c r="K456" t="s">
        <v>497</v>
      </c>
      <c r="L456">
        <v>1191</v>
      </c>
      <c r="N456">
        <v>1013</v>
      </c>
      <c r="O456" t="s">
        <v>495</v>
      </c>
      <c r="P456" t="s">
        <v>495</v>
      </c>
      <c r="Q456">
        <v>1</v>
      </c>
      <c r="X456">
        <v>0.46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2</v>
      </c>
      <c r="AF456" t="s">
        <v>27</v>
      </c>
      <c r="AG456">
        <v>0.57500000000000007</v>
      </c>
      <c r="AH456">
        <v>2</v>
      </c>
      <c r="AI456">
        <v>16785014</v>
      </c>
      <c r="AJ456">
        <v>440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ROW(Source!A148)</f>
        <v>148</v>
      </c>
      <c r="B457">
        <v>16785015</v>
      </c>
      <c r="C457">
        <v>16785012</v>
      </c>
      <c r="D457">
        <v>15247974</v>
      </c>
      <c r="E457">
        <v>1</v>
      </c>
      <c r="F457">
        <v>1</v>
      </c>
      <c r="G457">
        <v>1</v>
      </c>
      <c r="H457">
        <v>2</v>
      </c>
      <c r="I457" t="s">
        <v>498</v>
      </c>
      <c r="J457" t="s">
        <v>499</v>
      </c>
      <c r="K457" t="s">
        <v>500</v>
      </c>
      <c r="L457">
        <v>1368</v>
      </c>
      <c r="N457">
        <v>1011</v>
      </c>
      <c r="O457" t="s">
        <v>501</v>
      </c>
      <c r="P457" t="s">
        <v>501</v>
      </c>
      <c r="Q457">
        <v>1</v>
      </c>
      <c r="X457">
        <v>0.13</v>
      </c>
      <c r="Y457">
        <v>0</v>
      </c>
      <c r="Z457">
        <v>31.26</v>
      </c>
      <c r="AA457">
        <v>13.5</v>
      </c>
      <c r="AB457">
        <v>0</v>
      </c>
      <c r="AC457">
        <v>0</v>
      </c>
      <c r="AD457">
        <v>1</v>
      </c>
      <c r="AE457">
        <v>0</v>
      </c>
      <c r="AF457" t="s">
        <v>27</v>
      </c>
      <c r="AG457">
        <v>0.16250000000000001</v>
      </c>
      <c r="AH457">
        <v>2</v>
      </c>
      <c r="AI457">
        <v>16785015</v>
      </c>
      <c r="AJ457">
        <v>441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ROW(Source!A148)</f>
        <v>148</v>
      </c>
      <c r="B458">
        <v>16785016</v>
      </c>
      <c r="C458">
        <v>16785012</v>
      </c>
      <c r="D458">
        <v>15249073</v>
      </c>
      <c r="E458">
        <v>1</v>
      </c>
      <c r="F458">
        <v>1</v>
      </c>
      <c r="G458">
        <v>1</v>
      </c>
      <c r="H458">
        <v>2</v>
      </c>
      <c r="I458" t="s">
        <v>504</v>
      </c>
      <c r="J458" t="s">
        <v>505</v>
      </c>
      <c r="K458" t="s">
        <v>506</v>
      </c>
      <c r="L458">
        <v>1368</v>
      </c>
      <c r="N458">
        <v>1011</v>
      </c>
      <c r="O458" t="s">
        <v>501</v>
      </c>
      <c r="P458" t="s">
        <v>501</v>
      </c>
      <c r="Q458">
        <v>1</v>
      </c>
      <c r="X458">
        <v>0.33</v>
      </c>
      <c r="Y458">
        <v>0</v>
      </c>
      <c r="Z458">
        <v>65.709999999999994</v>
      </c>
      <c r="AA458">
        <v>11.6</v>
      </c>
      <c r="AB458">
        <v>0</v>
      </c>
      <c r="AC458">
        <v>0</v>
      </c>
      <c r="AD458">
        <v>1</v>
      </c>
      <c r="AE458">
        <v>0</v>
      </c>
      <c r="AF458" t="s">
        <v>27</v>
      </c>
      <c r="AG458">
        <v>0.41250000000000003</v>
      </c>
      <c r="AH458">
        <v>2</v>
      </c>
      <c r="AI458">
        <v>16785016</v>
      </c>
      <c r="AJ458">
        <v>442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ROW(Source!A148)</f>
        <v>148</v>
      </c>
      <c r="B459">
        <v>16785017</v>
      </c>
      <c r="C459">
        <v>16785012</v>
      </c>
      <c r="D459">
        <v>15167955</v>
      </c>
      <c r="E459">
        <v>1</v>
      </c>
      <c r="F459">
        <v>1</v>
      </c>
      <c r="G459">
        <v>1</v>
      </c>
      <c r="H459">
        <v>3</v>
      </c>
      <c r="I459" t="s">
        <v>724</v>
      </c>
      <c r="J459" t="s">
        <v>725</v>
      </c>
      <c r="K459" t="s">
        <v>726</v>
      </c>
      <c r="L459">
        <v>1348</v>
      </c>
      <c r="N459">
        <v>1009</v>
      </c>
      <c r="O459" t="s">
        <v>65</v>
      </c>
      <c r="P459" t="s">
        <v>65</v>
      </c>
      <c r="Q459">
        <v>1000</v>
      </c>
      <c r="X459">
        <v>6.9999999999999999E-4</v>
      </c>
      <c r="Y459">
        <v>30030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6</v>
      </c>
      <c r="AG459">
        <v>6.9999999999999999E-4</v>
      </c>
      <c r="AH459">
        <v>2</v>
      </c>
      <c r="AI459">
        <v>16785017</v>
      </c>
      <c r="AJ459">
        <v>443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ROW(Source!A148)</f>
        <v>148</v>
      </c>
      <c r="B460">
        <v>16785018</v>
      </c>
      <c r="C460">
        <v>16785012</v>
      </c>
      <c r="D460">
        <v>15167963</v>
      </c>
      <c r="E460">
        <v>1</v>
      </c>
      <c r="F460">
        <v>1</v>
      </c>
      <c r="G460">
        <v>1</v>
      </c>
      <c r="H460">
        <v>3</v>
      </c>
      <c r="I460" t="s">
        <v>727</v>
      </c>
      <c r="J460" t="s">
        <v>728</v>
      </c>
      <c r="K460" t="s">
        <v>729</v>
      </c>
      <c r="L460">
        <v>1346</v>
      </c>
      <c r="N460">
        <v>1009</v>
      </c>
      <c r="O460" t="s">
        <v>60</v>
      </c>
      <c r="P460" t="s">
        <v>60</v>
      </c>
      <c r="Q460">
        <v>1</v>
      </c>
      <c r="X460">
        <v>0.12</v>
      </c>
      <c r="Y460">
        <v>37.29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6</v>
      </c>
      <c r="AG460">
        <v>0.12</v>
      </c>
      <c r="AH460">
        <v>2</v>
      </c>
      <c r="AI460">
        <v>16785018</v>
      </c>
      <c r="AJ460">
        <v>444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ROW(Source!A148)</f>
        <v>148</v>
      </c>
      <c r="B461">
        <v>16785019</v>
      </c>
      <c r="C461">
        <v>16785012</v>
      </c>
      <c r="D461">
        <v>15163011</v>
      </c>
      <c r="E461">
        <v>17</v>
      </c>
      <c r="F461">
        <v>1</v>
      </c>
      <c r="G461">
        <v>1</v>
      </c>
      <c r="H461">
        <v>3</v>
      </c>
      <c r="I461" t="s">
        <v>807</v>
      </c>
      <c r="J461" t="s">
        <v>6</v>
      </c>
      <c r="K461" t="s">
        <v>808</v>
      </c>
      <c r="L461">
        <v>1358</v>
      </c>
      <c r="N461">
        <v>1010</v>
      </c>
      <c r="O461" t="s">
        <v>519</v>
      </c>
      <c r="P461" t="s">
        <v>519</v>
      </c>
      <c r="Q461">
        <v>10</v>
      </c>
      <c r="X461">
        <v>4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 t="s">
        <v>6</v>
      </c>
      <c r="AG461">
        <v>4</v>
      </c>
      <c r="AH461">
        <v>3</v>
      </c>
      <c r="AI461">
        <v>-1</v>
      </c>
      <c r="AJ461" t="s">
        <v>6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ROW(Source!A148)</f>
        <v>148</v>
      </c>
      <c r="B462">
        <v>16785020</v>
      </c>
      <c r="C462">
        <v>16785012</v>
      </c>
      <c r="D462">
        <v>15162072</v>
      </c>
      <c r="E462">
        <v>17</v>
      </c>
      <c r="F462">
        <v>1</v>
      </c>
      <c r="G462">
        <v>1</v>
      </c>
      <c r="H462">
        <v>3</v>
      </c>
      <c r="I462" t="s">
        <v>809</v>
      </c>
      <c r="J462" t="s">
        <v>6</v>
      </c>
      <c r="K462" t="s">
        <v>810</v>
      </c>
      <c r="L462">
        <v>1348</v>
      </c>
      <c r="N462">
        <v>1009</v>
      </c>
      <c r="O462" t="s">
        <v>65</v>
      </c>
      <c r="P462" t="s">
        <v>65</v>
      </c>
      <c r="Q462">
        <v>1000</v>
      </c>
      <c r="X462">
        <v>5.0000000000000001E-4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 t="s">
        <v>6</v>
      </c>
      <c r="AG462">
        <v>5.0000000000000001E-4</v>
      </c>
      <c r="AH462">
        <v>3</v>
      </c>
      <c r="AI462">
        <v>-1</v>
      </c>
      <c r="AJ462" t="s">
        <v>6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ROW(Source!A148)</f>
        <v>148</v>
      </c>
      <c r="B463">
        <v>16785021</v>
      </c>
      <c r="C463">
        <v>16785012</v>
      </c>
      <c r="D463">
        <v>15172117</v>
      </c>
      <c r="E463">
        <v>1</v>
      </c>
      <c r="F463">
        <v>1</v>
      </c>
      <c r="G463">
        <v>1</v>
      </c>
      <c r="H463">
        <v>3</v>
      </c>
      <c r="I463" t="s">
        <v>742</v>
      </c>
      <c r="J463" t="s">
        <v>743</v>
      </c>
      <c r="K463" t="s">
        <v>744</v>
      </c>
      <c r="L463">
        <v>1348</v>
      </c>
      <c r="N463">
        <v>1009</v>
      </c>
      <c r="O463" t="s">
        <v>65</v>
      </c>
      <c r="P463" t="s">
        <v>65</v>
      </c>
      <c r="Q463">
        <v>1000</v>
      </c>
      <c r="X463">
        <v>2E-3</v>
      </c>
      <c r="Y463">
        <v>1836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6</v>
      </c>
      <c r="AG463">
        <v>2E-3</v>
      </c>
      <c r="AH463">
        <v>2</v>
      </c>
      <c r="AI463">
        <v>16785021</v>
      </c>
      <c r="AJ463">
        <v>445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ROW(Source!A148)</f>
        <v>148</v>
      </c>
      <c r="B464">
        <v>16785022</v>
      </c>
      <c r="C464">
        <v>16785012</v>
      </c>
      <c r="D464">
        <v>15203740</v>
      </c>
      <c r="E464">
        <v>1</v>
      </c>
      <c r="F464">
        <v>1</v>
      </c>
      <c r="G464">
        <v>1</v>
      </c>
      <c r="H464">
        <v>3</v>
      </c>
      <c r="I464" t="s">
        <v>739</v>
      </c>
      <c r="J464" t="s">
        <v>740</v>
      </c>
      <c r="K464" t="s">
        <v>741</v>
      </c>
      <c r="L464">
        <v>1348</v>
      </c>
      <c r="N464">
        <v>1009</v>
      </c>
      <c r="O464" t="s">
        <v>65</v>
      </c>
      <c r="P464" t="s">
        <v>65</v>
      </c>
      <c r="Q464">
        <v>1000</v>
      </c>
      <c r="X464">
        <v>2.4000000000000001E-4</v>
      </c>
      <c r="Y464">
        <v>15119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6</v>
      </c>
      <c r="AG464">
        <v>2.4000000000000001E-4</v>
      </c>
      <c r="AH464">
        <v>2</v>
      </c>
      <c r="AI464">
        <v>16785022</v>
      </c>
      <c r="AJ464">
        <v>446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ROW(Source!A148)</f>
        <v>148</v>
      </c>
      <c r="B465">
        <v>16785023</v>
      </c>
      <c r="C465">
        <v>16785012</v>
      </c>
      <c r="D465">
        <v>15163194</v>
      </c>
      <c r="E465">
        <v>17</v>
      </c>
      <c r="F465">
        <v>1</v>
      </c>
      <c r="G465">
        <v>1</v>
      </c>
      <c r="H465">
        <v>3</v>
      </c>
      <c r="I465" t="s">
        <v>811</v>
      </c>
      <c r="J465" t="s">
        <v>6</v>
      </c>
      <c r="K465" t="s">
        <v>812</v>
      </c>
      <c r="L465">
        <v>1346</v>
      </c>
      <c r="N465">
        <v>1009</v>
      </c>
      <c r="O465" t="s">
        <v>60</v>
      </c>
      <c r="P465" t="s">
        <v>60</v>
      </c>
      <c r="Q465">
        <v>1</v>
      </c>
      <c r="X465">
        <v>4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 t="s">
        <v>6</v>
      </c>
      <c r="AG465">
        <v>4</v>
      </c>
      <c r="AH465">
        <v>3</v>
      </c>
      <c r="AI465">
        <v>-1</v>
      </c>
      <c r="AJ465" t="s">
        <v>6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ROW(Source!A148)</f>
        <v>148</v>
      </c>
      <c r="B466">
        <v>16785024</v>
      </c>
      <c r="C466">
        <v>16785012</v>
      </c>
      <c r="D466">
        <v>15204468</v>
      </c>
      <c r="E466">
        <v>1</v>
      </c>
      <c r="F466">
        <v>1</v>
      </c>
      <c r="G466">
        <v>1</v>
      </c>
      <c r="H466">
        <v>3</v>
      </c>
      <c r="I466" t="s">
        <v>659</v>
      </c>
      <c r="J466" t="s">
        <v>660</v>
      </c>
      <c r="K466" t="s">
        <v>661</v>
      </c>
      <c r="L466">
        <v>1348</v>
      </c>
      <c r="N466">
        <v>1009</v>
      </c>
      <c r="O466" t="s">
        <v>65</v>
      </c>
      <c r="P466" t="s">
        <v>65</v>
      </c>
      <c r="Q466">
        <v>1000</v>
      </c>
      <c r="X466">
        <v>1.2E-4</v>
      </c>
      <c r="Y466">
        <v>16950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6</v>
      </c>
      <c r="AG466">
        <v>1.2E-4</v>
      </c>
      <c r="AH466">
        <v>2</v>
      </c>
      <c r="AI466">
        <v>16785024</v>
      </c>
      <c r="AJ466">
        <v>447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ROW(Source!A148)</f>
        <v>148</v>
      </c>
      <c r="B467">
        <v>16785025</v>
      </c>
      <c r="C467">
        <v>16785012</v>
      </c>
      <c r="D467">
        <v>15163189</v>
      </c>
      <c r="E467">
        <v>17</v>
      </c>
      <c r="F467">
        <v>1</v>
      </c>
      <c r="G467">
        <v>1</v>
      </c>
      <c r="H467">
        <v>3</v>
      </c>
      <c r="I467" t="s">
        <v>332</v>
      </c>
      <c r="J467" t="s">
        <v>6</v>
      </c>
      <c r="K467" t="s">
        <v>333</v>
      </c>
      <c r="L467">
        <v>1035</v>
      </c>
      <c r="N467">
        <v>1013</v>
      </c>
      <c r="O467" t="s">
        <v>222</v>
      </c>
      <c r="P467" t="s">
        <v>222</v>
      </c>
      <c r="Q467">
        <v>1</v>
      </c>
      <c r="X467">
        <v>10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 t="s">
        <v>6</v>
      </c>
      <c r="AG467">
        <v>10</v>
      </c>
      <c r="AH467">
        <v>2</v>
      </c>
      <c r="AI467">
        <v>16785025</v>
      </c>
      <c r="AJ467">
        <v>449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ROW(Source!A149)</f>
        <v>149</v>
      </c>
      <c r="B468">
        <v>16785013</v>
      </c>
      <c r="C468">
        <v>16785012</v>
      </c>
      <c r="D468">
        <v>15436556</v>
      </c>
      <c r="E468">
        <v>1</v>
      </c>
      <c r="F468">
        <v>1</v>
      </c>
      <c r="G468">
        <v>1</v>
      </c>
      <c r="H468">
        <v>1</v>
      </c>
      <c r="I468" t="s">
        <v>621</v>
      </c>
      <c r="J468" t="s">
        <v>6</v>
      </c>
      <c r="K468" t="s">
        <v>622</v>
      </c>
      <c r="L468">
        <v>1191</v>
      </c>
      <c r="N468">
        <v>1013</v>
      </c>
      <c r="O468" t="s">
        <v>495</v>
      </c>
      <c r="P468" t="s">
        <v>495</v>
      </c>
      <c r="Q468">
        <v>1</v>
      </c>
      <c r="X468">
        <v>30.25</v>
      </c>
      <c r="Y468">
        <v>0</v>
      </c>
      <c r="Z468">
        <v>0</v>
      </c>
      <c r="AA468">
        <v>0</v>
      </c>
      <c r="AB468">
        <v>9.6199999999999992</v>
      </c>
      <c r="AC468">
        <v>0</v>
      </c>
      <c r="AD468">
        <v>1</v>
      </c>
      <c r="AE468">
        <v>1</v>
      </c>
      <c r="AF468" t="s">
        <v>28</v>
      </c>
      <c r="AG468">
        <v>34.787499999999994</v>
      </c>
      <c r="AH468">
        <v>2</v>
      </c>
      <c r="AI468">
        <v>16785013</v>
      </c>
      <c r="AJ468">
        <v>450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ROW(Source!A149)</f>
        <v>149</v>
      </c>
      <c r="B469">
        <v>16785014</v>
      </c>
      <c r="C469">
        <v>16785012</v>
      </c>
      <c r="D469">
        <v>15430395</v>
      </c>
      <c r="E469">
        <v>1</v>
      </c>
      <c r="F469">
        <v>1</v>
      </c>
      <c r="G469">
        <v>1</v>
      </c>
      <c r="H469">
        <v>1</v>
      </c>
      <c r="I469" t="s">
        <v>496</v>
      </c>
      <c r="J469" t="s">
        <v>6</v>
      </c>
      <c r="K469" t="s">
        <v>497</v>
      </c>
      <c r="L469">
        <v>1191</v>
      </c>
      <c r="N469">
        <v>1013</v>
      </c>
      <c r="O469" t="s">
        <v>495</v>
      </c>
      <c r="P469" t="s">
        <v>495</v>
      </c>
      <c r="Q469">
        <v>1</v>
      </c>
      <c r="X469">
        <v>0.46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2</v>
      </c>
      <c r="AF469" t="s">
        <v>27</v>
      </c>
      <c r="AG469">
        <v>0.57500000000000007</v>
      </c>
      <c r="AH469">
        <v>2</v>
      </c>
      <c r="AI469">
        <v>16785014</v>
      </c>
      <c r="AJ469">
        <v>451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ROW(Source!A149)</f>
        <v>149</v>
      </c>
      <c r="B470">
        <v>16785015</v>
      </c>
      <c r="C470">
        <v>16785012</v>
      </c>
      <c r="D470">
        <v>15247974</v>
      </c>
      <c r="E470">
        <v>1</v>
      </c>
      <c r="F470">
        <v>1</v>
      </c>
      <c r="G470">
        <v>1</v>
      </c>
      <c r="H470">
        <v>2</v>
      </c>
      <c r="I470" t="s">
        <v>498</v>
      </c>
      <c r="J470" t="s">
        <v>499</v>
      </c>
      <c r="K470" t="s">
        <v>500</v>
      </c>
      <c r="L470">
        <v>1368</v>
      </c>
      <c r="N470">
        <v>1011</v>
      </c>
      <c r="O470" t="s">
        <v>501</v>
      </c>
      <c r="P470" t="s">
        <v>501</v>
      </c>
      <c r="Q470">
        <v>1</v>
      </c>
      <c r="X470">
        <v>0.13</v>
      </c>
      <c r="Y470">
        <v>0</v>
      </c>
      <c r="Z470">
        <v>31.26</v>
      </c>
      <c r="AA470">
        <v>13.5</v>
      </c>
      <c r="AB470">
        <v>0</v>
      </c>
      <c r="AC470">
        <v>0</v>
      </c>
      <c r="AD470">
        <v>1</v>
      </c>
      <c r="AE470">
        <v>0</v>
      </c>
      <c r="AF470" t="s">
        <v>27</v>
      </c>
      <c r="AG470">
        <v>0.16250000000000001</v>
      </c>
      <c r="AH470">
        <v>2</v>
      </c>
      <c r="AI470">
        <v>16785015</v>
      </c>
      <c r="AJ470">
        <v>452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ROW(Source!A149)</f>
        <v>149</v>
      </c>
      <c r="B471">
        <v>16785016</v>
      </c>
      <c r="C471">
        <v>16785012</v>
      </c>
      <c r="D471">
        <v>15249073</v>
      </c>
      <c r="E471">
        <v>1</v>
      </c>
      <c r="F471">
        <v>1</v>
      </c>
      <c r="G471">
        <v>1</v>
      </c>
      <c r="H471">
        <v>2</v>
      </c>
      <c r="I471" t="s">
        <v>504</v>
      </c>
      <c r="J471" t="s">
        <v>505</v>
      </c>
      <c r="K471" t="s">
        <v>506</v>
      </c>
      <c r="L471">
        <v>1368</v>
      </c>
      <c r="N471">
        <v>1011</v>
      </c>
      <c r="O471" t="s">
        <v>501</v>
      </c>
      <c r="P471" t="s">
        <v>501</v>
      </c>
      <c r="Q471">
        <v>1</v>
      </c>
      <c r="X471">
        <v>0.33</v>
      </c>
      <c r="Y471">
        <v>0</v>
      </c>
      <c r="Z471">
        <v>65.709999999999994</v>
      </c>
      <c r="AA471">
        <v>11.6</v>
      </c>
      <c r="AB471">
        <v>0</v>
      </c>
      <c r="AC471">
        <v>0</v>
      </c>
      <c r="AD471">
        <v>1</v>
      </c>
      <c r="AE471">
        <v>0</v>
      </c>
      <c r="AF471" t="s">
        <v>27</v>
      </c>
      <c r="AG471">
        <v>0.41250000000000003</v>
      </c>
      <c r="AH471">
        <v>2</v>
      </c>
      <c r="AI471">
        <v>16785016</v>
      </c>
      <c r="AJ471">
        <v>453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ROW(Source!A149)</f>
        <v>149</v>
      </c>
      <c r="B472">
        <v>16785017</v>
      </c>
      <c r="C472">
        <v>16785012</v>
      </c>
      <c r="D472">
        <v>15167955</v>
      </c>
      <c r="E472">
        <v>1</v>
      </c>
      <c r="F472">
        <v>1</v>
      </c>
      <c r="G472">
        <v>1</v>
      </c>
      <c r="H472">
        <v>3</v>
      </c>
      <c r="I472" t="s">
        <v>724</v>
      </c>
      <c r="J472" t="s">
        <v>725</v>
      </c>
      <c r="K472" t="s">
        <v>726</v>
      </c>
      <c r="L472">
        <v>1348</v>
      </c>
      <c r="N472">
        <v>1009</v>
      </c>
      <c r="O472" t="s">
        <v>65</v>
      </c>
      <c r="P472" t="s">
        <v>65</v>
      </c>
      <c r="Q472">
        <v>1000</v>
      </c>
      <c r="X472">
        <v>6.9999999999999999E-4</v>
      </c>
      <c r="Y472">
        <v>30030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6</v>
      </c>
      <c r="AG472">
        <v>6.9999999999999999E-4</v>
      </c>
      <c r="AH472">
        <v>2</v>
      </c>
      <c r="AI472">
        <v>16785017</v>
      </c>
      <c r="AJ472">
        <v>454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ROW(Source!A149)</f>
        <v>149</v>
      </c>
      <c r="B473">
        <v>16785018</v>
      </c>
      <c r="C473">
        <v>16785012</v>
      </c>
      <c r="D473">
        <v>15167963</v>
      </c>
      <c r="E473">
        <v>1</v>
      </c>
      <c r="F473">
        <v>1</v>
      </c>
      <c r="G473">
        <v>1</v>
      </c>
      <c r="H473">
        <v>3</v>
      </c>
      <c r="I473" t="s">
        <v>727</v>
      </c>
      <c r="J473" t="s">
        <v>728</v>
      </c>
      <c r="K473" t="s">
        <v>729</v>
      </c>
      <c r="L473">
        <v>1346</v>
      </c>
      <c r="N473">
        <v>1009</v>
      </c>
      <c r="O473" t="s">
        <v>60</v>
      </c>
      <c r="P473" t="s">
        <v>60</v>
      </c>
      <c r="Q473">
        <v>1</v>
      </c>
      <c r="X473">
        <v>0.12</v>
      </c>
      <c r="Y473">
        <v>37.29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6</v>
      </c>
      <c r="AG473">
        <v>0.12</v>
      </c>
      <c r="AH473">
        <v>2</v>
      </c>
      <c r="AI473">
        <v>16785018</v>
      </c>
      <c r="AJ473">
        <v>455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ROW(Source!A149)</f>
        <v>149</v>
      </c>
      <c r="B474">
        <v>16785019</v>
      </c>
      <c r="C474">
        <v>16785012</v>
      </c>
      <c r="D474">
        <v>15163011</v>
      </c>
      <c r="E474">
        <v>17</v>
      </c>
      <c r="F474">
        <v>1</v>
      </c>
      <c r="G474">
        <v>1</v>
      </c>
      <c r="H474">
        <v>3</v>
      </c>
      <c r="I474" t="s">
        <v>807</v>
      </c>
      <c r="J474" t="s">
        <v>6</v>
      </c>
      <c r="K474" t="s">
        <v>808</v>
      </c>
      <c r="L474">
        <v>1358</v>
      </c>
      <c r="N474">
        <v>1010</v>
      </c>
      <c r="O474" t="s">
        <v>519</v>
      </c>
      <c r="P474" t="s">
        <v>519</v>
      </c>
      <c r="Q474">
        <v>10</v>
      </c>
      <c r="X474">
        <v>4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 t="s">
        <v>6</v>
      </c>
      <c r="AG474">
        <v>4</v>
      </c>
      <c r="AH474">
        <v>3</v>
      </c>
      <c r="AI474">
        <v>-1</v>
      </c>
      <c r="AJ474" t="s">
        <v>6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ROW(Source!A149)</f>
        <v>149</v>
      </c>
      <c r="B475">
        <v>16785020</v>
      </c>
      <c r="C475">
        <v>16785012</v>
      </c>
      <c r="D475">
        <v>15162072</v>
      </c>
      <c r="E475">
        <v>17</v>
      </c>
      <c r="F475">
        <v>1</v>
      </c>
      <c r="G475">
        <v>1</v>
      </c>
      <c r="H475">
        <v>3</v>
      </c>
      <c r="I475" t="s">
        <v>809</v>
      </c>
      <c r="J475" t="s">
        <v>6</v>
      </c>
      <c r="K475" t="s">
        <v>810</v>
      </c>
      <c r="L475">
        <v>1348</v>
      </c>
      <c r="N475">
        <v>1009</v>
      </c>
      <c r="O475" t="s">
        <v>65</v>
      </c>
      <c r="P475" t="s">
        <v>65</v>
      </c>
      <c r="Q475">
        <v>1000</v>
      </c>
      <c r="X475">
        <v>5.0000000000000001E-4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 t="s">
        <v>6</v>
      </c>
      <c r="AG475">
        <v>5.0000000000000001E-4</v>
      </c>
      <c r="AH475">
        <v>3</v>
      </c>
      <c r="AI475">
        <v>-1</v>
      </c>
      <c r="AJ475" t="s">
        <v>6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ROW(Source!A149)</f>
        <v>149</v>
      </c>
      <c r="B476">
        <v>16785021</v>
      </c>
      <c r="C476">
        <v>16785012</v>
      </c>
      <c r="D476">
        <v>15172117</v>
      </c>
      <c r="E476">
        <v>1</v>
      </c>
      <c r="F476">
        <v>1</v>
      </c>
      <c r="G476">
        <v>1</v>
      </c>
      <c r="H476">
        <v>3</v>
      </c>
      <c r="I476" t="s">
        <v>742</v>
      </c>
      <c r="J476" t="s">
        <v>743</v>
      </c>
      <c r="K476" t="s">
        <v>744</v>
      </c>
      <c r="L476">
        <v>1348</v>
      </c>
      <c r="N476">
        <v>1009</v>
      </c>
      <c r="O476" t="s">
        <v>65</v>
      </c>
      <c r="P476" t="s">
        <v>65</v>
      </c>
      <c r="Q476">
        <v>1000</v>
      </c>
      <c r="X476">
        <v>2E-3</v>
      </c>
      <c r="Y476">
        <v>1836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6</v>
      </c>
      <c r="AG476">
        <v>2E-3</v>
      </c>
      <c r="AH476">
        <v>2</v>
      </c>
      <c r="AI476">
        <v>16785021</v>
      </c>
      <c r="AJ476">
        <v>456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ROW(Source!A149)</f>
        <v>149</v>
      </c>
      <c r="B477">
        <v>16785022</v>
      </c>
      <c r="C477">
        <v>16785012</v>
      </c>
      <c r="D477">
        <v>15203740</v>
      </c>
      <c r="E477">
        <v>1</v>
      </c>
      <c r="F477">
        <v>1</v>
      </c>
      <c r="G477">
        <v>1</v>
      </c>
      <c r="H477">
        <v>3</v>
      </c>
      <c r="I477" t="s">
        <v>739</v>
      </c>
      <c r="J477" t="s">
        <v>740</v>
      </c>
      <c r="K477" t="s">
        <v>741</v>
      </c>
      <c r="L477">
        <v>1348</v>
      </c>
      <c r="N477">
        <v>1009</v>
      </c>
      <c r="O477" t="s">
        <v>65</v>
      </c>
      <c r="P477" t="s">
        <v>65</v>
      </c>
      <c r="Q477">
        <v>1000</v>
      </c>
      <c r="X477">
        <v>2.4000000000000001E-4</v>
      </c>
      <c r="Y477">
        <v>15119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6</v>
      </c>
      <c r="AG477">
        <v>2.4000000000000001E-4</v>
      </c>
      <c r="AH477">
        <v>2</v>
      </c>
      <c r="AI477">
        <v>16785022</v>
      </c>
      <c r="AJ477">
        <v>457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ROW(Source!A149)</f>
        <v>149</v>
      </c>
      <c r="B478">
        <v>16785023</v>
      </c>
      <c r="C478">
        <v>16785012</v>
      </c>
      <c r="D478">
        <v>15163194</v>
      </c>
      <c r="E478">
        <v>17</v>
      </c>
      <c r="F478">
        <v>1</v>
      </c>
      <c r="G478">
        <v>1</v>
      </c>
      <c r="H478">
        <v>3</v>
      </c>
      <c r="I478" t="s">
        <v>811</v>
      </c>
      <c r="J478" t="s">
        <v>6</v>
      </c>
      <c r="K478" t="s">
        <v>812</v>
      </c>
      <c r="L478">
        <v>1346</v>
      </c>
      <c r="N478">
        <v>1009</v>
      </c>
      <c r="O478" t="s">
        <v>60</v>
      </c>
      <c r="P478" t="s">
        <v>60</v>
      </c>
      <c r="Q478">
        <v>1</v>
      </c>
      <c r="X478">
        <v>4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 t="s">
        <v>6</v>
      </c>
      <c r="AG478">
        <v>4</v>
      </c>
      <c r="AH478">
        <v>3</v>
      </c>
      <c r="AI478">
        <v>-1</v>
      </c>
      <c r="AJ478" t="s">
        <v>6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ROW(Source!A149)</f>
        <v>149</v>
      </c>
      <c r="B479">
        <v>16785024</v>
      </c>
      <c r="C479">
        <v>16785012</v>
      </c>
      <c r="D479">
        <v>15204468</v>
      </c>
      <c r="E479">
        <v>1</v>
      </c>
      <c r="F479">
        <v>1</v>
      </c>
      <c r="G479">
        <v>1</v>
      </c>
      <c r="H479">
        <v>3</v>
      </c>
      <c r="I479" t="s">
        <v>659</v>
      </c>
      <c r="J479" t="s">
        <v>660</v>
      </c>
      <c r="K479" t="s">
        <v>661</v>
      </c>
      <c r="L479">
        <v>1348</v>
      </c>
      <c r="N479">
        <v>1009</v>
      </c>
      <c r="O479" t="s">
        <v>65</v>
      </c>
      <c r="P479" t="s">
        <v>65</v>
      </c>
      <c r="Q479">
        <v>1000</v>
      </c>
      <c r="X479">
        <v>1.2E-4</v>
      </c>
      <c r="Y479">
        <v>16950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6</v>
      </c>
      <c r="AG479">
        <v>1.2E-4</v>
      </c>
      <c r="AH479">
        <v>2</v>
      </c>
      <c r="AI479">
        <v>16785024</v>
      </c>
      <c r="AJ479">
        <v>458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ROW(Source!A149)</f>
        <v>149</v>
      </c>
      <c r="B480">
        <v>16785025</v>
      </c>
      <c r="C480">
        <v>16785012</v>
      </c>
      <c r="D480">
        <v>15163189</v>
      </c>
      <c r="E480">
        <v>17</v>
      </c>
      <c r="F480">
        <v>1</v>
      </c>
      <c r="G480">
        <v>1</v>
      </c>
      <c r="H480">
        <v>3</v>
      </c>
      <c r="I480" t="s">
        <v>332</v>
      </c>
      <c r="J480" t="s">
        <v>6</v>
      </c>
      <c r="K480" t="s">
        <v>333</v>
      </c>
      <c r="L480">
        <v>1035</v>
      </c>
      <c r="N480">
        <v>1013</v>
      </c>
      <c r="O480" t="s">
        <v>222</v>
      </c>
      <c r="P480" t="s">
        <v>222</v>
      </c>
      <c r="Q480">
        <v>1</v>
      </c>
      <c r="X480">
        <v>10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 t="s">
        <v>6</v>
      </c>
      <c r="AG480">
        <v>10</v>
      </c>
      <c r="AH480">
        <v>2</v>
      </c>
      <c r="AI480">
        <v>16785025</v>
      </c>
      <c r="AJ480">
        <v>460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ROW(Source!A154)</f>
        <v>154</v>
      </c>
      <c r="B481">
        <v>16785031</v>
      </c>
      <c r="C481">
        <v>16785030</v>
      </c>
      <c r="D481">
        <v>15436556</v>
      </c>
      <c r="E481">
        <v>1</v>
      </c>
      <c r="F481">
        <v>1</v>
      </c>
      <c r="G481">
        <v>1</v>
      </c>
      <c r="H481">
        <v>1</v>
      </c>
      <c r="I481" t="s">
        <v>621</v>
      </c>
      <c r="J481" t="s">
        <v>6</v>
      </c>
      <c r="K481" t="s">
        <v>622</v>
      </c>
      <c r="L481">
        <v>1191</v>
      </c>
      <c r="N481">
        <v>1013</v>
      </c>
      <c r="O481" t="s">
        <v>495</v>
      </c>
      <c r="P481" t="s">
        <v>495</v>
      </c>
      <c r="Q481">
        <v>1</v>
      </c>
      <c r="X481">
        <v>21.65</v>
      </c>
      <c r="Y481">
        <v>0</v>
      </c>
      <c r="Z481">
        <v>0</v>
      </c>
      <c r="AA481">
        <v>0</v>
      </c>
      <c r="AB481">
        <v>9.6199999999999992</v>
      </c>
      <c r="AC481">
        <v>0</v>
      </c>
      <c r="AD481">
        <v>1</v>
      </c>
      <c r="AE481">
        <v>1</v>
      </c>
      <c r="AF481" t="s">
        <v>28</v>
      </c>
      <c r="AG481">
        <v>24.897499999999997</v>
      </c>
      <c r="AH481">
        <v>2</v>
      </c>
      <c r="AI481">
        <v>16785031</v>
      </c>
      <c r="AJ481">
        <v>461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ROW(Source!A154)</f>
        <v>154</v>
      </c>
      <c r="B482">
        <v>16785032</v>
      </c>
      <c r="C482">
        <v>16785030</v>
      </c>
      <c r="D482">
        <v>15430395</v>
      </c>
      <c r="E482">
        <v>1</v>
      </c>
      <c r="F482">
        <v>1</v>
      </c>
      <c r="G482">
        <v>1</v>
      </c>
      <c r="H482">
        <v>1</v>
      </c>
      <c r="I482" t="s">
        <v>496</v>
      </c>
      <c r="J482" t="s">
        <v>6</v>
      </c>
      <c r="K482" t="s">
        <v>497</v>
      </c>
      <c r="L482">
        <v>1191</v>
      </c>
      <c r="N482">
        <v>1013</v>
      </c>
      <c r="O482" t="s">
        <v>495</v>
      </c>
      <c r="P482" t="s">
        <v>495</v>
      </c>
      <c r="Q482">
        <v>1</v>
      </c>
      <c r="X482">
        <v>0.35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2</v>
      </c>
      <c r="AF482" t="s">
        <v>27</v>
      </c>
      <c r="AG482">
        <v>0.4375</v>
      </c>
      <c r="AH482">
        <v>2</v>
      </c>
      <c r="AI482">
        <v>16785032</v>
      </c>
      <c r="AJ482">
        <v>462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ROW(Source!A154)</f>
        <v>154</v>
      </c>
      <c r="B483">
        <v>16785033</v>
      </c>
      <c r="C483">
        <v>16785030</v>
      </c>
      <c r="D483">
        <v>15247974</v>
      </c>
      <c r="E483">
        <v>1</v>
      </c>
      <c r="F483">
        <v>1</v>
      </c>
      <c r="G483">
        <v>1</v>
      </c>
      <c r="H483">
        <v>2</v>
      </c>
      <c r="I483" t="s">
        <v>498</v>
      </c>
      <c r="J483" t="s">
        <v>499</v>
      </c>
      <c r="K483" t="s">
        <v>500</v>
      </c>
      <c r="L483">
        <v>1368</v>
      </c>
      <c r="N483">
        <v>1011</v>
      </c>
      <c r="O483" t="s">
        <v>501</v>
      </c>
      <c r="P483" t="s">
        <v>501</v>
      </c>
      <c r="Q483">
        <v>1</v>
      </c>
      <c r="X483">
        <v>0.13</v>
      </c>
      <c r="Y483">
        <v>0</v>
      </c>
      <c r="Z483">
        <v>31.26</v>
      </c>
      <c r="AA483">
        <v>13.5</v>
      </c>
      <c r="AB483">
        <v>0</v>
      </c>
      <c r="AC483">
        <v>0</v>
      </c>
      <c r="AD483">
        <v>1</v>
      </c>
      <c r="AE483">
        <v>0</v>
      </c>
      <c r="AF483" t="s">
        <v>27</v>
      </c>
      <c r="AG483">
        <v>0.16250000000000001</v>
      </c>
      <c r="AH483">
        <v>2</v>
      </c>
      <c r="AI483">
        <v>16785033</v>
      </c>
      <c r="AJ483">
        <v>463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ROW(Source!A154)</f>
        <v>154</v>
      </c>
      <c r="B484">
        <v>16785034</v>
      </c>
      <c r="C484">
        <v>16785030</v>
      </c>
      <c r="D484">
        <v>15249073</v>
      </c>
      <c r="E484">
        <v>1</v>
      </c>
      <c r="F484">
        <v>1</v>
      </c>
      <c r="G484">
        <v>1</v>
      </c>
      <c r="H484">
        <v>2</v>
      </c>
      <c r="I484" t="s">
        <v>504</v>
      </c>
      <c r="J484" t="s">
        <v>505</v>
      </c>
      <c r="K484" t="s">
        <v>506</v>
      </c>
      <c r="L484">
        <v>1368</v>
      </c>
      <c r="N484">
        <v>1011</v>
      </c>
      <c r="O484" t="s">
        <v>501</v>
      </c>
      <c r="P484" t="s">
        <v>501</v>
      </c>
      <c r="Q484">
        <v>1</v>
      </c>
      <c r="X484">
        <v>0.22</v>
      </c>
      <c r="Y484">
        <v>0</v>
      </c>
      <c r="Z484">
        <v>65.709999999999994</v>
      </c>
      <c r="AA484">
        <v>11.6</v>
      </c>
      <c r="AB484">
        <v>0</v>
      </c>
      <c r="AC484">
        <v>0</v>
      </c>
      <c r="AD484">
        <v>1</v>
      </c>
      <c r="AE484">
        <v>0</v>
      </c>
      <c r="AF484" t="s">
        <v>27</v>
      </c>
      <c r="AG484">
        <v>0.27500000000000002</v>
      </c>
      <c r="AH484">
        <v>2</v>
      </c>
      <c r="AI484">
        <v>16785034</v>
      </c>
      <c r="AJ484">
        <v>464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ROW(Source!A154)</f>
        <v>154</v>
      </c>
      <c r="B485">
        <v>16785035</v>
      </c>
      <c r="C485">
        <v>16785030</v>
      </c>
      <c r="D485">
        <v>15167963</v>
      </c>
      <c r="E485">
        <v>1</v>
      </c>
      <c r="F485">
        <v>1</v>
      </c>
      <c r="G485">
        <v>1</v>
      </c>
      <c r="H485">
        <v>3</v>
      </c>
      <c r="I485" t="s">
        <v>727</v>
      </c>
      <c r="J485" t="s">
        <v>728</v>
      </c>
      <c r="K485" t="s">
        <v>729</v>
      </c>
      <c r="L485">
        <v>1346</v>
      </c>
      <c r="N485">
        <v>1009</v>
      </c>
      <c r="O485" t="s">
        <v>60</v>
      </c>
      <c r="P485" t="s">
        <v>60</v>
      </c>
      <c r="Q485">
        <v>1</v>
      </c>
      <c r="X485">
        <v>0.3</v>
      </c>
      <c r="Y485">
        <v>37.29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6</v>
      </c>
      <c r="AG485">
        <v>0.3</v>
      </c>
      <c r="AH485">
        <v>2</v>
      </c>
      <c r="AI485">
        <v>16785035</v>
      </c>
      <c r="AJ485">
        <v>465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ROW(Source!A154)</f>
        <v>154</v>
      </c>
      <c r="B486">
        <v>16785036</v>
      </c>
      <c r="C486">
        <v>16785030</v>
      </c>
      <c r="D486">
        <v>15163011</v>
      </c>
      <c r="E486">
        <v>17</v>
      </c>
      <c r="F486">
        <v>1</v>
      </c>
      <c r="G486">
        <v>1</v>
      </c>
      <c r="H486">
        <v>3</v>
      </c>
      <c r="I486" t="s">
        <v>807</v>
      </c>
      <c r="J486" t="s">
        <v>6</v>
      </c>
      <c r="K486" t="s">
        <v>808</v>
      </c>
      <c r="L486">
        <v>1358</v>
      </c>
      <c r="N486">
        <v>1010</v>
      </c>
      <c r="O486" t="s">
        <v>519</v>
      </c>
      <c r="P486" t="s">
        <v>519</v>
      </c>
      <c r="Q486">
        <v>10</v>
      </c>
      <c r="X486">
        <v>4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 t="s">
        <v>6</v>
      </c>
      <c r="AG486">
        <v>4</v>
      </c>
      <c r="AH486">
        <v>3</v>
      </c>
      <c r="AI486">
        <v>-1</v>
      </c>
      <c r="AJ486" t="s">
        <v>6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ROW(Source!A154)</f>
        <v>154</v>
      </c>
      <c r="B487">
        <v>16785037</v>
      </c>
      <c r="C487">
        <v>16785030</v>
      </c>
      <c r="D487">
        <v>15162072</v>
      </c>
      <c r="E487">
        <v>17</v>
      </c>
      <c r="F487">
        <v>1</v>
      </c>
      <c r="G487">
        <v>1</v>
      </c>
      <c r="H487">
        <v>3</v>
      </c>
      <c r="I487" t="s">
        <v>809</v>
      </c>
      <c r="J487" t="s">
        <v>6</v>
      </c>
      <c r="K487" t="s">
        <v>810</v>
      </c>
      <c r="L487">
        <v>1348</v>
      </c>
      <c r="N487">
        <v>1009</v>
      </c>
      <c r="O487" t="s">
        <v>65</v>
      </c>
      <c r="P487" t="s">
        <v>65</v>
      </c>
      <c r="Q487">
        <v>1000</v>
      </c>
      <c r="X487">
        <v>6.9999999999999999E-4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 t="s">
        <v>6</v>
      </c>
      <c r="AG487">
        <v>6.9999999999999999E-4</v>
      </c>
      <c r="AH487">
        <v>3</v>
      </c>
      <c r="AI487">
        <v>-1</v>
      </c>
      <c r="AJ487" t="s">
        <v>6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ROW(Source!A154)</f>
        <v>154</v>
      </c>
      <c r="B488">
        <v>16785038</v>
      </c>
      <c r="C488">
        <v>16785030</v>
      </c>
      <c r="D488">
        <v>15189796</v>
      </c>
      <c r="E488">
        <v>1</v>
      </c>
      <c r="F488">
        <v>1</v>
      </c>
      <c r="G488">
        <v>1</v>
      </c>
      <c r="H488">
        <v>3</v>
      </c>
      <c r="I488" t="s">
        <v>745</v>
      </c>
      <c r="J488" t="s">
        <v>746</v>
      </c>
      <c r="K488" t="s">
        <v>747</v>
      </c>
      <c r="L488">
        <v>1348</v>
      </c>
      <c r="N488">
        <v>1009</v>
      </c>
      <c r="O488" t="s">
        <v>65</v>
      </c>
      <c r="P488" t="s">
        <v>65</v>
      </c>
      <c r="Q488">
        <v>1000</v>
      </c>
      <c r="X488">
        <v>3.5999999999999999E-3</v>
      </c>
      <c r="Y488">
        <v>5989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6</v>
      </c>
      <c r="AG488">
        <v>3.5999999999999999E-3</v>
      </c>
      <c r="AH488">
        <v>2</v>
      </c>
      <c r="AI488">
        <v>16785038</v>
      </c>
      <c r="AJ488">
        <v>466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ROW(Source!A154)</f>
        <v>154</v>
      </c>
      <c r="B489">
        <v>16785039</v>
      </c>
      <c r="C489">
        <v>16785030</v>
      </c>
      <c r="D489">
        <v>15203740</v>
      </c>
      <c r="E489">
        <v>1</v>
      </c>
      <c r="F489">
        <v>1</v>
      </c>
      <c r="G489">
        <v>1</v>
      </c>
      <c r="H489">
        <v>3</v>
      </c>
      <c r="I489" t="s">
        <v>739</v>
      </c>
      <c r="J489" t="s">
        <v>740</v>
      </c>
      <c r="K489" t="s">
        <v>741</v>
      </c>
      <c r="L489">
        <v>1348</v>
      </c>
      <c r="N489">
        <v>1009</v>
      </c>
      <c r="O489" t="s">
        <v>65</v>
      </c>
      <c r="P489" t="s">
        <v>65</v>
      </c>
      <c r="Q489">
        <v>1000</v>
      </c>
      <c r="X489">
        <v>4.0000000000000002E-4</v>
      </c>
      <c r="Y489">
        <v>15119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6</v>
      </c>
      <c r="AG489">
        <v>4.0000000000000002E-4</v>
      </c>
      <c r="AH489">
        <v>2</v>
      </c>
      <c r="AI489">
        <v>16785039</v>
      </c>
      <c r="AJ489">
        <v>467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ROW(Source!A154)</f>
        <v>154</v>
      </c>
      <c r="B490">
        <v>16785040</v>
      </c>
      <c r="C490">
        <v>16785030</v>
      </c>
      <c r="D490">
        <v>15163194</v>
      </c>
      <c r="E490">
        <v>17</v>
      </c>
      <c r="F490">
        <v>1</v>
      </c>
      <c r="G490">
        <v>1</v>
      </c>
      <c r="H490">
        <v>3</v>
      </c>
      <c r="I490" t="s">
        <v>811</v>
      </c>
      <c r="J490" t="s">
        <v>6</v>
      </c>
      <c r="K490" t="s">
        <v>812</v>
      </c>
      <c r="L490">
        <v>1346</v>
      </c>
      <c r="N490">
        <v>1009</v>
      </c>
      <c r="O490" t="s">
        <v>60</v>
      </c>
      <c r="P490" t="s">
        <v>60</v>
      </c>
      <c r="Q490">
        <v>1</v>
      </c>
      <c r="X490">
        <v>2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 t="s">
        <v>6</v>
      </c>
      <c r="AG490">
        <v>2</v>
      </c>
      <c r="AH490">
        <v>3</v>
      </c>
      <c r="AI490">
        <v>-1</v>
      </c>
      <c r="AJ490" t="s">
        <v>6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ROW(Source!A154)</f>
        <v>154</v>
      </c>
      <c r="B491">
        <v>16785041</v>
      </c>
      <c r="C491">
        <v>16785030</v>
      </c>
      <c r="D491">
        <v>15204468</v>
      </c>
      <c r="E491">
        <v>1</v>
      </c>
      <c r="F491">
        <v>1</v>
      </c>
      <c r="G491">
        <v>1</v>
      </c>
      <c r="H491">
        <v>3</v>
      </c>
      <c r="I491" t="s">
        <v>659</v>
      </c>
      <c r="J491" t="s">
        <v>660</v>
      </c>
      <c r="K491" t="s">
        <v>661</v>
      </c>
      <c r="L491">
        <v>1348</v>
      </c>
      <c r="N491">
        <v>1009</v>
      </c>
      <c r="O491" t="s">
        <v>65</v>
      </c>
      <c r="P491" t="s">
        <v>65</v>
      </c>
      <c r="Q491">
        <v>1000</v>
      </c>
      <c r="X491">
        <v>2.0000000000000001E-4</v>
      </c>
      <c r="Y491">
        <v>16950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0</v>
      </c>
      <c r="AF491" t="s">
        <v>6</v>
      </c>
      <c r="AG491">
        <v>2.0000000000000001E-4</v>
      </c>
      <c r="AH491">
        <v>2</v>
      </c>
      <c r="AI491">
        <v>16785041</v>
      </c>
      <c r="AJ491">
        <v>468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ROW(Source!A154)</f>
        <v>154</v>
      </c>
      <c r="B492">
        <v>16785042</v>
      </c>
      <c r="C492">
        <v>16785030</v>
      </c>
      <c r="D492">
        <v>15163189</v>
      </c>
      <c r="E492">
        <v>17</v>
      </c>
      <c r="F492">
        <v>1</v>
      </c>
      <c r="G492">
        <v>1</v>
      </c>
      <c r="H492">
        <v>3</v>
      </c>
      <c r="I492" t="s">
        <v>332</v>
      </c>
      <c r="J492" t="s">
        <v>6</v>
      </c>
      <c r="K492" t="s">
        <v>333</v>
      </c>
      <c r="L492">
        <v>1035</v>
      </c>
      <c r="N492">
        <v>1013</v>
      </c>
      <c r="O492" t="s">
        <v>222</v>
      </c>
      <c r="P492" t="s">
        <v>222</v>
      </c>
      <c r="Q492">
        <v>1</v>
      </c>
      <c r="X492">
        <v>10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 t="s">
        <v>6</v>
      </c>
      <c r="AG492">
        <v>10</v>
      </c>
      <c r="AH492">
        <v>2</v>
      </c>
      <c r="AI492">
        <v>16785042</v>
      </c>
      <c r="AJ492">
        <v>470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ROW(Source!A155)</f>
        <v>155</v>
      </c>
      <c r="B493">
        <v>16785031</v>
      </c>
      <c r="C493">
        <v>16785030</v>
      </c>
      <c r="D493">
        <v>15436556</v>
      </c>
      <c r="E493">
        <v>1</v>
      </c>
      <c r="F493">
        <v>1</v>
      </c>
      <c r="G493">
        <v>1</v>
      </c>
      <c r="H493">
        <v>1</v>
      </c>
      <c r="I493" t="s">
        <v>621</v>
      </c>
      <c r="J493" t="s">
        <v>6</v>
      </c>
      <c r="K493" t="s">
        <v>622</v>
      </c>
      <c r="L493">
        <v>1191</v>
      </c>
      <c r="N493">
        <v>1013</v>
      </c>
      <c r="O493" t="s">
        <v>495</v>
      </c>
      <c r="P493" t="s">
        <v>495</v>
      </c>
      <c r="Q493">
        <v>1</v>
      </c>
      <c r="X493">
        <v>21.65</v>
      </c>
      <c r="Y493">
        <v>0</v>
      </c>
      <c r="Z493">
        <v>0</v>
      </c>
      <c r="AA493">
        <v>0</v>
      </c>
      <c r="AB493">
        <v>9.6199999999999992</v>
      </c>
      <c r="AC493">
        <v>0</v>
      </c>
      <c r="AD493">
        <v>1</v>
      </c>
      <c r="AE493">
        <v>1</v>
      </c>
      <c r="AF493" t="s">
        <v>28</v>
      </c>
      <c r="AG493">
        <v>24.897499999999997</v>
      </c>
      <c r="AH493">
        <v>2</v>
      </c>
      <c r="AI493">
        <v>16785031</v>
      </c>
      <c r="AJ493">
        <v>471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ROW(Source!A155)</f>
        <v>155</v>
      </c>
      <c r="B494">
        <v>16785032</v>
      </c>
      <c r="C494">
        <v>16785030</v>
      </c>
      <c r="D494">
        <v>15430395</v>
      </c>
      <c r="E494">
        <v>1</v>
      </c>
      <c r="F494">
        <v>1</v>
      </c>
      <c r="G494">
        <v>1</v>
      </c>
      <c r="H494">
        <v>1</v>
      </c>
      <c r="I494" t="s">
        <v>496</v>
      </c>
      <c r="J494" t="s">
        <v>6</v>
      </c>
      <c r="K494" t="s">
        <v>497</v>
      </c>
      <c r="L494">
        <v>1191</v>
      </c>
      <c r="N494">
        <v>1013</v>
      </c>
      <c r="O494" t="s">
        <v>495</v>
      </c>
      <c r="P494" t="s">
        <v>495</v>
      </c>
      <c r="Q494">
        <v>1</v>
      </c>
      <c r="X494">
        <v>0.35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2</v>
      </c>
      <c r="AF494" t="s">
        <v>27</v>
      </c>
      <c r="AG494">
        <v>0.4375</v>
      </c>
      <c r="AH494">
        <v>2</v>
      </c>
      <c r="AI494">
        <v>16785032</v>
      </c>
      <c r="AJ494">
        <v>472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ROW(Source!A155)</f>
        <v>155</v>
      </c>
      <c r="B495">
        <v>16785033</v>
      </c>
      <c r="C495">
        <v>16785030</v>
      </c>
      <c r="D495">
        <v>15247974</v>
      </c>
      <c r="E495">
        <v>1</v>
      </c>
      <c r="F495">
        <v>1</v>
      </c>
      <c r="G495">
        <v>1</v>
      </c>
      <c r="H495">
        <v>2</v>
      </c>
      <c r="I495" t="s">
        <v>498</v>
      </c>
      <c r="J495" t="s">
        <v>499</v>
      </c>
      <c r="K495" t="s">
        <v>500</v>
      </c>
      <c r="L495">
        <v>1368</v>
      </c>
      <c r="N495">
        <v>1011</v>
      </c>
      <c r="O495" t="s">
        <v>501</v>
      </c>
      <c r="P495" t="s">
        <v>501</v>
      </c>
      <c r="Q495">
        <v>1</v>
      </c>
      <c r="X495">
        <v>0.13</v>
      </c>
      <c r="Y495">
        <v>0</v>
      </c>
      <c r="Z495">
        <v>31.26</v>
      </c>
      <c r="AA495">
        <v>13.5</v>
      </c>
      <c r="AB495">
        <v>0</v>
      </c>
      <c r="AC495">
        <v>0</v>
      </c>
      <c r="AD495">
        <v>1</v>
      </c>
      <c r="AE495">
        <v>0</v>
      </c>
      <c r="AF495" t="s">
        <v>27</v>
      </c>
      <c r="AG495">
        <v>0.16250000000000001</v>
      </c>
      <c r="AH495">
        <v>2</v>
      </c>
      <c r="AI495">
        <v>16785033</v>
      </c>
      <c r="AJ495">
        <v>473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ROW(Source!A155)</f>
        <v>155</v>
      </c>
      <c r="B496">
        <v>16785034</v>
      </c>
      <c r="C496">
        <v>16785030</v>
      </c>
      <c r="D496">
        <v>15249073</v>
      </c>
      <c r="E496">
        <v>1</v>
      </c>
      <c r="F496">
        <v>1</v>
      </c>
      <c r="G496">
        <v>1</v>
      </c>
      <c r="H496">
        <v>2</v>
      </c>
      <c r="I496" t="s">
        <v>504</v>
      </c>
      <c r="J496" t="s">
        <v>505</v>
      </c>
      <c r="K496" t="s">
        <v>506</v>
      </c>
      <c r="L496">
        <v>1368</v>
      </c>
      <c r="N496">
        <v>1011</v>
      </c>
      <c r="O496" t="s">
        <v>501</v>
      </c>
      <c r="P496" t="s">
        <v>501</v>
      </c>
      <c r="Q496">
        <v>1</v>
      </c>
      <c r="X496">
        <v>0.22</v>
      </c>
      <c r="Y496">
        <v>0</v>
      </c>
      <c r="Z496">
        <v>65.709999999999994</v>
      </c>
      <c r="AA496">
        <v>11.6</v>
      </c>
      <c r="AB496">
        <v>0</v>
      </c>
      <c r="AC496">
        <v>0</v>
      </c>
      <c r="AD496">
        <v>1</v>
      </c>
      <c r="AE496">
        <v>0</v>
      </c>
      <c r="AF496" t="s">
        <v>27</v>
      </c>
      <c r="AG496">
        <v>0.27500000000000002</v>
      </c>
      <c r="AH496">
        <v>2</v>
      </c>
      <c r="AI496">
        <v>16785034</v>
      </c>
      <c r="AJ496">
        <v>474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ROW(Source!A155)</f>
        <v>155</v>
      </c>
      <c r="B497">
        <v>16785035</v>
      </c>
      <c r="C497">
        <v>16785030</v>
      </c>
      <c r="D497">
        <v>15167963</v>
      </c>
      <c r="E497">
        <v>1</v>
      </c>
      <c r="F497">
        <v>1</v>
      </c>
      <c r="G497">
        <v>1</v>
      </c>
      <c r="H497">
        <v>3</v>
      </c>
      <c r="I497" t="s">
        <v>727</v>
      </c>
      <c r="J497" t="s">
        <v>728</v>
      </c>
      <c r="K497" t="s">
        <v>729</v>
      </c>
      <c r="L497">
        <v>1346</v>
      </c>
      <c r="N497">
        <v>1009</v>
      </c>
      <c r="O497" t="s">
        <v>60</v>
      </c>
      <c r="P497" t="s">
        <v>60</v>
      </c>
      <c r="Q497">
        <v>1</v>
      </c>
      <c r="X497">
        <v>0.3</v>
      </c>
      <c r="Y497">
        <v>37.29</v>
      </c>
      <c r="Z497">
        <v>0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6</v>
      </c>
      <c r="AG497">
        <v>0.3</v>
      </c>
      <c r="AH497">
        <v>2</v>
      </c>
      <c r="AI497">
        <v>16785035</v>
      </c>
      <c r="AJ497">
        <v>475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ROW(Source!A155)</f>
        <v>155</v>
      </c>
      <c r="B498">
        <v>16785036</v>
      </c>
      <c r="C498">
        <v>16785030</v>
      </c>
      <c r="D498">
        <v>15163011</v>
      </c>
      <c r="E498">
        <v>17</v>
      </c>
      <c r="F498">
        <v>1</v>
      </c>
      <c r="G498">
        <v>1</v>
      </c>
      <c r="H498">
        <v>3</v>
      </c>
      <c r="I498" t="s">
        <v>807</v>
      </c>
      <c r="J498" t="s">
        <v>6</v>
      </c>
      <c r="K498" t="s">
        <v>808</v>
      </c>
      <c r="L498">
        <v>1358</v>
      </c>
      <c r="N498">
        <v>1010</v>
      </c>
      <c r="O498" t="s">
        <v>519</v>
      </c>
      <c r="P498" t="s">
        <v>519</v>
      </c>
      <c r="Q498">
        <v>10</v>
      </c>
      <c r="X498">
        <v>4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 t="s">
        <v>6</v>
      </c>
      <c r="AG498">
        <v>4</v>
      </c>
      <c r="AH498">
        <v>3</v>
      </c>
      <c r="AI498">
        <v>-1</v>
      </c>
      <c r="AJ498" t="s">
        <v>6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ROW(Source!A155)</f>
        <v>155</v>
      </c>
      <c r="B499">
        <v>16785037</v>
      </c>
      <c r="C499">
        <v>16785030</v>
      </c>
      <c r="D499">
        <v>15162072</v>
      </c>
      <c r="E499">
        <v>17</v>
      </c>
      <c r="F499">
        <v>1</v>
      </c>
      <c r="G499">
        <v>1</v>
      </c>
      <c r="H499">
        <v>3</v>
      </c>
      <c r="I499" t="s">
        <v>809</v>
      </c>
      <c r="J499" t="s">
        <v>6</v>
      </c>
      <c r="K499" t="s">
        <v>810</v>
      </c>
      <c r="L499">
        <v>1348</v>
      </c>
      <c r="N499">
        <v>1009</v>
      </c>
      <c r="O499" t="s">
        <v>65</v>
      </c>
      <c r="P499" t="s">
        <v>65</v>
      </c>
      <c r="Q499">
        <v>1000</v>
      </c>
      <c r="X499">
        <v>6.9999999999999999E-4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 t="s">
        <v>6</v>
      </c>
      <c r="AG499">
        <v>6.9999999999999999E-4</v>
      </c>
      <c r="AH499">
        <v>3</v>
      </c>
      <c r="AI499">
        <v>-1</v>
      </c>
      <c r="AJ499" t="s">
        <v>6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ROW(Source!A155)</f>
        <v>155</v>
      </c>
      <c r="B500">
        <v>16785038</v>
      </c>
      <c r="C500">
        <v>16785030</v>
      </c>
      <c r="D500">
        <v>15189796</v>
      </c>
      <c r="E500">
        <v>1</v>
      </c>
      <c r="F500">
        <v>1</v>
      </c>
      <c r="G500">
        <v>1</v>
      </c>
      <c r="H500">
        <v>3</v>
      </c>
      <c r="I500" t="s">
        <v>745</v>
      </c>
      <c r="J500" t="s">
        <v>746</v>
      </c>
      <c r="K500" t="s">
        <v>747</v>
      </c>
      <c r="L500">
        <v>1348</v>
      </c>
      <c r="N500">
        <v>1009</v>
      </c>
      <c r="O500" t="s">
        <v>65</v>
      </c>
      <c r="P500" t="s">
        <v>65</v>
      </c>
      <c r="Q500">
        <v>1000</v>
      </c>
      <c r="X500">
        <v>3.5999999999999999E-3</v>
      </c>
      <c r="Y500">
        <v>5989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6</v>
      </c>
      <c r="AG500">
        <v>3.5999999999999999E-3</v>
      </c>
      <c r="AH500">
        <v>2</v>
      </c>
      <c r="AI500">
        <v>16785038</v>
      </c>
      <c r="AJ500">
        <v>476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ROW(Source!A155)</f>
        <v>155</v>
      </c>
      <c r="B501">
        <v>16785039</v>
      </c>
      <c r="C501">
        <v>16785030</v>
      </c>
      <c r="D501">
        <v>15203740</v>
      </c>
      <c r="E501">
        <v>1</v>
      </c>
      <c r="F501">
        <v>1</v>
      </c>
      <c r="G501">
        <v>1</v>
      </c>
      <c r="H501">
        <v>3</v>
      </c>
      <c r="I501" t="s">
        <v>739</v>
      </c>
      <c r="J501" t="s">
        <v>740</v>
      </c>
      <c r="K501" t="s">
        <v>741</v>
      </c>
      <c r="L501">
        <v>1348</v>
      </c>
      <c r="N501">
        <v>1009</v>
      </c>
      <c r="O501" t="s">
        <v>65</v>
      </c>
      <c r="P501" t="s">
        <v>65</v>
      </c>
      <c r="Q501">
        <v>1000</v>
      </c>
      <c r="X501">
        <v>4.0000000000000002E-4</v>
      </c>
      <c r="Y501">
        <v>15119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6</v>
      </c>
      <c r="AG501">
        <v>4.0000000000000002E-4</v>
      </c>
      <c r="AH501">
        <v>2</v>
      </c>
      <c r="AI501">
        <v>16785039</v>
      </c>
      <c r="AJ501">
        <v>477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ROW(Source!A155)</f>
        <v>155</v>
      </c>
      <c r="B502">
        <v>16785040</v>
      </c>
      <c r="C502">
        <v>16785030</v>
      </c>
      <c r="D502">
        <v>15163194</v>
      </c>
      <c r="E502">
        <v>17</v>
      </c>
      <c r="F502">
        <v>1</v>
      </c>
      <c r="G502">
        <v>1</v>
      </c>
      <c r="H502">
        <v>3</v>
      </c>
      <c r="I502" t="s">
        <v>811</v>
      </c>
      <c r="J502" t="s">
        <v>6</v>
      </c>
      <c r="K502" t="s">
        <v>812</v>
      </c>
      <c r="L502">
        <v>1346</v>
      </c>
      <c r="N502">
        <v>1009</v>
      </c>
      <c r="O502" t="s">
        <v>60</v>
      </c>
      <c r="P502" t="s">
        <v>60</v>
      </c>
      <c r="Q502">
        <v>1</v>
      </c>
      <c r="X502">
        <v>2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 t="s">
        <v>6</v>
      </c>
      <c r="AG502">
        <v>2</v>
      </c>
      <c r="AH502">
        <v>3</v>
      </c>
      <c r="AI502">
        <v>-1</v>
      </c>
      <c r="AJ502" t="s">
        <v>6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ROW(Source!A155)</f>
        <v>155</v>
      </c>
      <c r="B503">
        <v>16785041</v>
      </c>
      <c r="C503">
        <v>16785030</v>
      </c>
      <c r="D503">
        <v>15204468</v>
      </c>
      <c r="E503">
        <v>1</v>
      </c>
      <c r="F503">
        <v>1</v>
      </c>
      <c r="G503">
        <v>1</v>
      </c>
      <c r="H503">
        <v>3</v>
      </c>
      <c r="I503" t="s">
        <v>659</v>
      </c>
      <c r="J503" t="s">
        <v>660</v>
      </c>
      <c r="K503" t="s">
        <v>661</v>
      </c>
      <c r="L503">
        <v>1348</v>
      </c>
      <c r="N503">
        <v>1009</v>
      </c>
      <c r="O503" t="s">
        <v>65</v>
      </c>
      <c r="P503" t="s">
        <v>65</v>
      </c>
      <c r="Q503">
        <v>1000</v>
      </c>
      <c r="X503">
        <v>2.0000000000000001E-4</v>
      </c>
      <c r="Y503">
        <v>16950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6</v>
      </c>
      <c r="AG503">
        <v>2.0000000000000001E-4</v>
      </c>
      <c r="AH503">
        <v>2</v>
      </c>
      <c r="AI503">
        <v>16785041</v>
      </c>
      <c r="AJ503">
        <v>478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ROW(Source!A155)</f>
        <v>155</v>
      </c>
      <c r="B504">
        <v>16785042</v>
      </c>
      <c r="C504">
        <v>16785030</v>
      </c>
      <c r="D504">
        <v>15163189</v>
      </c>
      <c r="E504">
        <v>17</v>
      </c>
      <c r="F504">
        <v>1</v>
      </c>
      <c r="G504">
        <v>1</v>
      </c>
      <c r="H504">
        <v>3</v>
      </c>
      <c r="I504" t="s">
        <v>332</v>
      </c>
      <c r="J504" t="s">
        <v>6</v>
      </c>
      <c r="K504" t="s">
        <v>333</v>
      </c>
      <c r="L504">
        <v>1035</v>
      </c>
      <c r="N504">
        <v>1013</v>
      </c>
      <c r="O504" t="s">
        <v>222</v>
      </c>
      <c r="P504" t="s">
        <v>222</v>
      </c>
      <c r="Q504">
        <v>1</v>
      </c>
      <c r="X504">
        <v>10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 t="s">
        <v>6</v>
      </c>
      <c r="AG504">
        <v>10</v>
      </c>
      <c r="AH504">
        <v>2</v>
      </c>
      <c r="AI504">
        <v>16785042</v>
      </c>
      <c r="AJ504">
        <v>480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ROW(Source!A160)</f>
        <v>160</v>
      </c>
      <c r="B505">
        <v>16784752</v>
      </c>
      <c r="C505">
        <v>16784745</v>
      </c>
      <c r="D505">
        <v>15432356</v>
      </c>
      <c r="E505">
        <v>1</v>
      </c>
      <c r="F505">
        <v>1</v>
      </c>
      <c r="G505">
        <v>1</v>
      </c>
      <c r="H505">
        <v>1</v>
      </c>
      <c r="I505" t="s">
        <v>748</v>
      </c>
      <c r="J505" t="s">
        <v>6</v>
      </c>
      <c r="K505" t="s">
        <v>749</v>
      </c>
      <c r="L505">
        <v>1191</v>
      </c>
      <c r="N505">
        <v>1013</v>
      </c>
      <c r="O505" t="s">
        <v>495</v>
      </c>
      <c r="P505" t="s">
        <v>495</v>
      </c>
      <c r="Q505">
        <v>1</v>
      </c>
      <c r="X505">
        <v>34.659999999999997</v>
      </c>
      <c r="Y505">
        <v>0</v>
      </c>
      <c r="Z505">
        <v>0</v>
      </c>
      <c r="AA505">
        <v>0</v>
      </c>
      <c r="AB505">
        <v>8.31</v>
      </c>
      <c r="AC505">
        <v>0</v>
      </c>
      <c r="AD505">
        <v>1</v>
      </c>
      <c r="AE505">
        <v>1</v>
      </c>
      <c r="AF505" t="s">
        <v>28</v>
      </c>
      <c r="AG505">
        <v>39.858999999999995</v>
      </c>
      <c r="AH505">
        <v>2</v>
      </c>
      <c r="AI505">
        <v>16784746</v>
      </c>
      <c r="AJ505">
        <v>481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ROW(Source!A160)</f>
        <v>160</v>
      </c>
      <c r="B506">
        <v>16784753</v>
      </c>
      <c r="C506">
        <v>16784745</v>
      </c>
      <c r="D506">
        <v>15430395</v>
      </c>
      <c r="E506">
        <v>1</v>
      </c>
      <c r="F506">
        <v>1</v>
      </c>
      <c r="G506">
        <v>1</v>
      </c>
      <c r="H506">
        <v>1</v>
      </c>
      <c r="I506" t="s">
        <v>496</v>
      </c>
      <c r="J506" t="s">
        <v>6</v>
      </c>
      <c r="K506" t="s">
        <v>497</v>
      </c>
      <c r="L506">
        <v>1191</v>
      </c>
      <c r="N506">
        <v>1013</v>
      </c>
      <c r="O506" t="s">
        <v>495</v>
      </c>
      <c r="P506" t="s">
        <v>495</v>
      </c>
      <c r="Q506">
        <v>1</v>
      </c>
      <c r="X506">
        <v>0.1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2</v>
      </c>
      <c r="AF506" t="s">
        <v>28</v>
      </c>
      <c r="AG506">
        <v>0.11499999999999999</v>
      </c>
      <c r="AH506">
        <v>2</v>
      </c>
      <c r="AI506">
        <v>16784747</v>
      </c>
      <c r="AJ506">
        <v>482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ROW(Source!A160)</f>
        <v>160</v>
      </c>
      <c r="B507">
        <v>16784754</v>
      </c>
      <c r="C507">
        <v>16784745</v>
      </c>
      <c r="D507">
        <v>15247974</v>
      </c>
      <c r="E507">
        <v>1</v>
      </c>
      <c r="F507">
        <v>1</v>
      </c>
      <c r="G507">
        <v>1</v>
      </c>
      <c r="H507">
        <v>2</v>
      </c>
      <c r="I507" t="s">
        <v>498</v>
      </c>
      <c r="J507" t="s">
        <v>499</v>
      </c>
      <c r="K507" t="s">
        <v>500</v>
      </c>
      <c r="L507">
        <v>1368</v>
      </c>
      <c r="N507">
        <v>1011</v>
      </c>
      <c r="O507" t="s">
        <v>501</v>
      </c>
      <c r="P507" t="s">
        <v>501</v>
      </c>
      <c r="Q507">
        <v>1</v>
      </c>
      <c r="X507">
        <v>0.1</v>
      </c>
      <c r="Y507">
        <v>0</v>
      </c>
      <c r="Z507">
        <v>31.26</v>
      </c>
      <c r="AA507">
        <v>13.5</v>
      </c>
      <c r="AB507">
        <v>0</v>
      </c>
      <c r="AC507">
        <v>0</v>
      </c>
      <c r="AD507">
        <v>1</v>
      </c>
      <c r="AE507">
        <v>0</v>
      </c>
      <c r="AF507" t="s">
        <v>28</v>
      </c>
      <c r="AG507">
        <v>0.11499999999999999</v>
      </c>
      <c r="AH507">
        <v>2</v>
      </c>
      <c r="AI507">
        <v>16784748</v>
      </c>
      <c r="AJ507">
        <v>483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ROW(Source!A160)</f>
        <v>160</v>
      </c>
      <c r="B508">
        <v>16784755</v>
      </c>
      <c r="C508">
        <v>16784745</v>
      </c>
      <c r="D508">
        <v>15249308</v>
      </c>
      <c r="E508">
        <v>1</v>
      </c>
      <c r="F508">
        <v>1</v>
      </c>
      <c r="G508">
        <v>1</v>
      </c>
      <c r="H508">
        <v>2</v>
      </c>
      <c r="I508" t="s">
        <v>543</v>
      </c>
      <c r="J508" t="s">
        <v>544</v>
      </c>
      <c r="K508" t="s">
        <v>545</v>
      </c>
      <c r="L508">
        <v>1368</v>
      </c>
      <c r="N508">
        <v>1011</v>
      </c>
      <c r="O508" t="s">
        <v>501</v>
      </c>
      <c r="P508" t="s">
        <v>501</v>
      </c>
      <c r="Q508">
        <v>1</v>
      </c>
      <c r="X508">
        <v>3.3</v>
      </c>
      <c r="Y508">
        <v>0</v>
      </c>
      <c r="Z508">
        <v>1.2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28</v>
      </c>
      <c r="AG508">
        <v>3.7949999999999995</v>
      </c>
      <c r="AH508">
        <v>2</v>
      </c>
      <c r="AI508">
        <v>16784749</v>
      </c>
      <c r="AJ508">
        <v>484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ROW(Source!A160)</f>
        <v>160</v>
      </c>
      <c r="B509">
        <v>16784756</v>
      </c>
      <c r="C509">
        <v>16784745</v>
      </c>
      <c r="D509">
        <v>15165634</v>
      </c>
      <c r="E509">
        <v>1</v>
      </c>
      <c r="F509">
        <v>1</v>
      </c>
      <c r="G509">
        <v>1</v>
      </c>
      <c r="H509">
        <v>3</v>
      </c>
      <c r="I509" t="s">
        <v>750</v>
      </c>
      <c r="J509" t="s">
        <v>751</v>
      </c>
      <c r="K509" t="s">
        <v>752</v>
      </c>
      <c r="L509">
        <v>1339</v>
      </c>
      <c r="N509">
        <v>1007</v>
      </c>
      <c r="O509" t="s">
        <v>128</v>
      </c>
      <c r="P509" t="s">
        <v>128</v>
      </c>
      <c r="Q509">
        <v>1</v>
      </c>
      <c r="X509">
        <v>0.43</v>
      </c>
      <c r="Y509">
        <v>38.51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6</v>
      </c>
      <c r="AG509">
        <v>0.43</v>
      </c>
      <c r="AH509">
        <v>2</v>
      </c>
      <c r="AI509">
        <v>16784750</v>
      </c>
      <c r="AJ509">
        <v>485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ROW(Source!A160)</f>
        <v>160</v>
      </c>
      <c r="B510">
        <v>16784757</v>
      </c>
      <c r="C510">
        <v>16784745</v>
      </c>
      <c r="D510">
        <v>15165653</v>
      </c>
      <c r="E510">
        <v>1</v>
      </c>
      <c r="F510">
        <v>1</v>
      </c>
      <c r="G510">
        <v>1</v>
      </c>
      <c r="H510">
        <v>3</v>
      </c>
      <c r="I510" t="s">
        <v>549</v>
      </c>
      <c r="J510" t="s">
        <v>550</v>
      </c>
      <c r="K510" t="s">
        <v>551</v>
      </c>
      <c r="L510">
        <v>1339</v>
      </c>
      <c r="N510">
        <v>1007</v>
      </c>
      <c r="O510" t="s">
        <v>128</v>
      </c>
      <c r="P510" t="s">
        <v>128</v>
      </c>
      <c r="Q510">
        <v>1</v>
      </c>
      <c r="X510">
        <v>2.74</v>
      </c>
      <c r="Y510">
        <v>6.22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6</v>
      </c>
      <c r="AG510">
        <v>2.74</v>
      </c>
      <c r="AH510">
        <v>2</v>
      </c>
      <c r="AI510">
        <v>16784751</v>
      </c>
      <c r="AJ510">
        <v>486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ROW(Source!A160)</f>
        <v>160</v>
      </c>
      <c r="B511">
        <v>16784758</v>
      </c>
      <c r="C511">
        <v>16784745</v>
      </c>
      <c r="D511">
        <v>15164566</v>
      </c>
      <c r="E511">
        <v>17</v>
      </c>
      <c r="F511">
        <v>1</v>
      </c>
      <c r="G511">
        <v>1</v>
      </c>
      <c r="H511">
        <v>3</v>
      </c>
      <c r="I511" t="s">
        <v>781</v>
      </c>
      <c r="J511" t="s">
        <v>6</v>
      </c>
      <c r="K511" t="s">
        <v>801</v>
      </c>
      <c r="L511">
        <v>1348</v>
      </c>
      <c r="N511">
        <v>1009</v>
      </c>
      <c r="O511" t="s">
        <v>65</v>
      </c>
      <c r="P511" t="s">
        <v>65</v>
      </c>
      <c r="Q511">
        <v>1000</v>
      </c>
      <c r="X511">
        <v>0.22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 t="s">
        <v>6</v>
      </c>
      <c r="AG511">
        <v>0.22</v>
      </c>
      <c r="AH511">
        <v>3</v>
      </c>
      <c r="AI511">
        <v>-1</v>
      </c>
      <c r="AJ511" t="s">
        <v>6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ROW(Source!A161)</f>
        <v>161</v>
      </c>
      <c r="B512">
        <v>16784752</v>
      </c>
      <c r="C512">
        <v>16784745</v>
      </c>
      <c r="D512">
        <v>15432356</v>
      </c>
      <c r="E512">
        <v>1</v>
      </c>
      <c r="F512">
        <v>1</v>
      </c>
      <c r="G512">
        <v>1</v>
      </c>
      <c r="H512">
        <v>1</v>
      </c>
      <c r="I512" t="s">
        <v>748</v>
      </c>
      <c r="J512" t="s">
        <v>6</v>
      </c>
      <c r="K512" t="s">
        <v>749</v>
      </c>
      <c r="L512">
        <v>1191</v>
      </c>
      <c r="N512">
        <v>1013</v>
      </c>
      <c r="O512" t="s">
        <v>495</v>
      </c>
      <c r="P512" t="s">
        <v>495</v>
      </c>
      <c r="Q512">
        <v>1</v>
      </c>
      <c r="X512">
        <v>34.659999999999997</v>
      </c>
      <c r="Y512">
        <v>0</v>
      </c>
      <c r="Z512">
        <v>0</v>
      </c>
      <c r="AA512">
        <v>0</v>
      </c>
      <c r="AB512">
        <v>8.31</v>
      </c>
      <c r="AC512">
        <v>0</v>
      </c>
      <c r="AD512">
        <v>1</v>
      </c>
      <c r="AE512">
        <v>1</v>
      </c>
      <c r="AF512" t="s">
        <v>28</v>
      </c>
      <c r="AG512">
        <v>39.858999999999995</v>
      </c>
      <c r="AH512">
        <v>2</v>
      </c>
      <c r="AI512">
        <v>16784746</v>
      </c>
      <c r="AJ512">
        <v>487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ROW(Source!A161)</f>
        <v>161</v>
      </c>
      <c r="B513">
        <v>16784753</v>
      </c>
      <c r="C513">
        <v>16784745</v>
      </c>
      <c r="D513">
        <v>15430395</v>
      </c>
      <c r="E513">
        <v>1</v>
      </c>
      <c r="F513">
        <v>1</v>
      </c>
      <c r="G513">
        <v>1</v>
      </c>
      <c r="H513">
        <v>1</v>
      </c>
      <c r="I513" t="s">
        <v>496</v>
      </c>
      <c r="J513" t="s">
        <v>6</v>
      </c>
      <c r="K513" t="s">
        <v>497</v>
      </c>
      <c r="L513">
        <v>1191</v>
      </c>
      <c r="N513">
        <v>1013</v>
      </c>
      <c r="O513" t="s">
        <v>495</v>
      </c>
      <c r="P513" t="s">
        <v>495</v>
      </c>
      <c r="Q513">
        <v>1</v>
      </c>
      <c r="X513">
        <v>0.1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2</v>
      </c>
      <c r="AF513" t="s">
        <v>28</v>
      </c>
      <c r="AG513">
        <v>0.11499999999999999</v>
      </c>
      <c r="AH513">
        <v>2</v>
      </c>
      <c r="AI513">
        <v>16784747</v>
      </c>
      <c r="AJ513">
        <v>488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ROW(Source!A161)</f>
        <v>161</v>
      </c>
      <c r="B514">
        <v>16784754</v>
      </c>
      <c r="C514">
        <v>16784745</v>
      </c>
      <c r="D514">
        <v>15247974</v>
      </c>
      <c r="E514">
        <v>1</v>
      </c>
      <c r="F514">
        <v>1</v>
      </c>
      <c r="G514">
        <v>1</v>
      </c>
      <c r="H514">
        <v>2</v>
      </c>
      <c r="I514" t="s">
        <v>498</v>
      </c>
      <c r="J514" t="s">
        <v>499</v>
      </c>
      <c r="K514" t="s">
        <v>500</v>
      </c>
      <c r="L514">
        <v>1368</v>
      </c>
      <c r="N514">
        <v>1011</v>
      </c>
      <c r="O514" t="s">
        <v>501</v>
      </c>
      <c r="P514" t="s">
        <v>501</v>
      </c>
      <c r="Q514">
        <v>1</v>
      </c>
      <c r="X514">
        <v>0.1</v>
      </c>
      <c r="Y514">
        <v>0</v>
      </c>
      <c r="Z514">
        <v>31.26</v>
      </c>
      <c r="AA514">
        <v>13.5</v>
      </c>
      <c r="AB514">
        <v>0</v>
      </c>
      <c r="AC514">
        <v>0</v>
      </c>
      <c r="AD514">
        <v>1</v>
      </c>
      <c r="AE514">
        <v>0</v>
      </c>
      <c r="AF514" t="s">
        <v>28</v>
      </c>
      <c r="AG514">
        <v>0.11499999999999999</v>
      </c>
      <c r="AH514">
        <v>2</v>
      </c>
      <c r="AI514">
        <v>16784748</v>
      </c>
      <c r="AJ514">
        <v>489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ROW(Source!A161)</f>
        <v>161</v>
      </c>
      <c r="B515">
        <v>16784755</v>
      </c>
      <c r="C515">
        <v>16784745</v>
      </c>
      <c r="D515">
        <v>15249308</v>
      </c>
      <c r="E515">
        <v>1</v>
      </c>
      <c r="F515">
        <v>1</v>
      </c>
      <c r="G515">
        <v>1</v>
      </c>
      <c r="H515">
        <v>2</v>
      </c>
      <c r="I515" t="s">
        <v>543</v>
      </c>
      <c r="J515" t="s">
        <v>544</v>
      </c>
      <c r="K515" t="s">
        <v>545</v>
      </c>
      <c r="L515">
        <v>1368</v>
      </c>
      <c r="N515">
        <v>1011</v>
      </c>
      <c r="O515" t="s">
        <v>501</v>
      </c>
      <c r="P515" t="s">
        <v>501</v>
      </c>
      <c r="Q515">
        <v>1</v>
      </c>
      <c r="X515">
        <v>3.3</v>
      </c>
      <c r="Y515">
        <v>0</v>
      </c>
      <c r="Z515">
        <v>1.2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28</v>
      </c>
      <c r="AG515">
        <v>3.7949999999999995</v>
      </c>
      <c r="AH515">
        <v>2</v>
      </c>
      <c r="AI515">
        <v>16784749</v>
      </c>
      <c r="AJ515">
        <v>490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ROW(Source!A161)</f>
        <v>161</v>
      </c>
      <c r="B516">
        <v>16784756</v>
      </c>
      <c r="C516">
        <v>16784745</v>
      </c>
      <c r="D516">
        <v>15165634</v>
      </c>
      <c r="E516">
        <v>1</v>
      </c>
      <c r="F516">
        <v>1</v>
      </c>
      <c r="G516">
        <v>1</v>
      </c>
      <c r="H516">
        <v>3</v>
      </c>
      <c r="I516" t="s">
        <v>750</v>
      </c>
      <c r="J516" t="s">
        <v>751</v>
      </c>
      <c r="K516" t="s">
        <v>752</v>
      </c>
      <c r="L516">
        <v>1339</v>
      </c>
      <c r="N516">
        <v>1007</v>
      </c>
      <c r="O516" t="s">
        <v>128</v>
      </c>
      <c r="P516" t="s">
        <v>128</v>
      </c>
      <c r="Q516">
        <v>1</v>
      </c>
      <c r="X516">
        <v>0.43</v>
      </c>
      <c r="Y516">
        <v>38.51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6</v>
      </c>
      <c r="AG516">
        <v>0.43</v>
      </c>
      <c r="AH516">
        <v>2</v>
      </c>
      <c r="AI516">
        <v>16784750</v>
      </c>
      <c r="AJ516">
        <v>491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ROW(Source!A161)</f>
        <v>161</v>
      </c>
      <c r="B517">
        <v>16784757</v>
      </c>
      <c r="C517">
        <v>16784745</v>
      </c>
      <c r="D517">
        <v>15165653</v>
      </c>
      <c r="E517">
        <v>1</v>
      </c>
      <c r="F517">
        <v>1</v>
      </c>
      <c r="G517">
        <v>1</v>
      </c>
      <c r="H517">
        <v>3</v>
      </c>
      <c r="I517" t="s">
        <v>549</v>
      </c>
      <c r="J517" t="s">
        <v>550</v>
      </c>
      <c r="K517" t="s">
        <v>551</v>
      </c>
      <c r="L517">
        <v>1339</v>
      </c>
      <c r="N517">
        <v>1007</v>
      </c>
      <c r="O517" t="s">
        <v>128</v>
      </c>
      <c r="P517" t="s">
        <v>128</v>
      </c>
      <c r="Q517">
        <v>1</v>
      </c>
      <c r="X517">
        <v>2.74</v>
      </c>
      <c r="Y517">
        <v>6.22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6</v>
      </c>
      <c r="AG517">
        <v>2.74</v>
      </c>
      <c r="AH517">
        <v>2</v>
      </c>
      <c r="AI517">
        <v>16784751</v>
      </c>
      <c r="AJ517">
        <v>492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ROW(Source!A161)</f>
        <v>161</v>
      </c>
      <c r="B518">
        <v>16784758</v>
      </c>
      <c r="C518">
        <v>16784745</v>
      </c>
      <c r="D518">
        <v>15164566</v>
      </c>
      <c r="E518">
        <v>17</v>
      </c>
      <c r="F518">
        <v>1</v>
      </c>
      <c r="G518">
        <v>1</v>
      </c>
      <c r="H518">
        <v>3</v>
      </c>
      <c r="I518" t="s">
        <v>781</v>
      </c>
      <c r="J518" t="s">
        <v>6</v>
      </c>
      <c r="K518" t="s">
        <v>801</v>
      </c>
      <c r="L518">
        <v>1348</v>
      </c>
      <c r="N518">
        <v>1009</v>
      </c>
      <c r="O518" t="s">
        <v>65</v>
      </c>
      <c r="P518" t="s">
        <v>65</v>
      </c>
      <c r="Q518">
        <v>1000</v>
      </c>
      <c r="X518">
        <v>0.22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 t="s">
        <v>6</v>
      </c>
      <c r="AG518">
        <v>0.22</v>
      </c>
      <c r="AH518">
        <v>3</v>
      </c>
      <c r="AI518">
        <v>-1</v>
      </c>
      <c r="AJ518" t="s">
        <v>6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ROW(Source!A162)</f>
        <v>162</v>
      </c>
      <c r="B519">
        <v>16784772</v>
      </c>
      <c r="C519">
        <v>16784759</v>
      </c>
      <c r="D519">
        <v>15435721</v>
      </c>
      <c r="E519">
        <v>1</v>
      </c>
      <c r="F519">
        <v>1</v>
      </c>
      <c r="G519">
        <v>1</v>
      </c>
      <c r="H519">
        <v>1</v>
      </c>
      <c r="I519" t="s">
        <v>722</v>
      </c>
      <c r="J519" t="s">
        <v>6</v>
      </c>
      <c r="K519" t="s">
        <v>723</v>
      </c>
      <c r="L519">
        <v>1191</v>
      </c>
      <c r="N519">
        <v>1013</v>
      </c>
      <c r="O519" t="s">
        <v>495</v>
      </c>
      <c r="P519" t="s">
        <v>495</v>
      </c>
      <c r="Q519">
        <v>1</v>
      </c>
      <c r="X519">
        <v>96.95</v>
      </c>
      <c r="Y519">
        <v>0</v>
      </c>
      <c r="Z519">
        <v>0</v>
      </c>
      <c r="AA519">
        <v>0</v>
      </c>
      <c r="AB519">
        <v>9.51</v>
      </c>
      <c r="AC519">
        <v>0</v>
      </c>
      <c r="AD519">
        <v>1</v>
      </c>
      <c r="AE519">
        <v>1</v>
      </c>
      <c r="AF519" t="s">
        <v>28</v>
      </c>
      <c r="AG519">
        <v>111.49249999999999</v>
      </c>
      <c r="AH519">
        <v>2</v>
      </c>
      <c r="AI519">
        <v>16784760</v>
      </c>
      <c r="AJ519">
        <v>493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ROW(Source!A162)</f>
        <v>162</v>
      </c>
      <c r="B520">
        <v>16784773</v>
      </c>
      <c r="C520">
        <v>16784759</v>
      </c>
      <c r="D520">
        <v>15430395</v>
      </c>
      <c r="E520">
        <v>1</v>
      </c>
      <c r="F520">
        <v>1</v>
      </c>
      <c r="G520">
        <v>1</v>
      </c>
      <c r="H520">
        <v>1</v>
      </c>
      <c r="I520" t="s">
        <v>496</v>
      </c>
      <c r="J520" t="s">
        <v>6</v>
      </c>
      <c r="K520" t="s">
        <v>497</v>
      </c>
      <c r="L520">
        <v>1191</v>
      </c>
      <c r="N520">
        <v>1013</v>
      </c>
      <c r="O520" t="s">
        <v>495</v>
      </c>
      <c r="P520" t="s">
        <v>495</v>
      </c>
      <c r="Q520">
        <v>1</v>
      </c>
      <c r="X520">
        <v>0.01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2</v>
      </c>
      <c r="AF520" t="s">
        <v>27</v>
      </c>
      <c r="AG520">
        <v>1.2500000000000001E-2</v>
      </c>
      <c r="AH520">
        <v>2</v>
      </c>
      <c r="AI520">
        <v>16784761</v>
      </c>
      <c r="AJ520">
        <v>494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ROW(Source!A162)</f>
        <v>162</v>
      </c>
      <c r="B521">
        <v>16784774</v>
      </c>
      <c r="C521">
        <v>16784759</v>
      </c>
      <c r="D521">
        <v>15247576</v>
      </c>
      <c r="E521">
        <v>1</v>
      </c>
      <c r="F521">
        <v>1</v>
      </c>
      <c r="G521">
        <v>1</v>
      </c>
      <c r="H521">
        <v>2</v>
      </c>
      <c r="I521" t="s">
        <v>606</v>
      </c>
      <c r="J521" t="s">
        <v>607</v>
      </c>
      <c r="K521" t="s">
        <v>608</v>
      </c>
      <c r="L521">
        <v>1368</v>
      </c>
      <c r="N521">
        <v>1011</v>
      </c>
      <c r="O521" t="s">
        <v>501</v>
      </c>
      <c r="P521" t="s">
        <v>501</v>
      </c>
      <c r="Q521">
        <v>1</v>
      </c>
      <c r="X521">
        <v>3.0000000000000001E-3</v>
      </c>
      <c r="Y521">
        <v>0</v>
      </c>
      <c r="Z521">
        <v>83.43</v>
      </c>
      <c r="AA521">
        <v>13.5</v>
      </c>
      <c r="AB521">
        <v>0</v>
      </c>
      <c r="AC521">
        <v>0</v>
      </c>
      <c r="AD521">
        <v>1</v>
      </c>
      <c r="AE521">
        <v>0</v>
      </c>
      <c r="AF521" t="s">
        <v>27</v>
      </c>
      <c r="AG521">
        <v>3.7499999999999999E-3</v>
      </c>
      <c r="AH521">
        <v>2</v>
      </c>
      <c r="AI521">
        <v>16784762</v>
      </c>
      <c r="AJ521">
        <v>495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ROW(Source!A162)</f>
        <v>162</v>
      </c>
      <c r="B522">
        <v>16784775</v>
      </c>
      <c r="C522">
        <v>16784759</v>
      </c>
      <c r="D522">
        <v>15247678</v>
      </c>
      <c r="E522">
        <v>1</v>
      </c>
      <c r="F522">
        <v>1</v>
      </c>
      <c r="G522">
        <v>1</v>
      </c>
      <c r="H522">
        <v>2</v>
      </c>
      <c r="I522" t="s">
        <v>609</v>
      </c>
      <c r="J522" t="s">
        <v>610</v>
      </c>
      <c r="K522" t="s">
        <v>611</v>
      </c>
      <c r="L522">
        <v>1368</v>
      </c>
      <c r="N522">
        <v>1011</v>
      </c>
      <c r="O522" t="s">
        <v>501</v>
      </c>
      <c r="P522" t="s">
        <v>501</v>
      </c>
      <c r="Q522">
        <v>1</v>
      </c>
      <c r="X522">
        <v>4.0000000000000001E-3</v>
      </c>
      <c r="Y522">
        <v>0</v>
      </c>
      <c r="Z522">
        <v>88.01</v>
      </c>
      <c r="AA522">
        <v>11.6</v>
      </c>
      <c r="AB522">
        <v>0</v>
      </c>
      <c r="AC522">
        <v>0</v>
      </c>
      <c r="AD522">
        <v>1</v>
      </c>
      <c r="AE522">
        <v>0</v>
      </c>
      <c r="AF522" t="s">
        <v>27</v>
      </c>
      <c r="AG522">
        <v>5.0000000000000001E-3</v>
      </c>
      <c r="AH522">
        <v>2</v>
      </c>
      <c r="AI522">
        <v>16784763</v>
      </c>
      <c r="AJ522">
        <v>496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ROW(Source!A162)</f>
        <v>162</v>
      </c>
      <c r="B523">
        <v>16784776</v>
      </c>
      <c r="C523">
        <v>16784759</v>
      </c>
      <c r="D523">
        <v>15248793</v>
      </c>
      <c r="E523">
        <v>1</v>
      </c>
      <c r="F523">
        <v>1</v>
      </c>
      <c r="G523">
        <v>1</v>
      </c>
      <c r="H523">
        <v>2</v>
      </c>
      <c r="I523" t="s">
        <v>753</v>
      </c>
      <c r="J523" t="s">
        <v>754</v>
      </c>
      <c r="K523" t="s">
        <v>755</v>
      </c>
      <c r="L523">
        <v>1368</v>
      </c>
      <c r="N523">
        <v>1011</v>
      </c>
      <c r="O523" t="s">
        <v>501</v>
      </c>
      <c r="P523" t="s">
        <v>501</v>
      </c>
      <c r="Q523">
        <v>1</v>
      </c>
      <c r="X523">
        <v>1.27</v>
      </c>
      <c r="Y523">
        <v>0</v>
      </c>
      <c r="Z523">
        <v>29.67</v>
      </c>
      <c r="AA523">
        <v>0</v>
      </c>
      <c r="AB523">
        <v>0</v>
      </c>
      <c r="AC523">
        <v>0</v>
      </c>
      <c r="AD523">
        <v>1</v>
      </c>
      <c r="AE523">
        <v>0</v>
      </c>
      <c r="AF523" t="s">
        <v>27</v>
      </c>
      <c r="AG523">
        <v>1.5874999999999999</v>
      </c>
      <c r="AH523">
        <v>2</v>
      </c>
      <c r="AI523">
        <v>16784764</v>
      </c>
      <c r="AJ523">
        <v>497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ROW(Source!A162)</f>
        <v>162</v>
      </c>
      <c r="B524">
        <v>16784777</v>
      </c>
      <c r="C524">
        <v>16784759</v>
      </c>
      <c r="D524">
        <v>15249310</v>
      </c>
      <c r="E524">
        <v>1</v>
      </c>
      <c r="F524">
        <v>1</v>
      </c>
      <c r="G524">
        <v>1</v>
      </c>
      <c r="H524">
        <v>2</v>
      </c>
      <c r="I524" t="s">
        <v>756</v>
      </c>
      <c r="J524" t="s">
        <v>757</v>
      </c>
      <c r="K524" t="s">
        <v>758</v>
      </c>
      <c r="L524">
        <v>1368</v>
      </c>
      <c r="N524">
        <v>1011</v>
      </c>
      <c r="O524" t="s">
        <v>501</v>
      </c>
      <c r="P524" t="s">
        <v>501</v>
      </c>
      <c r="Q524">
        <v>1</v>
      </c>
      <c r="X524">
        <v>16.38</v>
      </c>
      <c r="Y524">
        <v>0</v>
      </c>
      <c r="Z524">
        <v>26.25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27</v>
      </c>
      <c r="AG524">
        <v>20.474999999999998</v>
      </c>
      <c r="AH524">
        <v>2</v>
      </c>
      <c r="AI524">
        <v>16784765</v>
      </c>
      <c r="AJ524">
        <v>498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ROW(Source!A162)</f>
        <v>162</v>
      </c>
      <c r="B525">
        <v>16784778</v>
      </c>
      <c r="C525">
        <v>16784759</v>
      </c>
      <c r="D525">
        <v>15167286</v>
      </c>
      <c r="E525">
        <v>1</v>
      </c>
      <c r="F525">
        <v>1</v>
      </c>
      <c r="G525">
        <v>1</v>
      </c>
      <c r="H525">
        <v>3</v>
      </c>
      <c r="I525" t="s">
        <v>597</v>
      </c>
      <c r="J525" t="s">
        <v>598</v>
      </c>
      <c r="K525" t="s">
        <v>599</v>
      </c>
      <c r="L525">
        <v>1339</v>
      </c>
      <c r="N525">
        <v>1007</v>
      </c>
      <c r="O525" t="s">
        <v>128</v>
      </c>
      <c r="P525" t="s">
        <v>128</v>
      </c>
      <c r="Q525">
        <v>1</v>
      </c>
      <c r="X525">
        <v>0.14399999999999999</v>
      </c>
      <c r="Y525">
        <v>2.44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6</v>
      </c>
      <c r="AG525">
        <v>0.14399999999999999</v>
      </c>
      <c r="AH525">
        <v>2</v>
      </c>
      <c r="AI525">
        <v>16784766</v>
      </c>
      <c r="AJ525">
        <v>499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ROW(Source!A162)</f>
        <v>162</v>
      </c>
      <c r="B526">
        <v>16784779</v>
      </c>
      <c r="C526">
        <v>16784759</v>
      </c>
      <c r="D526">
        <v>15169957</v>
      </c>
      <c r="E526">
        <v>1</v>
      </c>
      <c r="F526">
        <v>1</v>
      </c>
      <c r="G526">
        <v>1</v>
      </c>
      <c r="H526">
        <v>3</v>
      </c>
      <c r="I526" t="s">
        <v>759</v>
      </c>
      <c r="J526" t="s">
        <v>760</v>
      </c>
      <c r="K526" t="s">
        <v>761</v>
      </c>
      <c r="L526">
        <v>1348</v>
      </c>
      <c r="N526">
        <v>1009</v>
      </c>
      <c r="O526" t="s">
        <v>65</v>
      </c>
      <c r="P526" t="s">
        <v>65</v>
      </c>
      <c r="Q526">
        <v>1000</v>
      </c>
      <c r="X526">
        <v>8.9999999999999998E-4</v>
      </c>
      <c r="Y526">
        <v>13186.74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0</v>
      </c>
      <c r="AF526" t="s">
        <v>6</v>
      </c>
      <c r="AG526">
        <v>8.9999999999999998E-4</v>
      </c>
      <c r="AH526">
        <v>2</v>
      </c>
      <c r="AI526">
        <v>16784767</v>
      </c>
      <c r="AJ526">
        <v>500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ROW(Source!A162)</f>
        <v>162</v>
      </c>
      <c r="B527">
        <v>16784780</v>
      </c>
      <c r="C527">
        <v>16784759</v>
      </c>
      <c r="D527">
        <v>15170076</v>
      </c>
      <c r="E527">
        <v>1</v>
      </c>
      <c r="F527">
        <v>1</v>
      </c>
      <c r="G527">
        <v>1</v>
      </c>
      <c r="H527">
        <v>3</v>
      </c>
      <c r="I527" t="s">
        <v>762</v>
      </c>
      <c r="J527" t="s">
        <v>763</v>
      </c>
      <c r="K527" t="s">
        <v>764</v>
      </c>
      <c r="L527">
        <v>1356</v>
      </c>
      <c r="N527">
        <v>1010</v>
      </c>
      <c r="O527" t="s">
        <v>765</v>
      </c>
      <c r="P527" t="s">
        <v>765</v>
      </c>
      <c r="Q527">
        <v>1000</v>
      </c>
      <c r="X527">
        <v>0.14299999999999999</v>
      </c>
      <c r="Y527">
        <v>180</v>
      </c>
      <c r="Z527">
        <v>0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6</v>
      </c>
      <c r="AG527">
        <v>0.14299999999999999</v>
      </c>
      <c r="AH527">
        <v>2</v>
      </c>
      <c r="AI527">
        <v>16784768</v>
      </c>
      <c r="AJ527">
        <v>501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ROW(Source!A162)</f>
        <v>162</v>
      </c>
      <c r="B528">
        <v>16784781</v>
      </c>
      <c r="C528">
        <v>16784759</v>
      </c>
      <c r="D528">
        <v>15172018</v>
      </c>
      <c r="E528">
        <v>1</v>
      </c>
      <c r="F528">
        <v>1</v>
      </c>
      <c r="G528">
        <v>1</v>
      </c>
      <c r="H528">
        <v>3</v>
      </c>
      <c r="I528" t="s">
        <v>766</v>
      </c>
      <c r="J528" t="s">
        <v>767</v>
      </c>
      <c r="K528" t="s">
        <v>768</v>
      </c>
      <c r="L528">
        <v>1346</v>
      </c>
      <c r="N528">
        <v>1009</v>
      </c>
      <c r="O528" t="s">
        <v>60</v>
      </c>
      <c r="P528" t="s">
        <v>60</v>
      </c>
      <c r="Q528">
        <v>1</v>
      </c>
      <c r="X528">
        <v>1.6000000000000001E-3</v>
      </c>
      <c r="Y528">
        <v>2.15</v>
      </c>
      <c r="Z528">
        <v>0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6</v>
      </c>
      <c r="AG528">
        <v>1.6000000000000001E-3</v>
      </c>
      <c r="AH528">
        <v>2</v>
      </c>
      <c r="AI528">
        <v>16784769</v>
      </c>
      <c r="AJ528">
        <v>502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ROW(Source!A162)</f>
        <v>162</v>
      </c>
      <c r="B529">
        <v>16784782</v>
      </c>
      <c r="C529">
        <v>16784759</v>
      </c>
      <c r="D529">
        <v>16567506</v>
      </c>
      <c r="E529">
        <v>17</v>
      </c>
      <c r="F529">
        <v>1</v>
      </c>
      <c r="G529">
        <v>1</v>
      </c>
      <c r="H529">
        <v>3</v>
      </c>
      <c r="I529" t="s">
        <v>813</v>
      </c>
      <c r="J529" t="s">
        <v>6</v>
      </c>
      <c r="K529" t="s">
        <v>814</v>
      </c>
      <c r="L529">
        <v>1348</v>
      </c>
      <c r="N529">
        <v>1009</v>
      </c>
      <c r="O529" t="s">
        <v>65</v>
      </c>
      <c r="P529" t="s">
        <v>65</v>
      </c>
      <c r="Q529">
        <v>1000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1</v>
      </c>
      <c r="AD529">
        <v>0</v>
      </c>
      <c r="AE529">
        <v>0</v>
      </c>
      <c r="AF529" t="s">
        <v>6</v>
      </c>
      <c r="AG529">
        <v>0</v>
      </c>
      <c r="AH529">
        <v>3</v>
      </c>
      <c r="AI529">
        <v>-1</v>
      </c>
      <c r="AJ529" t="s">
        <v>6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ROW(Source!A162)</f>
        <v>162</v>
      </c>
      <c r="B530">
        <v>16784783</v>
      </c>
      <c r="C530">
        <v>16784759</v>
      </c>
      <c r="D530">
        <v>15164034</v>
      </c>
      <c r="E530">
        <v>17</v>
      </c>
      <c r="F530">
        <v>1</v>
      </c>
      <c r="G530">
        <v>1</v>
      </c>
      <c r="H530">
        <v>3</v>
      </c>
      <c r="I530" t="s">
        <v>815</v>
      </c>
      <c r="J530" t="s">
        <v>6</v>
      </c>
      <c r="K530" t="s">
        <v>354</v>
      </c>
      <c r="L530">
        <v>1354</v>
      </c>
      <c r="N530">
        <v>1010</v>
      </c>
      <c r="O530" t="s">
        <v>277</v>
      </c>
      <c r="P530" t="s">
        <v>277</v>
      </c>
      <c r="Q530">
        <v>1</v>
      </c>
      <c r="X530">
        <v>143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 t="s">
        <v>6</v>
      </c>
      <c r="AG530">
        <v>143</v>
      </c>
      <c r="AH530">
        <v>3</v>
      </c>
      <c r="AI530">
        <v>-1</v>
      </c>
      <c r="AJ530" t="s">
        <v>6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ROW(Source!A162)</f>
        <v>162</v>
      </c>
      <c r="B531">
        <v>16784784</v>
      </c>
      <c r="C531">
        <v>16784759</v>
      </c>
      <c r="D531">
        <v>16567503</v>
      </c>
      <c r="E531">
        <v>17</v>
      </c>
      <c r="F531">
        <v>1</v>
      </c>
      <c r="G531">
        <v>1</v>
      </c>
      <c r="H531">
        <v>3</v>
      </c>
      <c r="I531" t="s">
        <v>816</v>
      </c>
      <c r="J531" t="s">
        <v>6</v>
      </c>
      <c r="K531" t="s">
        <v>817</v>
      </c>
      <c r="L531">
        <v>1398</v>
      </c>
      <c r="N531">
        <v>1013</v>
      </c>
      <c r="O531" t="s">
        <v>818</v>
      </c>
      <c r="P531" t="s">
        <v>818</v>
      </c>
      <c r="Q531">
        <v>1</v>
      </c>
      <c r="X531">
        <v>10.050000000000001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 t="s">
        <v>6</v>
      </c>
      <c r="AG531">
        <v>10.050000000000001</v>
      </c>
      <c r="AH531">
        <v>3</v>
      </c>
      <c r="AI531">
        <v>-1</v>
      </c>
      <c r="AJ531" t="s">
        <v>6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ROW(Source!A162)</f>
        <v>162</v>
      </c>
      <c r="B532">
        <v>16784785</v>
      </c>
      <c r="C532">
        <v>16784759</v>
      </c>
      <c r="D532">
        <v>15163160</v>
      </c>
      <c r="E532">
        <v>17</v>
      </c>
      <c r="F532">
        <v>1</v>
      </c>
      <c r="G532">
        <v>1</v>
      </c>
      <c r="H532">
        <v>3</v>
      </c>
      <c r="I532" t="s">
        <v>819</v>
      </c>
      <c r="J532" t="s">
        <v>6</v>
      </c>
      <c r="K532" t="s">
        <v>820</v>
      </c>
      <c r="L532">
        <v>1354</v>
      </c>
      <c r="N532">
        <v>1010</v>
      </c>
      <c r="O532" t="s">
        <v>277</v>
      </c>
      <c r="P532" t="s">
        <v>277</v>
      </c>
      <c r="Q532">
        <v>1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1</v>
      </c>
      <c r="AD532">
        <v>0</v>
      </c>
      <c r="AE532">
        <v>0</v>
      </c>
      <c r="AF532" t="s">
        <v>6</v>
      </c>
      <c r="AG532">
        <v>0</v>
      </c>
      <c r="AH532">
        <v>3</v>
      </c>
      <c r="AI532">
        <v>-1</v>
      </c>
      <c r="AJ532" t="s">
        <v>6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ROW(Source!A163)</f>
        <v>163</v>
      </c>
      <c r="B533">
        <v>16784772</v>
      </c>
      <c r="C533">
        <v>16784759</v>
      </c>
      <c r="D533">
        <v>15435721</v>
      </c>
      <c r="E533">
        <v>1</v>
      </c>
      <c r="F533">
        <v>1</v>
      </c>
      <c r="G533">
        <v>1</v>
      </c>
      <c r="H533">
        <v>1</v>
      </c>
      <c r="I533" t="s">
        <v>722</v>
      </c>
      <c r="J533" t="s">
        <v>6</v>
      </c>
      <c r="K533" t="s">
        <v>723</v>
      </c>
      <c r="L533">
        <v>1191</v>
      </c>
      <c r="N533">
        <v>1013</v>
      </c>
      <c r="O533" t="s">
        <v>495</v>
      </c>
      <c r="P533" t="s">
        <v>495</v>
      </c>
      <c r="Q533">
        <v>1</v>
      </c>
      <c r="X533">
        <v>96.95</v>
      </c>
      <c r="Y533">
        <v>0</v>
      </c>
      <c r="Z533">
        <v>0</v>
      </c>
      <c r="AA533">
        <v>0</v>
      </c>
      <c r="AB533">
        <v>9.51</v>
      </c>
      <c r="AC533">
        <v>0</v>
      </c>
      <c r="AD533">
        <v>1</v>
      </c>
      <c r="AE533">
        <v>1</v>
      </c>
      <c r="AF533" t="s">
        <v>28</v>
      </c>
      <c r="AG533">
        <v>111.49249999999999</v>
      </c>
      <c r="AH533">
        <v>2</v>
      </c>
      <c r="AI533">
        <v>16784760</v>
      </c>
      <c r="AJ533">
        <v>505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ROW(Source!A163)</f>
        <v>163</v>
      </c>
      <c r="B534">
        <v>16784773</v>
      </c>
      <c r="C534">
        <v>16784759</v>
      </c>
      <c r="D534">
        <v>15430395</v>
      </c>
      <c r="E534">
        <v>1</v>
      </c>
      <c r="F534">
        <v>1</v>
      </c>
      <c r="G534">
        <v>1</v>
      </c>
      <c r="H534">
        <v>1</v>
      </c>
      <c r="I534" t="s">
        <v>496</v>
      </c>
      <c r="J534" t="s">
        <v>6</v>
      </c>
      <c r="K534" t="s">
        <v>497</v>
      </c>
      <c r="L534">
        <v>1191</v>
      </c>
      <c r="N534">
        <v>1013</v>
      </c>
      <c r="O534" t="s">
        <v>495</v>
      </c>
      <c r="P534" t="s">
        <v>495</v>
      </c>
      <c r="Q534">
        <v>1</v>
      </c>
      <c r="X534">
        <v>0.01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1</v>
      </c>
      <c r="AE534">
        <v>2</v>
      </c>
      <c r="AF534" t="s">
        <v>27</v>
      </c>
      <c r="AG534">
        <v>1.2500000000000001E-2</v>
      </c>
      <c r="AH534">
        <v>2</v>
      </c>
      <c r="AI534">
        <v>16784761</v>
      </c>
      <c r="AJ534">
        <v>506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ROW(Source!A163)</f>
        <v>163</v>
      </c>
      <c r="B535">
        <v>16784774</v>
      </c>
      <c r="C535">
        <v>16784759</v>
      </c>
      <c r="D535">
        <v>15247576</v>
      </c>
      <c r="E535">
        <v>1</v>
      </c>
      <c r="F535">
        <v>1</v>
      </c>
      <c r="G535">
        <v>1</v>
      </c>
      <c r="H535">
        <v>2</v>
      </c>
      <c r="I535" t="s">
        <v>606</v>
      </c>
      <c r="J535" t="s">
        <v>607</v>
      </c>
      <c r="K535" t="s">
        <v>608</v>
      </c>
      <c r="L535">
        <v>1368</v>
      </c>
      <c r="N535">
        <v>1011</v>
      </c>
      <c r="O535" t="s">
        <v>501</v>
      </c>
      <c r="P535" t="s">
        <v>501</v>
      </c>
      <c r="Q535">
        <v>1</v>
      </c>
      <c r="X535">
        <v>3.0000000000000001E-3</v>
      </c>
      <c r="Y535">
        <v>0</v>
      </c>
      <c r="Z535">
        <v>83.43</v>
      </c>
      <c r="AA535">
        <v>13.5</v>
      </c>
      <c r="AB535">
        <v>0</v>
      </c>
      <c r="AC535">
        <v>0</v>
      </c>
      <c r="AD535">
        <v>1</v>
      </c>
      <c r="AE535">
        <v>0</v>
      </c>
      <c r="AF535" t="s">
        <v>27</v>
      </c>
      <c r="AG535">
        <v>3.7499999999999999E-3</v>
      </c>
      <c r="AH535">
        <v>2</v>
      </c>
      <c r="AI535">
        <v>16784762</v>
      </c>
      <c r="AJ535">
        <v>507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ROW(Source!A163)</f>
        <v>163</v>
      </c>
      <c r="B536">
        <v>16784775</v>
      </c>
      <c r="C536">
        <v>16784759</v>
      </c>
      <c r="D536">
        <v>15247678</v>
      </c>
      <c r="E536">
        <v>1</v>
      </c>
      <c r="F536">
        <v>1</v>
      </c>
      <c r="G536">
        <v>1</v>
      </c>
      <c r="H536">
        <v>2</v>
      </c>
      <c r="I536" t="s">
        <v>609</v>
      </c>
      <c r="J536" t="s">
        <v>610</v>
      </c>
      <c r="K536" t="s">
        <v>611</v>
      </c>
      <c r="L536">
        <v>1368</v>
      </c>
      <c r="N536">
        <v>1011</v>
      </c>
      <c r="O536" t="s">
        <v>501</v>
      </c>
      <c r="P536" t="s">
        <v>501</v>
      </c>
      <c r="Q536">
        <v>1</v>
      </c>
      <c r="X536">
        <v>4.0000000000000001E-3</v>
      </c>
      <c r="Y536">
        <v>0</v>
      </c>
      <c r="Z536">
        <v>88.01</v>
      </c>
      <c r="AA536">
        <v>11.6</v>
      </c>
      <c r="AB536">
        <v>0</v>
      </c>
      <c r="AC536">
        <v>0</v>
      </c>
      <c r="AD536">
        <v>1</v>
      </c>
      <c r="AE536">
        <v>0</v>
      </c>
      <c r="AF536" t="s">
        <v>27</v>
      </c>
      <c r="AG536">
        <v>5.0000000000000001E-3</v>
      </c>
      <c r="AH536">
        <v>2</v>
      </c>
      <c r="AI536">
        <v>16784763</v>
      </c>
      <c r="AJ536">
        <v>508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ROW(Source!A163)</f>
        <v>163</v>
      </c>
      <c r="B537">
        <v>16784776</v>
      </c>
      <c r="C537">
        <v>16784759</v>
      </c>
      <c r="D537">
        <v>15248793</v>
      </c>
      <c r="E537">
        <v>1</v>
      </c>
      <c r="F537">
        <v>1</v>
      </c>
      <c r="G537">
        <v>1</v>
      </c>
      <c r="H537">
        <v>2</v>
      </c>
      <c r="I537" t="s">
        <v>753</v>
      </c>
      <c r="J537" t="s">
        <v>754</v>
      </c>
      <c r="K537" t="s">
        <v>755</v>
      </c>
      <c r="L537">
        <v>1368</v>
      </c>
      <c r="N537">
        <v>1011</v>
      </c>
      <c r="O537" t="s">
        <v>501</v>
      </c>
      <c r="P537" t="s">
        <v>501</v>
      </c>
      <c r="Q537">
        <v>1</v>
      </c>
      <c r="X537">
        <v>1.27</v>
      </c>
      <c r="Y537">
        <v>0</v>
      </c>
      <c r="Z537">
        <v>29.67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27</v>
      </c>
      <c r="AG537">
        <v>1.5874999999999999</v>
      </c>
      <c r="AH537">
        <v>2</v>
      </c>
      <c r="AI537">
        <v>16784764</v>
      </c>
      <c r="AJ537">
        <v>509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ROW(Source!A163)</f>
        <v>163</v>
      </c>
      <c r="B538">
        <v>16784777</v>
      </c>
      <c r="C538">
        <v>16784759</v>
      </c>
      <c r="D538">
        <v>15249310</v>
      </c>
      <c r="E538">
        <v>1</v>
      </c>
      <c r="F538">
        <v>1</v>
      </c>
      <c r="G538">
        <v>1</v>
      </c>
      <c r="H538">
        <v>2</v>
      </c>
      <c r="I538" t="s">
        <v>756</v>
      </c>
      <c r="J538" t="s">
        <v>757</v>
      </c>
      <c r="K538" t="s">
        <v>758</v>
      </c>
      <c r="L538">
        <v>1368</v>
      </c>
      <c r="N538">
        <v>1011</v>
      </c>
      <c r="O538" t="s">
        <v>501</v>
      </c>
      <c r="P538" t="s">
        <v>501</v>
      </c>
      <c r="Q538">
        <v>1</v>
      </c>
      <c r="X538">
        <v>16.38</v>
      </c>
      <c r="Y538">
        <v>0</v>
      </c>
      <c r="Z538">
        <v>26.25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27</v>
      </c>
      <c r="AG538">
        <v>20.474999999999998</v>
      </c>
      <c r="AH538">
        <v>2</v>
      </c>
      <c r="AI538">
        <v>16784765</v>
      </c>
      <c r="AJ538">
        <v>510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ROW(Source!A163)</f>
        <v>163</v>
      </c>
      <c r="B539">
        <v>16784778</v>
      </c>
      <c r="C539">
        <v>16784759</v>
      </c>
      <c r="D539">
        <v>15167286</v>
      </c>
      <c r="E539">
        <v>1</v>
      </c>
      <c r="F539">
        <v>1</v>
      </c>
      <c r="G539">
        <v>1</v>
      </c>
      <c r="H539">
        <v>3</v>
      </c>
      <c r="I539" t="s">
        <v>597</v>
      </c>
      <c r="J539" t="s">
        <v>598</v>
      </c>
      <c r="K539" t="s">
        <v>599</v>
      </c>
      <c r="L539">
        <v>1339</v>
      </c>
      <c r="N539">
        <v>1007</v>
      </c>
      <c r="O539" t="s">
        <v>128</v>
      </c>
      <c r="P539" t="s">
        <v>128</v>
      </c>
      <c r="Q539">
        <v>1</v>
      </c>
      <c r="X539">
        <v>0.14399999999999999</v>
      </c>
      <c r="Y539">
        <v>2.44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6</v>
      </c>
      <c r="AG539">
        <v>0.14399999999999999</v>
      </c>
      <c r="AH539">
        <v>2</v>
      </c>
      <c r="AI539">
        <v>16784766</v>
      </c>
      <c r="AJ539">
        <v>511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ROW(Source!A163)</f>
        <v>163</v>
      </c>
      <c r="B540">
        <v>16784779</v>
      </c>
      <c r="C540">
        <v>16784759</v>
      </c>
      <c r="D540">
        <v>15169957</v>
      </c>
      <c r="E540">
        <v>1</v>
      </c>
      <c r="F540">
        <v>1</v>
      </c>
      <c r="G540">
        <v>1</v>
      </c>
      <c r="H540">
        <v>3</v>
      </c>
      <c r="I540" t="s">
        <v>759</v>
      </c>
      <c r="J540" t="s">
        <v>760</v>
      </c>
      <c r="K540" t="s">
        <v>761</v>
      </c>
      <c r="L540">
        <v>1348</v>
      </c>
      <c r="N540">
        <v>1009</v>
      </c>
      <c r="O540" t="s">
        <v>65</v>
      </c>
      <c r="P540" t="s">
        <v>65</v>
      </c>
      <c r="Q540">
        <v>1000</v>
      </c>
      <c r="X540">
        <v>8.9999999999999998E-4</v>
      </c>
      <c r="Y540">
        <v>13186.74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6</v>
      </c>
      <c r="AG540">
        <v>8.9999999999999998E-4</v>
      </c>
      <c r="AH540">
        <v>2</v>
      </c>
      <c r="AI540">
        <v>16784767</v>
      </c>
      <c r="AJ540">
        <v>512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ROW(Source!A163)</f>
        <v>163</v>
      </c>
      <c r="B541">
        <v>16784780</v>
      </c>
      <c r="C541">
        <v>16784759</v>
      </c>
      <c r="D541">
        <v>15170076</v>
      </c>
      <c r="E541">
        <v>1</v>
      </c>
      <c r="F541">
        <v>1</v>
      </c>
      <c r="G541">
        <v>1</v>
      </c>
      <c r="H541">
        <v>3</v>
      </c>
      <c r="I541" t="s">
        <v>762</v>
      </c>
      <c r="J541" t="s">
        <v>763</v>
      </c>
      <c r="K541" t="s">
        <v>764</v>
      </c>
      <c r="L541">
        <v>1356</v>
      </c>
      <c r="N541">
        <v>1010</v>
      </c>
      <c r="O541" t="s">
        <v>765</v>
      </c>
      <c r="P541" t="s">
        <v>765</v>
      </c>
      <c r="Q541">
        <v>1000</v>
      </c>
      <c r="X541">
        <v>0.14299999999999999</v>
      </c>
      <c r="Y541">
        <v>180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6</v>
      </c>
      <c r="AG541">
        <v>0.14299999999999999</v>
      </c>
      <c r="AH541">
        <v>2</v>
      </c>
      <c r="AI541">
        <v>16784768</v>
      </c>
      <c r="AJ541">
        <v>513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ROW(Source!A163)</f>
        <v>163</v>
      </c>
      <c r="B542">
        <v>16784781</v>
      </c>
      <c r="C542">
        <v>16784759</v>
      </c>
      <c r="D542">
        <v>15172018</v>
      </c>
      <c r="E542">
        <v>1</v>
      </c>
      <c r="F542">
        <v>1</v>
      </c>
      <c r="G542">
        <v>1</v>
      </c>
      <c r="H542">
        <v>3</v>
      </c>
      <c r="I542" t="s">
        <v>766</v>
      </c>
      <c r="J542" t="s">
        <v>767</v>
      </c>
      <c r="K542" t="s">
        <v>768</v>
      </c>
      <c r="L542">
        <v>1346</v>
      </c>
      <c r="N542">
        <v>1009</v>
      </c>
      <c r="O542" t="s">
        <v>60</v>
      </c>
      <c r="P542" t="s">
        <v>60</v>
      </c>
      <c r="Q542">
        <v>1</v>
      </c>
      <c r="X542">
        <v>1.6000000000000001E-3</v>
      </c>
      <c r="Y542">
        <v>2.15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1.6000000000000001E-3</v>
      </c>
      <c r="AH542">
        <v>2</v>
      </c>
      <c r="AI542">
        <v>16784769</v>
      </c>
      <c r="AJ542">
        <v>514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ROW(Source!A163)</f>
        <v>163</v>
      </c>
      <c r="B543">
        <v>16784782</v>
      </c>
      <c r="C543">
        <v>16784759</v>
      </c>
      <c r="D543">
        <v>16567506</v>
      </c>
      <c r="E543">
        <v>17</v>
      </c>
      <c r="F543">
        <v>1</v>
      </c>
      <c r="G543">
        <v>1</v>
      </c>
      <c r="H543">
        <v>3</v>
      </c>
      <c r="I543" t="s">
        <v>813</v>
      </c>
      <c r="J543" t="s">
        <v>6</v>
      </c>
      <c r="K543" t="s">
        <v>814</v>
      </c>
      <c r="L543">
        <v>1348</v>
      </c>
      <c r="N543">
        <v>1009</v>
      </c>
      <c r="O543" t="s">
        <v>65</v>
      </c>
      <c r="P543" t="s">
        <v>65</v>
      </c>
      <c r="Q543">
        <v>1000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1</v>
      </c>
      <c r="AD543">
        <v>0</v>
      </c>
      <c r="AE543">
        <v>0</v>
      </c>
      <c r="AF543" t="s">
        <v>6</v>
      </c>
      <c r="AG543">
        <v>0</v>
      </c>
      <c r="AH543">
        <v>3</v>
      </c>
      <c r="AI543">
        <v>-1</v>
      </c>
      <c r="AJ543" t="s">
        <v>6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ROW(Source!A163)</f>
        <v>163</v>
      </c>
      <c r="B544">
        <v>16784783</v>
      </c>
      <c r="C544">
        <v>16784759</v>
      </c>
      <c r="D544">
        <v>15164034</v>
      </c>
      <c r="E544">
        <v>17</v>
      </c>
      <c r="F544">
        <v>1</v>
      </c>
      <c r="G544">
        <v>1</v>
      </c>
      <c r="H544">
        <v>3</v>
      </c>
      <c r="I544" t="s">
        <v>815</v>
      </c>
      <c r="J544" t="s">
        <v>6</v>
      </c>
      <c r="K544" t="s">
        <v>354</v>
      </c>
      <c r="L544">
        <v>1354</v>
      </c>
      <c r="N544">
        <v>1010</v>
      </c>
      <c r="O544" t="s">
        <v>277</v>
      </c>
      <c r="P544" t="s">
        <v>277</v>
      </c>
      <c r="Q544">
        <v>1</v>
      </c>
      <c r="X544">
        <v>143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 t="s">
        <v>6</v>
      </c>
      <c r="AG544">
        <v>143</v>
      </c>
      <c r="AH544">
        <v>3</v>
      </c>
      <c r="AI544">
        <v>-1</v>
      </c>
      <c r="AJ544" t="s">
        <v>6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ROW(Source!A163)</f>
        <v>163</v>
      </c>
      <c r="B545">
        <v>16784784</v>
      </c>
      <c r="C545">
        <v>16784759</v>
      </c>
      <c r="D545">
        <v>16567503</v>
      </c>
      <c r="E545">
        <v>17</v>
      </c>
      <c r="F545">
        <v>1</v>
      </c>
      <c r="G545">
        <v>1</v>
      </c>
      <c r="H545">
        <v>3</v>
      </c>
      <c r="I545" t="s">
        <v>816</v>
      </c>
      <c r="J545" t="s">
        <v>6</v>
      </c>
      <c r="K545" t="s">
        <v>817</v>
      </c>
      <c r="L545">
        <v>1398</v>
      </c>
      <c r="N545">
        <v>1013</v>
      </c>
      <c r="O545" t="s">
        <v>818</v>
      </c>
      <c r="P545" t="s">
        <v>818</v>
      </c>
      <c r="Q545">
        <v>1</v>
      </c>
      <c r="X545">
        <v>10.050000000000001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 t="s">
        <v>6</v>
      </c>
      <c r="AG545">
        <v>10.050000000000001</v>
      </c>
      <c r="AH545">
        <v>3</v>
      </c>
      <c r="AI545">
        <v>-1</v>
      </c>
      <c r="AJ545" t="s">
        <v>6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ROW(Source!A163)</f>
        <v>163</v>
      </c>
      <c r="B546">
        <v>16784785</v>
      </c>
      <c r="C546">
        <v>16784759</v>
      </c>
      <c r="D546">
        <v>15163160</v>
      </c>
      <c r="E546">
        <v>17</v>
      </c>
      <c r="F546">
        <v>1</v>
      </c>
      <c r="G546">
        <v>1</v>
      </c>
      <c r="H546">
        <v>3</v>
      </c>
      <c r="I546" t="s">
        <v>819</v>
      </c>
      <c r="J546" t="s">
        <v>6</v>
      </c>
      <c r="K546" t="s">
        <v>820</v>
      </c>
      <c r="L546">
        <v>1354</v>
      </c>
      <c r="N546">
        <v>1010</v>
      </c>
      <c r="O546" t="s">
        <v>277</v>
      </c>
      <c r="P546" t="s">
        <v>277</v>
      </c>
      <c r="Q546">
        <v>1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1</v>
      </c>
      <c r="AD546">
        <v>0</v>
      </c>
      <c r="AE546">
        <v>0</v>
      </c>
      <c r="AF546" t="s">
        <v>6</v>
      </c>
      <c r="AG546">
        <v>0</v>
      </c>
      <c r="AH546">
        <v>3</v>
      </c>
      <c r="AI546">
        <v>-1</v>
      </c>
      <c r="AJ546" t="s">
        <v>6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ROW(Source!A168)</f>
        <v>168</v>
      </c>
      <c r="B547">
        <v>16784971</v>
      </c>
      <c r="C547">
        <v>16784970</v>
      </c>
      <c r="D547">
        <v>15430397</v>
      </c>
      <c r="E547">
        <v>1</v>
      </c>
      <c r="F547">
        <v>1</v>
      </c>
      <c r="G547">
        <v>1</v>
      </c>
      <c r="H547">
        <v>1</v>
      </c>
      <c r="I547" t="s">
        <v>585</v>
      </c>
      <c r="J547" t="s">
        <v>6</v>
      </c>
      <c r="K547" t="s">
        <v>586</v>
      </c>
      <c r="L547">
        <v>1191</v>
      </c>
      <c r="N547">
        <v>1013</v>
      </c>
      <c r="O547" t="s">
        <v>495</v>
      </c>
      <c r="P547" t="s">
        <v>495</v>
      </c>
      <c r="Q547">
        <v>1</v>
      </c>
      <c r="X547">
        <v>55.83</v>
      </c>
      <c r="Y547">
        <v>0</v>
      </c>
      <c r="Z547">
        <v>0</v>
      </c>
      <c r="AA547">
        <v>0</v>
      </c>
      <c r="AB547">
        <v>9.4</v>
      </c>
      <c r="AC547">
        <v>0</v>
      </c>
      <c r="AD547">
        <v>1</v>
      </c>
      <c r="AE547">
        <v>1</v>
      </c>
      <c r="AF547" t="s">
        <v>28</v>
      </c>
      <c r="AG547">
        <v>64.204499999999996</v>
      </c>
      <c r="AH547">
        <v>2</v>
      </c>
      <c r="AI547">
        <v>16784971</v>
      </c>
      <c r="AJ547">
        <v>517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ROW(Source!A168)</f>
        <v>168</v>
      </c>
      <c r="B548">
        <v>16784972</v>
      </c>
      <c r="C548">
        <v>16784970</v>
      </c>
      <c r="D548">
        <v>15430395</v>
      </c>
      <c r="E548">
        <v>1</v>
      </c>
      <c r="F548">
        <v>1</v>
      </c>
      <c r="G548">
        <v>1</v>
      </c>
      <c r="H548">
        <v>1</v>
      </c>
      <c r="I548" t="s">
        <v>496</v>
      </c>
      <c r="J548" t="s">
        <v>6</v>
      </c>
      <c r="K548" t="s">
        <v>497</v>
      </c>
      <c r="L548">
        <v>1191</v>
      </c>
      <c r="N548">
        <v>1013</v>
      </c>
      <c r="O548" t="s">
        <v>495</v>
      </c>
      <c r="P548" t="s">
        <v>495</v>
      </c>
      <c r="Q548">
        <v>1</v>
      </c>
      <c r="X548">
        <v>0.46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2</v>
      </c>
      <c r="AF548" t="s">
        <v>27</v>
      </c>
      <c r="AG548">
        <v>0.57500000000000007</v>
      </c>
      <c r="AH548">
        <v>2</v>
      </c>
      <c r="AI548">
        <v>16784972</v>
      </c>
      <c r="AJ548">
        <v>518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ROW(Source!A168)</f>
        <v>168</v>
      </c>
      <c r="B549">
        <v>16784973</v>
      </c>
      <c r="C549">
        <v>16784970</v>
      </c>
      <c r="D549">
        <v>15247578</v>
      </c>
      <c r="E549">
        <v>1</v>
      </c>
      <c r="F549">
        <v>1</v>
      </c>
      <c r="G549">
        <v>1</v>
      </c>
      <c r="H549">
        <v>2</v>
      </c>
      <c r="I549" t="s">
        <v>713</v>
      </c>
      <c r="J549" t="s">
        <v>714</v>
      </c>
      <c r="K549" t="s">
        <v>715</v>
      </c>
      <c r="L549">
        <v>1368</v>
      </c>
      <c r="N549">
        <v>1011</v>
      </c>
      <c r="O549" t="s">
        <v>501</v>
      </c>
      <c r="P549" t="s">
        <v>501</v>
      </c>
      <c r="Q549">
        <v>1</v>
      </c>
      <c r="X549">
        <v>0.1</v>
      </c>
      <c r="Y549">
        <v>0</v>
      </c>
      <c r="Z549">
        <v>86.4</v>
      </c>
      <c r="AA549">
        <v>13.5</v>
      </c>
      <c r="AB549">
        <v>0</v>
      </c>
      <c r="AC549">
        <v>0</v>
      </c>
      <c r="AD549">
        <v>1</v>
      </c>
      <c r="AE549">
        <v>0</v>
      </c>
      <c r="AF549" t="s">
        <v>27</v>
      </c>
      <c r="AG549">
        <v>0.125</v>
      </c>
      <c r="AH549">
        <v>2</v>
      </c>
      <c r="AI549">
        <v>16784973</v>
      </c>
      <c r="AJ549">
        <v>519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ROW(Source!A168)</f>
        <v>168</v>
      </c>
      <c r="B550">
        <v>16784974</v>
      </c>
      <c r="C550">
        <v>16784970</v>
      </c>
      <c r="D550">
        <v>15247678</v>
      </c>
      <c r="E550">
        <v>1</v>
      </c>
      <c r="F550">
        <v>1</v>
      </c>
      <c r="G550">
        <v>1</v>
      </c>
      <c r="H550">
        <v>2</v>
      </c>
      <c r="I550" t="s">
        <v>609</v>
      </c>
      <c r="J550" t="s">
        <v>610</v>
      </c>
      <c r="K550" t="s">
        <v>611</v>
      </c>
      <c r="L550">
        <v>1368</v>
      </c>
      <c r="N550">
        <v>1011</v>
      </c>
      <c r="O550" t="s">
        <v>501</v>
      </c>
      <c r="P550" t="s">
        <v>501</v>
      </c>
      <c r="Q550">
        <v>1</v>
      </c>
      <c r="X550">
        <v>0.18</v>
      </c>
      <c r="Y550">
        <v>0</v>
      </c>
      <c r="Z550">
        <v>88.01</v>
      </c>
      <c r="AA550">
        <v>11.6</v>
      </c>
      <c r="AB550">
        <v>0</v>
      </c>
      <c r="AC550">
        <v>0</v>
      </c>
      <c r="AD550">
        <v>1</v>
      </c>
      <c r="AE550">
        <v>0</v>
      </c>
      <c r="AF550" t="s">
        <v>27</v>
      </c>
      <c r="AG550">
        <v>0.22499999999999998</v>
      </c>
      <c r="AH550">
        <v>2</v>
      </c>
      <c r="AI550">
        <v>16784974</v>
      </c>
      <c r="AJ550">
        <v>520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ROW(Source!A168)</f>
        <v>168</v>
      </c>
      <c r="B551">
        <v>16784975</v>
      </c>
      <c r="C551">
        <v>16784970</v>
      </c>
      <c r="D551">
        <v>15249073</v>
      </c>
      <c r="E551">
        <v>1</v>
      </c>
      <c r="F551">
        <v>1</v>
      </c>
      <c r="G551">
        <v>1</v>
      </c>
      <c r="H551">
        <v>2</v>
      </c>
      <c r="I551" t="s">
        <v>504</v>
      </c>
      <c r="J551" t="s">
        <v>505</v>
      </c>
      <c r="K551" t="s">
        <v>506</v>
      </c>
      <c r="L551">
        <v>1368</v>
      </c>
      <c r="N551">
        <v>1011</v>
      </c>
      <c r="O551" t="s">
        <v>501</v>
      </c>
      <c r="P551" t="s">
        <v>501</v>
      </c>
      <c r="Q551">
        <v>1</v>
      </c>
      <c r="X551">
        <v>0.18</v>
      </c>
      <c r="Y551">
        <v>0</v>
      </c>
      <c r="Z551">
        <v>65.709999999999994</v>
      </c>
      <c r="AA551">
        <v>11.6</v>
      </c>
      <c r="AB551">
        <v>0</v>
      </c>
      <c r="AC551">
        <v>0</v>
      </c>
      <c r="AD551">
        <v>1</v>
      </c>
      <c r="AE551">
        <v>0</v>
      </c>
      <c r="AF551" t="s">
        <v>27</v>
      </c>
      <c r="AG551">
        <v>0.22499999999999998</v>
      </c>
      <c r="AH551">
        <v>2</v>
      </c>
      <c r="AI551">
        <v>16784975</v>
      </c>
      <c r="AJ551">
        <v>521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ROW(Source!A168)</f>
        <v>168</v>
      </c>
      <c r="B552">
        <v>16784976</v>
      </c>
      <c r="C552">
        <v>16784970</v>
      </c>
      <c r="D552">
        <v>15167286</v>
      </c>
      <c r="E552">
        <v>1</v>
      </c>
      <c r="F552">
        <v>1</v>
      </c>
      <c r="G552">
        <v>1</v>
      </c>
      <c r="H552">
        <v>3</v>
      </c>
      <c r="I552" t="s">
        <v>597</v>
      </c>
      <c r="J552" t="s">
        <v>598</v>
      </c>
      <c r="K552" t="s">
        <v>599</v>
      </c>
      <c r="L552">
        <v>1339</v>
      </c>
      <c r="N552">
        <v>1007</v>
      </c>
      <c r="O552" t="s">
        <v>128</v>
      </c>
      <c r="P552" t="s">
        <v>128</v>
      </c>
      <c r="Q552">
        <v>1</v>
      </c>
      <c r="X552">
        <v>0.78600000000000003</v>
      </c>
      <c r="Y552">
        <v>2.44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6</v>
      </c>
      <c r="AG552">
        <v>0.78600000000000003</v>
      </c>
      <c r="AH552">
        <v>2</v>
      </c>
      <c r="AI552">
        <v>16784976</v>
      </c>
      <c r="AJ552">
        <v>522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ROW(Source!A168)</f>
        <v>168</v>
      </c>
      <c r="B553">
        <v>16784977</v>
      </c>
      <c r="C553">
        <v>16784970</v>
      </c>
      <c r="D553">
        <v>15169924</v>
      </c>
      <c r="E553">
        <v>1</v>
      </c>
      <c r="F553">
        <v>1</v>
      </c>
      <c r="G553">
        <v>1</v>
      </c>
      <c r="H553">
        <v>3</v>
      </c>
      <c r="I553" t="s">
        <v>716</v>
      </c>
      <c r="J553" t="s">
        <v>717</v>
      </c>
      <c r="K553" t="s">
        <v>718</v>
      </c>
      <c r="L553">
        <v>1348</v>
      </c>
      <c r="N553">
        <v>1009</v>
      </c>
      <c r="O553" t="s">
        <v>65</v>
      </c>
      <c r="P553" t="s">
        <v>65</v>
      </c>
      <c r="Q553">
        <v>1000</v>
      </c>
      <c r="X553">
        <v>2.66E-3</v>
      </c>
      <c r="Y553">
        <v>14830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6</v>
      </c>
      <c r="AG553">
        <v>2.66E-3</v>
      </c>
      <c r="AH553">
        <v>2</v>
      </c>
      <c r="AI553">
        <v>16784977</v>
      </c>
      <c r="AJ553">
        <v>523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ROW(Source!A168)</f>
        <v>168</v>
      </c>
      <c r="B554">
        <v>16784978</v>
      </c>
      <c r="C554">
        <v>16784970</v>
      </c>
      <c r="D554">
        <v>15163174</v>
      </c>
      <c r="E554">
        <v>17</v>
      </c>
      <c r="F554">
        <v>1</v>
      </c>
      <c r="G554">
        <v>1</v>
      </c>
      <c r="H554">
        <v>3</v>
      </c>
      <c r="I554" t="s">
        <v>821</v>
      </c>
      <c r="J554" t="s">
        <v>6</v>
      </c>
      <c r="K554" t="s">
        <v>822</v>
      </c>
      <c r="L554">
        <v>1354</v>
      </c>
      <c r="N554">
        <v>1010</v>
      </c>
      <c r="O554" t="s">
        <v>277</v>
      </c>
      <c r="P554" t="s">
        <v>277</v>
      </c>
      <c r="Q554">
        <v>1</v>
      </c>
      <c r="X554">
        <v>12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 t="s">
        <v>6</v>
      </c>
      <c r="AG554">
        <v>12</v>
      </c>
      <c r="AH554">
        <v>3</v>
      </c>
      <c r="AI554">
        <v>-1</v>
      </c>
      <c r="AJ554" t="s">
        <v>6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ROW(Source!A168)</f>
        <v>168</v>
      </c>
      <c r="B555">
        <v>16784979</v>
      </c>
      <c r="C555">
        <v>16784970</v>
      </c>
      <c r="D555">
        <v>15161573</v>
      </c>
      <c r="E555">
        <v>17</v>
      </c>
      <c r="F555">
        <v>1</v>
      </c>
      <c r="G555">
        <v>1</v>
      </c>
      <c r="H555">
        <v>3</v>
      </c>
      <c r="I555" t="s">
        <v>802</v>
      </c>
      <c r="J555" t="s">
        <v>6</v>
      </c>
      <c r="K555" t="s">
        <v>803</v>
      </c>
      <c r="L555">
        <v>1354</v>
      </c>
      <c r="N555">
        <v>1010</v>
      </c>
      <c r="O555" t="s">
        <v>277</v>
      </c>
      <c r="P555" t="s">
        <v>277</v>
      </c>
      <c r="Q555">
        <v>1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1</v>
      </c>
      <c r="AD555">
        <v>0</v>
      </c>
      <c r="AE555">
        <v>0</v>
      </c>
      <c r="AF555" t="s">
        <v>6</v>
      </c>
      <c r="AG555">
        <v>0</v>
      </c>
      <c r="AH555">
        <v>3</v>
      </c>
      <c r="AI555">
        <v>-1</v>
      </c>
      <c r="AJ555" t="s">
        <v>6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ROW(Source!A168)</f>
        <v>168</v>
      </c>
      <c r="B556">
        <v>16784980</v>
      </c>
      <c r="C556">
        <v>16784970</v>
      </c>
      <c r="D556">
        <v>15163115</v>
      </c>
      <c r="E556">
        <v>17</v>
      </c>
      <c r="F556">
        <v>1</v>
      </c>
      <c r="G556">
        <v>1</v>
      </c>
      <c r="H556">
        <v>3</v>
      </c>
      <c r="I556" t="s">
        <v>804</v>
      </c>
      <c r="J556" t="s">
        <v>6</v>
      </c>
      <c r="K556" t="s">
        <v>805</v>
      </c>
      <c r="L556">
        <v>1346</v>
      </c>
      <c r="N556">
        <v>1009</v>
      </c>
      <c r="O556" t="s">
        <v>60</v>
      </c>
      <c r="P556" t="s">
        <v>60</v>
      </c>
      <c r="Q556">
        <v>1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1</v>
      </c>
      <c r="AD556">
        <v>0</v>
      </c>
      <c r="AE556">
        <v>0</v>
      </c>
      <c r="AF556" t="s">
        <v>6</v>
      </c>
      <c r="AG556">
        <v>0</v>
      </c>
      <c r="AH556">
        <v>3</v>
      </c>
      <c r="AI556">
        <v>-1</v>
      </c>
      <c r="AJ556" t="s">
        <v>6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ROW(Source!A168)</f>
        <v>168</v>
      </c>
      <c r="B557">
        <v>16784981</v>
      </c>
      <c r="C557">
        <v>16784970</v>
      </c>
      <c r="D557">
        <v>15163179</v>
      </c>
      <c r="E557">
        <v>17</v>
      </c>
      <c r="F557">
        <v>1</v>
      </c>
      <c r="G557">
        <v>1</v>
      </c>
      <c r="H557">
        <v>3</v>
      </c>
      <c r="I557" t="s">
        <v>369</v>
      </c>
      <c r="J557" t="s">
        <v>6</v>
      </c>
      <c r="K557" t="s">
        <v>370</v>
      </c>
      <c r="L557">
        <v>1301</v>
      </c>
      <c r="N557">
        <v>1003</v>
      </c>
      <c r="O557" t="s">
        <v>45</v>
      </c>
      <c r="P557" t="s">
        <v>45</v>
      </c>
      <c r="Q557">
        <v>1</v>
      </c>
      <c r="X557">
        <v>99.8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 t="s">
        <v>6</v>
      </c>
      <c r="AG557">
        <v>99.8</v>
      </c>
      <c r="AH557">
        <v>2</v>
      </c>
      <c r="AI557">
        <v>16784981</v>
      </c>
      <c r="AJ557">
        <v>524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ROW(Source!A168)</f>
        <v>168</v>
      </c>
      <c r="B558">
        <v>16784982</v>
      </c>
      <c r="C558">
        <v>16784970</v>
      </c>
      <c r="D558">
        <v>15163171</v>
      </c>
      <c r="E558">
        <v>17</v>
      </c>
      <c r="F558">
        <v>1</v>
      </c>
      <c r="G558">
        <v>1</v>
      </c>
      <c r="H558">
        <v>3</v>
      </c>
      <c r="I558" t="s">
        <v>819</v>
      </c>
      <c r="J558" t="s">
        <v>6</v>
      </c>
      <c r="K558" t="s">
        <v>823</v>
      </c>
      <c r="L558">
        <v>1354</v>
      </c>
      <c r="N558">
        <v>1010</v>
      </c>
      <c r="O558" t="s">
        <v>277</v>
      </c>
      <c r="P558" t="s">
        <v>277</v>
      </c>
      <c r="Q558">
        <v>1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1</v>
      </c>
      <c r="AD558">
        <v>0</v>
      </c>
      <c r="AE558">
        <v>0</v>
      </c>
      <c r="AF558" t="s">
        <v>6</v>
      </c>
      <c r="AG558">
        <v>0</v>
      </c>
      <c r="AH558">
        <v>3</v>
      </c>
      <c r="AI558">
        <v>-1</v>
      </c>
      <c r="AJ558" t="s">
        <v>6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ROW(Source!A169)</f>
        <v>169</v>
      </c>
      <c r="B559">
        <v>16784971</v>
      </c>
      <c r="C559">
        <v>16784970</v>
      </c>
      <c r="D559">
        <v>15430397</v>
      </c>
      <c r="E559">
        <v>1</v>
      </c>
      <c r="F559">
        <v>1</v>
      </c>
      <c r="G559">
        <v>1</v>
      </c>
      <c r="H559">
        <v>1</v>
      </c>
      <c r="I559" t="s">
        <v>585</v>
      </c>
      <c r="J559" t="s">
        <v>6</v>
      </c>
      <c r="K559" t="s">
        <v>586</v>
      </c>
      <c r="L559">
        <v>1191</v>
      </c>
      <c r="N559">
        <v>1013</v>
      </c>
      <c r="O559" t="s">
        <v>495</v>
      </c>
      <c r="P559" t="s">
        <v>495</v>
      </c>
      <c r="Q559">
        <v>1</v>
      </c>
      <c r="X559">
        <v>55.83</v>
      </c>
      <c r="Y559">
        <v>0</v>
      </c>
      <c r="Z559">
        <v>0</v>
      </c>
      <c r="AA559">
        <v>0</v>
      </c>
      <c r="AB559">
        <v>9.4</v>
      </c>
      <c r="AC559">
        <v>0</v>
      </c>
      <c r="AD559">
        <v>1</v>
      </c>
      <c r="AE559">
        <v>1</v>
      </c>
      <c r="AF559" t="s">
        <v>28</v>
      </c>
      <c r="AG559">
        <v>64.204499999999996</v>
      </c>
      <c r="AH559">
        <v>2</v>
      </c>
      <c r="AI559">
        <v>16784971</v>
      </c>
      <c r="AJ559">
        <v>526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ROW(Source!A169)</f>
        <v>169</v>
      </c>
      <c r="B560">
        <v>16784972</v>
      </c>
      <c r="C560">
        <v>16784970</v>
      </c>
      <c r="D560">
        <v>15430395</v>
      </c>
      <c r="E560">
        <v>1</v>
      </c>
      <c r="F560">
        <v>1</v>
      </c>
      <c r="G560">
        <v>1</v>
      </c>
      <c r="H560">
        <v>1</v>
      </c>
      <c r="I560" t="s">
        <v>496</v>
      </c>
      <c r="J560" t="s">
        <v>6</v>
      </c>
      <c r="K560" t="s">
        <v>497</v>
      </c>
      <c r="L560">
        <v>1191</v>
      </c>
      <c r="N560">
        <v>1013</v>
      </c>
      <c r="O560" t="s">
        <v>495</v>
      </c>
      <c r="P560" t="s">
        <v>495</v>
      </c>
      <c r="Q560">
        <v>1</v>
      </c>
      <c r="X560">
        <v>0.46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2</v>
      </c>
      <c r="AF560" t="s">
        <v>27</v>
      </c>
      <c r="AG560">
        <v>0.57500000000000007</v>
      </c>
      <c r="AH560">
        <v>2</v>
      </c>
      <c r="AI560">
        <v>16784972</v>
      </c>
      <c r="AJ560">
        <v>527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ROW(Source!A169)</f>
        <v>169</v>
      </c>
      <c r="B561">
        <v>16784973</v>
      </c>
      <c r="C561">
        <v>16784970</v>
      </c>
      <c r="D561">
        <v>15247578</v>
      </c>
      <c r="E561">
        <v>1</v>
      </c>
      <c r="F561">
        <v>1</v>
      </c>
      <c r="G561">
        <v>1</v>
      </c>
      <c r="H561">
        <v>2</v>
      </c>
      <c r="I561" t="s">
        <v>713</v>
      </c>
      <c r="J561" t="s">
        <v>714</v>
      </c>
      <c r="K561" t="s">
        <v>715</v>
      </c>
      <c r="L561">
        <v>1368</v>
      </c>
      <c r="N561">
        <v>1011</v>
      </c>
      <c r="O561" t="s">
        <v>501</v>
      </c>
      <c r="P561" t="s">
        <v>501</v>
      </c>
      <c r="Q561">
        <v>1</v>
      </c>
      <c r="X561">
        <v>0.1</v>
      </c>
      <c r="Y561">
        <v>0</v>
      </c>
      <c r="Z561">
        <v>86.4</v>
      </c>
      <c r="AA561">
        <v>13.5</v>
      </c>
      <c r="AB561">
        <v>0</v>
      </c>
      <c r="AC561">
        <v>0</v>
      </c>
      <c r="AD561">
        <v>1</v>
      </c>
      <c r="AE561">
        <v>0</v>
      </c>
      <c r="AF561" t="s">
        <v>27</v>
      </c>
      <c r="AG561">
        <v>0.125</v>
      </c>
      <c r="AH561">
        <v>2</v>
      </c>
      <c r="AI561">
        <v>16784973</v>
      </c>
      <c r="AJ561">
        <v>528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ROW(Source!A169)</f>
        <v>169</v>
      </c>
      <c r="B562">
        <v>16784974</v>
      </c>
      <c r="C562">
        <v>16784970</v>
      </c>
      <c r="D562">
        <v>15247678</v>
      </c>
      <c r="E562">
        <v>1</v>
      </c>
      <c r="F562">
        <v>1</v>
      </c>
      <c r="G562">
        <v>1</v>
      </c>
      <c r="H562">
        <v>2</v>
      </c>
      <c r="I562" t="s">
        <v>609</v>
      </c>
      <c r="J562" t="s">
        <v>610</v>
      </c>
      <c r="K562" t="s">
        <v>611</v>
      </c>
      <c r="L562">
        <v>1368</v>
      </c>
      <c r="N562">
        <v>1011</v>
      </c>
      <c r="O562" t="s">
        <v>501</v>
      </c>
      <c r="P562" t="s">
        <v>501</v>
      </c>
      <c r="Q562">
        <v>1</v>
      </c>
      <c r="X562">
        <v>0.18</v>
      </c>
      <c r="Y562">
        <v>0</v>
      </c>
      <c r="Z562">
        <v>88.01</v>
      </c>
      <c r="AA562">
        <v>11.6</v>
      </c>
      <c r="AB562">
        <v>0</v>
      </c>
      <c r="AC562">
        <v>0</v>
      </c>
      <c r="AD562">
        <v>1</v>
      </c>
      <c r="AE562">
        <v>0</v>
      </c>
      <c r="AF562" t="s">
        <v>27</v>
      </c>
      <c r="AG562">
        <v>0.22499999999999998</v>
      </c>
      <c r="AH562">
        <v>2</v>
      </c>
      <c r="AI562">
        <v>16784974</v>
      </c>
      <c r="AJ562">
        <v>529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ROW(Source!A169)</f>
        <v>169</v>
      </c>
      <c r="B563">
        <v>16784975</v>
      </c>
      <c r="C563">
        <v>16784970</v>
      </c>
      <c r="D563">
        <v>15249073</v>
      </c>
      <c r="E563">
        <v>1</v>
      </c>
      <c r="F563">
        <v>1</v>
      </c>
      <c r="G563">
        <v>1</v>
      </c>
      <c r="H563">
        <v>2</v>
      </c>
      <c r="I563" t="s">
        <v>504</v>
      </c>
      <c r="J563" t="s">
        <v>505</v>
      </c>
      <c r="K563" t="s">
        <v>506</v>
      </c>
      <c r="L563">
        <v>1368</v>
      </c>
      <c r="N563">
        <v>1011</v>
      </c>
      <c r="O563" t="s">
        <v>501</v>
      </c>
      <c r="P563" t="s">
        <v>501</v>
      </c>
      <c r="Q563">
        <v>1</v>
      </c>
      <c r="X563">
        <v>0.18</v>
      </c>
      <c r="Y563">
        <v>0</v>
      </c>
      <c r="Z563">
        <v>65.709999999999994</v>
      </c>
      <c r="AA563">
        <v>11.6</v>
      </c>
      <c r="AB563">
        <v>0</v>
      </c>
      <c r="AC563">
        <v>0</v>
      </c>
      <c r="AD563">
        <v>1</v>
      </c>
      <c r="AE563">
        <v>0</v>
      </c>
      <c r="AF563" t="s">
        <v>27</v>
      </c>
      <c r="AG563">
        <v>0.22499999999999998</v>
      </c>
      <c r="AH563">
        <v>2</v>
      </c>
      <c r="AI563">
        <v>16784975</v>
      </c>
      <c r="AJ563">
        <v>530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ROW(Source!A169)</f>
        <v>169</v>
      </c>
      <c r="B564">
        <v>16784976</v>
      </c>
      <c r="C564">
        <v>16784970</v>
      </c>
      <c r="D564">
        <v>15167286</v>
      </c>
      <c r="E564">
        <v>1</v>
      </c>
      <c r="F564">
        <v>1</v>
      </c>
      <c r="G564">
        <v>1</v>
      </c>
      <c r="H564">
        <v>3</v>
      </c>
      <c r="I564" t="s">
        <v>597</v>
      </c>
      <c r="J564" t="s">
        <v>598</v>
      </c>
      <c r="K564" t="s">
        <v>599</v>
      </c>
      <c r="L564">
        <v>1339</v>
      </c>
      <c r="N564">
        <v>1007</v>
      </c>
      <c r="O564" t="s">
        <v>128</v>
      </c>
      <c r="P564" t="s">
        <v>128</v>
      </c>
      <c r="Q564">
        <v>1</v>
      </c>
      <c r="X564">
        <v>0.78600000000000003</v>
      </c>
      <c r="Y564">
        <v>2.44</v>
      </c>
      <c r="Z564">
        <v>0</v>
      </c>
      <c r="AA564">
        <v>0</v>
      </c>
      <c r="AB564">
        <v>0</v>
      </c>
      <c r="AC564">
        <v>0</v>
      </c>
      <c r="AD564">
        <v>1</v>
      </c>
      <c r="AE564">
        <v>0</v>
      </c>
      <c r="AF564" t="s">
        <v>6</v>
      </c>
      <c r="AG564">
        <v>0.78600000000000003</v>
      </c>
      <c r="AH564">
        <v>2</v>
      </c>
      <c r="AI564">
        <v>16784976</v>
      </c>
      <c r="AJ564">
        <v>531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ROW(Source!A169)</f>
        <v>169</v>
      </c>
      <c r="B565">
        <v>16784977</v>
      </c>
      <c r="C565">
        <v>16784970</v>
      </c>
      <c r="D565">
        <v>15169924</v>
      </c>
      <c r="E565">
        <v>1</v>
      </c>
      <c r="F565">
        <v>1</v>
      </c>
      <c r="G565">
        <v>1</v>
      </c>
      <c r="H565">
        <v>3</v>
      </c>
      <c r="I565" t="s">
        <v>716</v>
      </c>
      <c r="J565" t="s">
        <v>717</v>
      </c>
      <c r="K565" t="s">
        <v>718</v>
      </c>
      <c r="L565">
        <v>1348</v>
      </c>
      <c r="N565">
        <v>1009</v>
      </c>
      <c r="O565" t="s">
        <v>65</v>
      </c>
      <c r="P565" t="s">
        <v>65</v>
      </c>
      <c r="Q565">
        <v>1000</v>
      </c>
      <c r="X565">
        <v>2.66E-3</v>
      </c>
      <c r="Y565">
        <v>14830</v>
      </c>
      <c r="Z565">
        <v>0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6</v>
      </c>
      <c r="AG565">
        <v>2.66E-3</v>
      </c>
      <c r="AH565">
        <v>2</v>
      </c>
      <c r="AI565">
        <v>16784977</v>
      </c>
      <c r="AJ565">
        <v>532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ROW(Source!A169)</f>
        <v>169</v>
      </c>
      <c r="B566">
        <v>16784978</v>
      </c>
      <c r="C566">
        <v>16784970</v>
      </c>
      <c r="D566">
        <v>15163174</v>
      </c>
      <c r="E566">
        <v>17</v>
      </c>
      <c r="F566">
        <v>1</v>
      </c>
      <c r="G566">
        <v>1</v>
      </c>
      <c r="H566">
        <v>3</v>
      </c>
      <c r="I566" t="s">
        <v>821</v>
      </c>
      <c r="J566" t="s">
        <v>6</v>
      </c>
      <c r="K566" t="s">
        <v>822</v>
      </c>
      <c r="L566">
        <v>1354</v>
      </c>
      <c r="N566">
        <v>1010</v>
      </c>
      <c r="O566" t="s">
        <v>277</v>
      </c>
      <c r="P566" t="s">
        <v>277</v>
      </c>
      <c r="Q566">
        <v>1</v>
      </c>
      <c r="X566">
        <v>12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 t="s">
        <v>6</v>
      </c>
      <c r="AG566">
        <v>12</v>
      </c>
      <c r="AH566">
        <v>3</v>
      </c>
      <c r="AI566">
        <v>-1</v>
      </c>
      <c r="AJ566" t="s">
        <v>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ROW(Source!A169)</f>
        <v>169</v>
      </c>
      <c r="B567">
        <v>16784979</v>
      </c>
      <c r="C567">
        <v>16784970</v>
      </c>
      <c r="D567">
        <v>15161573</v>
      </c>
      <c r="E567">
        <v>17</v>
      </c>
      <c r="F567">
        <v>1</v>
      </c>
      <c r="G567">
        <v>1</v>
      </c>
      <c r="H567">
        <v>3</v>
      </c>
      <c r="I567" t="s">
        <v>802</v>
      </c>
      <c r="J567" t="s">
        <v>6</v>
      </c>
      <c r="K567" t="s">
        <v>803</v>
      </c>
      <c r="L567">
        <v>1354</v>
      </c>
      <c r="N567">
        <v>1010</v>
      </c>
      <c r="O567" t="s">
        <v>277</v>
      </c>
      <c r="P567" t="s">
        <v>277</v>
      </c>
      <c r="Q567">
        <v>1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1</v>
      </c>
      <c r="AD567">
        <v>0</v>
      </c>
      <c r="AE567">
        <v>0</v>
      </c>
      <c r="AF567" t="s">
        <v>6</v>
      </c>
      <c r="AG567">
        <v>0</v>
      </c>
      <c r="AH567">
        <v>3</v>
      </c>
      <c r="AI567">
        <v>-1</v>
      </c>
      <c r="AJ567" t="s">
        <v>6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ROW(Source!A169)</f>
        <v>169</v>
      </c>
      <c r="B568">
        <v>16784980</v>
      </c>
      <c r="C568">
        <v>16784970</v>
      </c>
      <c r="D568">
        <v>15163115</v>
      </c>
      <c r="E568">
        <v>17</v>
      </c>
      <c r="F568">
        <v>1</v>
      </c>
      <c r="G568">
        <v>1</v>
      </c>
      <c r="H568">
        <v>3</v>
      </c>
      <c r="I568" t="s">
        <v>804</v>
      </c>
      <c r="J568" t="s">
        <v>6</v>
      </c>
      <c r="K568" t="s">
        <v>805</v>
      </c>
      <c r="L568">
        <v>1346</v>
      </c>
      <c r="N568">
        <v>1009</v>
      </c>
      <c r="O568" t="s">
        <v>60</v>
      </c>
      <c r="P568" t="s">
        <v>60</v>
      </c>
      <c r="Q568">
        <v>1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1</v>
      </c>
      <c r="AD568">
        <v>0</v>
      </c>
      <c r="AE568">
        <v>0</v>
      </c>
      <c r="AF568" t="s">
        <v>6</v>
      </c>
      <c r="AG568">
        <v>0</v>
      </c>
      <c r="AH568">
        <v>3</v>
      </c>
      <c r="AI568">
        <v>-1</v>
      </c>
      <c r="AJ568" t="s">
        <v>6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ROW(Source!A169)</f>
        <v>169</v>
      </c>
      <c r="B569">
        <v>16784981</v>
      </c>
      <c r="C569">
        <v>16784970</v>
      </c>
      <c r="D569">
        <v>15163179</v>
      </c>
      <c r="E569">
        <v>17</v>
      </c>
      <c r="F569">
        <v>1</v>
      </c>
      <c r="G569">
        <v>1</v>
      </c>
      <c r="H569">
        <v>3</v>
      </c>
      <c r="I569" t="s">
        <v>369</v>
      </c>
      <c r="J569" t="s">
        <v>6</v>
      </c>
      <c r="K569" t="s">
        <v>370</v>
      </c>
      <c r="L569">
        <v>1301</v>
      </c>
      <c r="N569">
        <v>1003</v>
      </c>
      <c r="O569" t="s">
        <v>45</v>
      </c>
      <c r="P569" t="s">
        <v>45</v>
      </c>
      <c r="Q569">
        <v>1</v>
      </c>
      <c r="X569">
        <v>99.8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 t="s">
        <v>6</v>
      </c>
      <c r="AG569">
        <v>99.8</v>
      </c>
      <c r="AH569">
        <v>2</v>
      </c>
      <c r="AI569">
        <v>16784981</v>
      </c>
      <c r="AJ569">
        <v>533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ROW(Source!A169)</f>
        <v>169</v>
      </c>
      <c r="B570">
        <v>16784982</v>
      </c>
      <c r="C570">
        <v>16784970</v>
      </c>
      <c r="D570">
        <v>15163171</v>
      </c>
      <c r="E570">
        <v>17</v>
      </c>
      <c r="F570">
        <v>1</v>
      </c>
      <c r="G570">
        <v>1</v>
      </c>
      <c r="H570">
        <v>3</v>
      </c>
      <c r="I570" t="s">
        <v>819</v>
      </c>
      <c r="J570" t="s">
        <v>6</v>
      </c>
      <c r="K570" t="s">
        <v>823</v>
      </c>
      <c r="L570">
        <v>1354</v>
      </c>
      <c r="N570">
        <v>1010</v>
      </c>
      <c r="O570" t="s">
        <v>277</v>
      </c>
      <c r="P570" t="s">
        <v>277</v>
      </c>
      <c r="Q570">
        <v>1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1</v>
      </c>
      <c r="AD570">
        <v>0</v>
      </c>
      <c r="AE570">
        <v>0</v>
      </c>
      <c r="AF570" t="s">
        <v>6</v>
      </c>
      <c r="AG570">
        <v>0</v>
      </c>
      <c r="AH570">
        <v>3</v>
      </c>
      <c r="AI570">
        <v>-1</v>
      </c>
      <c r="AJ570" t="s">
        <v>6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2018-09-19T12:33:44Z</dcterms:created>
  <dcterms:modified xsi:type="dcterms:W3CDTF">2018-10-25T12:47:22Z</dcterms:modified>
</cp:coreProperties>
</file>