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Тамара\Мои документы\Аукционы, конкурсы ОТИ\2018\пом.36\Эл пл\"/>
    </mc:Choice>
  </mc:AlternateContent>
  <bookViews>
    <workbookView xWindow="0" yWindow="0" windowWidth="24750" windowHeight="12435"/>
  </bookViews>
  <sheets>
    <sheet name="Смета 12 гр. по ФЕР" sheetId="5" r:id="rId1"/>
    <sheet name="Акт КС-2 c НР и СП" sheetId="6" r:id="rId2"/>
    <sheet name="Source" sheetId="1" r:id="rId3"/>
    <sheet name="SourceObSm" sheetId="2" r:id="rId4"/>
    <sheet name="SmtRes" sheetId="3" r:id="rId5"/>
    <sheet name="EtalonRes" sheetId="4" r:id="rId6"/>
  </sheets>
  <definedNames>
    <definedName name="_xlnm.Print_Titles" localSheetId="1">'Акт КС-2 c НР и СП'!$35:$35</definedName>
    <definedName name="_xlnm.Print_Titles" localSheetId="0">'Смета 12 гр. по ФЕР'!$24:$24</definedName>
    <definedName name="_xlnm.Print_Area" localSheetId="1">'Акт КС-2 c НР и СП'!$A$1:$H$241</definedName>
    <definedName name="_xlnm.Print_Area" localSheetId="0">'Смета 12 гр. по ФЕР'!$A$1:$L$148</definedName>
  </definedNames>
  <calcPr calcId="152511"/>
</workbook>
</file>

<file path=xl/calcChain.xml><?xml version="1.0" encoding="utf-8"?>
<calcChain xmlns="http://schemas.openxmlformats.org/spreadsheetml/2006/main">
  <c r="G236" i="6" l="1"/>
  <c r="G231" i="6"/>
  <c r="C236" i="6"/>
  <c r="C231" i="6"/>
  <c r="C228" i="6"/>
  <c r="C227" i="6"/>
  <c r="C226" i="6"/>
  <c r="C222" i="6"/>
  <c r="C221" i="6"/>
  <c r="C220" i="6"/>
  <c r="D215" i="6"/>
  <c r="E214" i="6"/>
  <c r="C214" i="6"/>
  <c r="D214" i="6"/>
  <c r="B214" i="6"/>
  <c r="D213" i="6"/>
  <c r="E212" i="6"/>
  <c r="C212" i="6"/>
  <c r="D212" i="6"/>
  <c r="B212" i="6"/>
  <c r="H210" i="6"/>
  <c r="G210" i="6"/>
  <c r="F209" i="6"/>
  <c r="H208" i="6"/>
  <c r="G208" i="6"/>
  <c r="F207" i="6"/>
  <c r="D201" i="6"/>
  <c r="D200" i="6"/>
  <c r="D199" i="6"/>
  <c r="D198" i="6"/>
  <c r="E196" i="6"/>
  <c r="C196" i="6"/>
  <c r="D196" i="6"/>
  <c r="B196" i="6"/>
  <c r="D195" i="6"/>
  <c r="E194" i="6"/>
  <c r="C194" i="6"/>
  <c r="D194" i="6"/>
  <c r="B194" i="6"/>
  <c r="D193" i="6"/>
  <c r="E192" i="6"/>
  <c r="C192" i="6"/>
  <c r="D192" i="6"/>
  <c r="B192" i="6"/>
  <c r="H190" i="6"/>
  <c r="G190" i="6"/>
  <c r="F189" i="6"/>
  <c r="H188" i="6"/>
  <c r="G188" i="6"/>
  <c r="F187" i="6"/>
  <c r="D181" i="6"/>
  <c r="D180" i="6"/>
  <c r="D179" i="6"/>
  <c r="D178" i="6"/>
  <c r="E176" i="6"/>
  <c r="C176" i="6"/>
  <c r="D176" i="6"/>
  <c r="B176" i="6"/>
  <c r="D175" i="6"/>
  <c r="E174" i="6"/>
  <c r="C174" i="6"/>
  <c r="D174" i="6"/>
  <c r="B174" i="6"/>
  <c r="D173" i="6"/>
  <c r="E172" i="6"/>
  <c r="C172" i="6"/>
  <c r="D172" i="6"/>
  <c r="B172" i="6"/>
  <c r="D171" i="6"/>
  <c r="E170" i="6"/>
  <c r="C170" i="6"/>
  <c r="D170" i="6"/>
  <c r="B170" i="6"/>
  <c r="H168" i="6"/>
  <c r="G168" i="6"/>
  <c r="F167" i="6"/>
  <c r="H166" i="6"/>
  <c r="G166" i="6"/>
  <c r="F165" i="6"/>
  <c r="D159" i="6"/>
  <c r="D158" i="6"/>
  <c r="D157" i="6"/>
  <c r="D156" i="6"/>
  <c r="E154" i="6"/>
  <c r="C154" i="6"/>
  <c r="D154" i="6"/>
  <c r="B154" i="6"/>
  <c r="H152" i="6"/>
  <c r="G152" i="6"/>
  <c r="F151" i="6"/>
  <c r="H150" i="6"/>
  <c r="G150" i="6"/>
  <c r="F149" i="6"/>
  <c r="D143" i="6"/>
  <c r="D142" i="6"/>
  <c r="D141" i="6"/>
  <c r="D140" i="6"/>
  <c r="F139" i="6"/>
  <c r="E139" i="6"/>
  <c r="C139" i="6"/>
  <c r="D139" i="6"/>
  <c r="B139" i="6"/>
  <c r="D138" i="6"/>
  <c r="E137" i="6"/>
  <c r="C137" i="6"/>
  <c r="D137" i="6"/>
  <c r="B137" i="6"/>
  <c r="D136" i="6"/>
  <c r="E135" i="6"/>
  <c r="C135" i="6"/>
  <c r="D135" i="6"/>
  <c r="B135" i="6"/>
  <c r="D134" i="6"/>
  <c r="E133" i="6"/>
  <c r="C133" i="6"/>
  <c r="D133" i="6"/>
  <c r="B133" i="6"/>
  <c r="D132" i="6"/>
  <c r="E131" i="6"/>
  <c r="C131" i="6"/>
  <c r="D131" i="6"/>
  <c r="B131" i="6"/>
  <c r="D130" i="6"/>
  <c r="E129" i="6"/>
  <c r="C129" i="6"/>
  <c r="D129" i="6"/>
  <c r="B129" i="6"/>
  <c r="D128" i="6"/>
  <c r="E127" i="6"/>
  <c r="C127" i="6"/>
  <c r="D127" i="6"/>
  <c r="B127" i="6"/>
  <c r="H125" i="6"/>
  <c r="G125" i="6"/>
  <c r="F124" i="6"/>
  <c r="H123" i="6"/>
  <c r="G123" i="6"/>
  <c r="F122" i="6"/>
  <c r="D116" i="6"/>
  <c r="D115" i="6"/>
  <c r="D114" i="6"/>
  <c r="D113" i="6"/>
  <c r="E111" i="6"/>
  <c r="C111" i="6"/>
  <c r="D111" i="6"/>
  <c r="B111" i="6"/>
  <c r="D110" i="6"/>
  <c r="E109" i="6"/>
  <c r="C109" i="6"/>
  <c r="D109" i="6"/>
  <c r="B109" i="6"/>
  <c r="D108" i="6"/>
  <c r="E107" i="6"/>
  <c r="C107" i="6"/>
  <c r="D107" i="6"/>
  <c r="B107" i="6"/>
  <c r="D106" i="6"/>
  <c r="E105" i="6"/>
  <c r="C105" i="6"/>
  <c r="D105" i="6"/>
  <c r="B105" i="6"/>
  <c r="H103" i="6"/>
  <c r="G103" i="6"/>
  <c r="F102" i="6"/>
  <c r="H101" i="6"/>
  <c r="G101" i="6"/>
  <c r="F100" i="6"/>
  <c r="D94" i="6"/>
  <c r="D93" i="6"/>
  <c r="D92" i="6"/>
  <c r="D91" i="6"/>
  <c r="E89" i="6"/>
  <c r="C89" i="6"/>
  <c r="D89" i="6"/>
  <c r="B89" i="6"/>
  <c r="H87" i="6"/>
  <c r="G87" i="6"/>
  <c r="F86" i="6"/>
  <c r="H85" i="6"/>
  <c r="G85" i="6"/>
  <c r="F84" i="6"/>
  <c r="D77" i="6"/>
  <c r="D76" i="6"/>
  <c r="D75" i="6"/>
  <c r="D74" i="6"/>
  <c r="E72" i="6"/>
  <c r="C72" i="6"/>
  <c r="D72" i="6"/>
  <c r="B72" i="6"/>
  <c r="H70" i="6"/>
  <c r="G70" i="6"/>
  <c r="F69" i="6"/>
  <c r="H68" i="6"/>
  <c r="G68" i="6"/>
  <c r="F67" i="6"/>
  <c r="D61" i="6"/>
  <c r="D60" i="6"/>
  <c r="D59" i="6"/>
  <c r="D58" i="6"/>
  <c r="E56" i="6"/>
  <c r="C56" i="6"/>
  <c r="D56" i="6"/>
  <c r="B56" i="6"/>
  <c r="F54" i="6"/>
  <c r="F53" i="6"/>
  <c r="D52" i="6"/>
  <c r="D51" i="6"/>
  <c r="D50" i="6"/>
  <c r="D49" i="6"/>
  <c r="E47" i="6"/>
  <c r="C47" i="6"/>
  <c r="D47" i="6"/>
  <c r="B47" i="6"/>
  <c r="F45" i="6"/>
  <c r="F44" i="6"/>
  <c r="D43" i="6"/>
  <c r="D42" i="6"/>
  <c r="D41" i="6"/>
  <c r="D40" i="6"/>
  <c r="E38" i="6"/>
  <c r="C38" i="6"/>
  <c r="D38" i="6"/>
  <c r="B38" i="6"/>
  <c r="A37" i="6"/>
  <c r="D26" i="6"/>
  <c r="G22" i="6"/>
  <c r="G21" i="6"/>
  <c r="G20" i="6"/>
  <c r="G19" i="6"/>
  <c r="G16" i="6"/>
  <c r="AE17" i="6"/>
  <c r="C17" i="6"/>
  <c r="G14" i="6"/>
  <c r="G12" i="6"/>
  <c r="C13" i="6"/>
  <c r="G10" i="6"/>
  <c r="C11" i="6"/>
  <c r="G8" i="6"/>
  <c r="C9" i="6"/>
  <c r="A1" i="6"/>
  <c r="D146" i="5"/>
  <c r="C140" i="5"/>
  <c r="C139" i="5"/>
  <c r="C138" i="5"/>
  <c r="Z134" i="5"/>
  <c r="Y134" i="5"/>
  <c r="X134" i="5"/>
  <c r="J133" i="5"/>
  <c r="Z133" i="5"/>
  <c r="Y133" i="5"/>
  <c r="X133" i="5"/>
  <c r="F133" i="5"/>
  <c r="D133" i="5"/>
  <c r="C133" i="5"/>
  <c r="B133" i="5"/>
  <c r="A133" i="5"/>
  <c r="J132" i="5"/>
  <c r="Z132" i="5"/>
  <c r="Y132" i="5"/>
  <c r="X132" i="5"/>
  <c r="F132" i="5"/>
  <c r="D132" i="5"/>
  <c r="C132" i="5"/>
  <c r="B132" i="5"/>
  <c r="A132" i="5"/>
  <c r="G131" i="5"/>
  <c r="E131" i="5"/>
  <c r="J130" i="5"/>
  <c r="F130" i="5"/>
  <c r="E130" i="5"/>
  <c r="J129" i="5"/>
  <c r="F129" i="5"/>
  <c r="E129" i="5"/>
  <c r="J128" i="5"/>
  <c r="G128" i="5"/>
  <c r="F128" i="5"/>
  <c r="J127" i="5"/>
  <c r="G127" i="5"/>
  <c r="F127" i="5"/>
  <c r="J126" i="5"/>
  <c r="G126" i="5"/>
  <c r="F126" i="5"/>
  <c r="J125" i="5"/>
  <c r="G125" i="5"/>
  <c r="F125" i="5"/>
  <c r="F123" i="5"/>
  <c r="D123" i="5"/>
  <c r="I123" i="5"/>
  <c r="C123" i="5"/>
  <c r="B123" i="5"/>
  <c r="A123" i="5"/>
  <c r="Z122" i="5"/>
  <c r="Y122" i="5"/>
  <c r="X122" i="5"/>
  <c r="J121" i="5"/>
  <c r="Z121" i="5"/>
  <c r="Y121" i="5"/>
  <c r="X121" i="5"/>
  <c r="F121" i="5"/>
  <c r="D121" i="5"/>
  <c r="C121" i="5"/>
  <c r="B121" i="5"/>
  <c r="A121" i="5"/>
  <c r="J120" i="5"/>
  <c r="Z120" i="5"/>
  <c r="Y120" i="5"/>
  <c r="X120" i="5"/>
  <c r="F120" i="5"/>
  <c r="D120" i="5"/>
  <c r="C120" i="5"/>
  <c r="B120" i="5"/>
  <c r="A120" i="5"/>
  <c r="G119" i="5"/>
  <c r="E119" i="5"/>
  <c r="J118" i="5"/>
  <c r="F118" i="5"/>
  <c r="E118" i="5"/>
  <c r="J117" i="5"/>
  <c r="F117" i="5"/>
  <c r="E117" i="5"/>
  <c r="J116" i="5"/>
  <c r="G116" i="5"/>
  <c r="F116" i="5"/>
  <c r="J115" i="5"/>
  <c r="G115" i="5"/>
  <c r="F115" i="5"/>
  <c r="J114" i="5"/>
  <c r="G114" i="5"/>
  <c r="F114" i="5"/>
  <c r="J113" i="5"/>
  <c r="G113" i="5"/>
  <c r="F113" i="5"/>
  <c r="F111" i="5"/>
  <c r="D111" i="5"/>
  <c r="I111" i="5"/>
  <c r="C111" i="5"/>
  <c r="B111" i="5"/>
  <c r="A111" i="5"/>
  <c r="Z110" i="5"/>
  <c r="Y110" i="5"/>
  <c r="X110" i="5"/>
  <c r="J109" i="5"/>
  <c r="Z109" i="5"/>
  <c r="Y109" i="5"/>
  <c r="X109" i="5"/>
  <c r="F109" i="5"/>
  <c r="D109" i="5"/>
  <c r="C109" i="5"/>
  <c r="B109" i="5"/>
  <c r="A109" i="5"/>
  <c r="J108" i="5"/>
  <c r="Z108" i="5"/>
  <c r="Y108" i="5"/>
  <c r="X108" i="5"/>
  <c r="F108" i="5"/>
  <c r="D108" i="5"/>
  <c r="C108" i="5"/>
  <c r="B108" i="5"/>
  <c r="A108" i="5"/>
  <c r="J107" i="5"/>
  <c r="Z107" i="5"/>
  <c r="Y107" i="5"/>
  <c r="X107" i="5"/>
  <c r="F107" i="5"/>
  <c r="D107" i="5"/>
  <c r="C107" i="5"/>
  <c r="B107" i="5"/>
  <c r="A107" i="5"/>
  <c r="G106" i="5"/>
  <c r="E106" i="5"/>
  <c r="J105" i="5"/>
  <c r="F105" i="5"/>
  <c r="E105" i="5"/>
  <c r="J104" i="5"/>
  <c r="F104" i="5"/>
  <c r="E104" i="5"/>
  <c r="J103" i="5"/>
  <c r="G103" i="5"/>
  <c r="F103" i="5"/>
  <c r="J102" i="5"/>
  <c r="G102" i="5"/>
  <c r="F102" i="5"/>
  <c r="J101" i="5"/>
  <c r="G101" i="5"/>
  <c r="F101" i="5"/>
  <c r="J100" i="5"/>
  <c r="G100" i="5"/>
  <c r="F100" i="5"/>
  <c r="F98" i="5"/>
  <c r="D98" i="5"/>
  <c r="I98" i="5"/>
  <c r="C98" i="5"/>
  <c r="B98" i="5"/>
  <c r="A98" i="5"/>
  <c r="Z97" i="5"/>
  <c r="Y97" i="5"/>
  <c r="X97" i="5"/>
  <c r="G96" i="5"/>
  <c r="E96" i="5"/>
  <c r="J95" i="5"/>
  <c r="F95" i="5"/>
  <c r="E95" i="5"/>
  <c r="J94" i="5"/>
  <c r="F94" i="5"/>
  <c r="E94" i="5"/>
  <c r="J93" i="5"/>
  <c r="G93" i="5"/>
  <c r="F93" i="5"/>
  <c r="F92" i="5"/>
  <c r="E92" i="5"/>
  <c r="D92" i="5"/>
  <c r="I92" i="5"/>
  <c r="C92" i="5"/>
  <c r="B92" i="5"/>
  <c r="A92" i="5"/>
  <c r="Z91" i="5"/>
  <c r="Y91" i="5"/>
  <c r="X91" i="5"/>
  <c r="J90" i="5"/>
  <c r="Z90" i="5"/>
  <c r="Y90" i="5"/>
  <c r="X90" i="5"/>
  <c r="F90" i="5"/>
  <c r="D90" i="5"/>
  <c r="C90" i="5"/>
  <c r="B90" i="5"/>
  <c r="A90" i="5"/>
  <c r="J89" i="5"/>
  <c r="Z89" i="5"/>
  <c r="Y89" i="5"/>
  <c r="X89" i="5"/>
  <c r="F89" i="5"/>
  <c r="D89" i="5"/>
  <c r="C89" i="5"/>
  <c r="B89" i="5"/>
  <c r="A89" i="5"/>
  <c r="J88" i="5"/>
  <c r="Z88" i="5"/>
  <c r="Y88" i="5"/>
  <c r="X88" i="5"/>
  <c r="F88" i="5"/>
  <c r="D88" i="5"/>
  <c r="C88" i="5"/>
  <c r="B88" i="5"/>
  <c r="A88" i="5"/>
  <c r="J87" i="5"/>
  <c r="Z87" i="5"/>
  <c r="Y87" i="5"/>
  <c r="X87" i="5"/>
  <c r="F87" i="5"/>
  <c r="D87" i="5"/>
  <c r="C87" i="5"/>
  <c r="B87" i="5"/>
  <c r="A87" i="5"/>
  <c r="J86" i="5"/>
  <c r="Z86" i="5"/>
  <c r="Y86" i="5"/>
  <c r="X86" i="5"/>
  <c r="F86" i="5"/>
  <c r="D86" i="5"/>
  <c r="C86" i="5"/>
  <c r="B86" i="5"/>
  <c r="A86" i="5"/>
  <c r="J85" i="5"/>
  <c r="Z85" i="5"/>
  <c r="Y85" i="5"/>
  <c r="X85" i="5"/>
  <c r="F85" i="5"/>
  <c r="D85" i="5"/>
  <c r="C85" i="5"/>
  <c r="B85" i="5"/>
  <c r="A85" i="5"/>
  <c r="G84" i="5"/>
  <c r="E84" i="5"/>
  <c r="J83" i="5"/>
  <c r="F83" i="5"/>
  <c r="E83" i="5"/>
  <c r="J82" i="5"/>
  <c r="F82" i="5"/>
  <c r="E82" i="5"/>
  <c r="J81" i="5"/>
  <c r="G81" i="5"/>
  <c r="F81" i="5"/>
  <c r="J80" i="5"/>
  <c r="G80" i="5"/>
  <c r="F80" i="5"/>
  <c r="J79" i="5"/>
  <c r="G79" i="5"/>
  <c r="F79" i="5"/>
  <c r="J78" i="5"/>
  <c r="G78" i="5"/>
  <c r="F78" i="5"/>
  <c r="F76" i="5"/>
  <c r="D76" i="5"/>
  <c r="I76" i="5"/>
  <c r="C76" i="5"/>
  <c r="B76" i="5"/>
  <c r="A76" i="5"/>
  <c r="Z75" i="5"/>
  <c r="Y75" i="5"/>
  <c r="X75" i="5"/>
  <c r="J74" i="5"/>
  <c r="Z74" i="5"/>
  <c r="Y74" i="5"/>
  <c r="X74" i="5"/>
  <c r="F74" i="5"/>
  <c r="D74" i="5"/>
  <c r="C74" i="5"/>
  <c r="B74" i="5"/>
  <c r="A74" i="5"/>
  <c r="J73" i="5"/>
  <c r="Z73" i="5"/>
  <c r="Y73" i="5"/>
  <c r="X73" i="5"/>
  <c r="F73" i="5"/>
  <c r="D73" i="5"/>
  <c r="C73" i="5"/>
  <c r="B73" i="5"/>
  <c r="A73" i="5"/>
  <c r="J72" i="5"/>
  <c r="Z72" i="5"/>
  <c r="Y72" i="5"/>
  <c r="X72" i="5"/>
  <c r="F72" i="5"/>
  <c r="D72" i="5"/>
  <c r="C72" i="5"/>
  <c r="B72" i="5"/>
  <c r="A72" i="5"/>
  <c r="G71" i="5"/>
  <c r="E71" i="5"/>
  <c r="J70" i="5"/>
  <c r="F70" i="5"/>
  <c r="E70" i="5"/>
  <c r="J69" i="5"/>
  <c r="F69" i="5"/>
  <c r="E69" i="5"/>
  <c r="J68" i="5"/>
  <c r="G68" i="5"/>
  <c r="F68" i="5"/>
  <c r="J67" i="5"/>
  <c r="G67" i="5"/>
  <c r="F67" i="5"/>
  <c r="J66" i="5"/>
  <c r="G66" i="5"/>
  <c r="F66" i="5"/>
  <c r="J65" i="5"/>
  <c r="G65" i="5"/>
  <c r="F65" i="5"/>
  <c r="F63" i="5"/>
  <c r="D63" i="5"/>
  <c r="I63" i="5"/>
  <c r="C63" i="5"/>
  <c r="B63" i="5"/>
  <c r="A63" i="5"/>
  <c r="Z62" i="5"/>
  <c r="Y62" i="5"/>
  <c r="X62" i="5"/>
  <c r="G61" i="5"/>
  <c r="E61" i="5"/>
  <c r="J60" i="5"/>
  <c r="F60" i="5"/>
  <c r="E60" i="5"/>
  <c r="J59" i="5"/>
  <c r="F59" i="5"/>
  <c r="E59" i="5"/>
  <c r="J58" i="5"/>
  <c r="G58" i="5"/>
  <c r="F58" i="5"/>
  <c r="J57" i="5"/>
  <c r="G57" i="5"/>
  <c r="F57" i="5"/>
  <c r="J56" i="5"/>
  <c r="G56" i="5"/>
  <c r="F56" i="5"/>
  <c r="J55" i="5"/>
  <c r="G55" i="5"/>
  <c r="F55" i="5"/>
  <c r="F53" i="5"/>
  <c r="D53" i="5"/>
  <c r="I53" i="5"/>
  <c r="C53" i="5"/>
  <c r="B53" i="5"/>
  <c r="A53" i="5"/>
  <c r="Z52" i="5"/>
  <c r="Y52" i="5"/>
  <c r="X52" i="5"/>
  <c r="G51" i="5"/>
  <c r="E51" i="5"/>
  <c r="J50" i="5"/>
  <c r="F50" i="5"/>
  <c r="E50" i="5"/>
  <c r="J49" i="5"/>
  <c r="F49" i="5"/>
  <c r="E49" i="5"/>
  <c r="J48" i="5"/>
  <c r="G48" i="5"/>
  <c r="F48" i="5"/>
  <c r="J47" i="5"/>
  <c r="G47" i="5"/>
  <c r="F47" i="5"/>
  <c r="J46" i="5"/>
  <c r="G46" i="5"/>
  <c r="F46" i="5"/>
  <c r="J45" i="5"/>
  <c r="G45" i="5"/>
  <c r="F45" i="5"/>
  <c r="F43" i="5"/>
  <c r="D43" i="5"/>
  <c r="I43" i="5"/>
  <c r="C43" i="5"/>
  <c r="B43" i="5"/>
  <c r="A43" i="5"/>
  <c r="Z42" i="5"/>
  <c r="Y42" i="5"/>
  <c r="X42" i="5"/>
  <c r="G41" i="5"/>
  <c r="E41" i="5"/>
  <c r="J40" i="5"/>
  <c r="E40" i="5"/>
  <c r="J39" i="5"/>
  <c r="E39" i="5"/>
  <c r="J38" i="5"/>
  <c r="G38" i="5"/>
  <c r="F38" i="5"/>
  <c r="J37" i="5"/>
  <c r="G37" i="5"/>
  <c r="F37" i="5"/>
  <c r="J36" i="5"/>
  <c r="G36" i="5"/>
  <c r="F36" i="5"/>
  <c r="F34" i="5"/>
  <c r="D34" i="5"/>
  <c r="I34" i="5"/>
  <c r="C34" i="5"/>
  <c r="B34" i="5"/>
  <c r="A34" i="5"/>
  <c r="Z33" i="5"/>
  <c r="Y33" i="5"/>
  <c r="X33" i="5"/>
  <c r="G32" i="5"/>
  <c r="E32" i="5"/>
  <c r="J31" i="5"/>
  <c r="E31" i="5"/>
  <c r="J30" i="5"/>
  <c r="E30" i="5"/>
  <c r="J29" i="5"/>
  <c r="G29" i="5"/>
  <c r="F29" i="5"/>
  <c r="F27" i="5"/>
  <c r="D27" i="5"/>
  <c r="I27" i="5"/>
  <c r="C27" i="5"/>
  <c r="B27" i="5"/>
  <c r="A27" i="5"/>
  <c r="A26" i="5"/>
  <c r="A1" i="5"/>
  <c r="G17" i="5" l="1"/>
  <c r="G18" i="5"/>
  <c r="G16" i="5"/>
  <c r="A1" i="4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" i="3"/>
  <c r="CY1" i="3"/>
  <c r="CZ1" i="3"/>
  <c r="DA1" i="3"/>
  <c r="A2" i="3"/>
  <c r="CY2" i="3"/>
  <c r="CZ2" i="3"/>
  <c r="DA2" i="3"/>
  <c r="A3" i="3"/>
  <c r="CY3" i="3"/>
  <c r="CZ3" i="3"/>
  <c r="DA3" i="3"/>
  <c r="A4" i="3"/>
  <c r="CY4" i="3"/>
  <c r="CZ4" i="3"/>
  <c r="DA4" i="3"/>
  <c r="A5" i="3"/>
  <c r="CY5" i="3"/>
  <c r="CZ5" i="3"/>
  <c r="DA5" i="3"/>
  <c r="A6" i="3"/>
  <c r="CY6" i="3"/>
  <c r="CZ6" i="3"/>
  <c r="DA6" i="3"/>
  <c r="A7" i="3"/>
  <c r="CY7" i="3"/>
  <c r="CZ7" i="3"/>
  <c r="DA7" i="3"/>
  <c r="A8" i="3"/>
  <c r="CY8" i="3"/>
  <c r="CZ8" i="3"/>
  <c r="DA8" i="3"/>
  <c r="A9" i="3"/>
  <c r="CY9" i="3"/>
  <c r="CZ9" i="3"/>
  <c r="DA9" i="3"/>
  <c r="A10" i="3"/>
  <c r="CY10" i="3"/>
  <c r="CZ10" i="3"/>
  <c r="DA10" i="3"/>
  <c r="A11" i="3"/>
  <c r="CY11" i="3"/>
  <c r="CZ11" i="3"/>
  <c r="DA11" i="3"/>
  <c r="A12" i="3"/>
  <c r="CY12" i="3"/>
  <c r="CZ12" i="3"/>
  <c r="DA12" i="3"/>
  <c r="A13" i="3"/>
  <c r="CY13" i="3"/>
  <c r="CZ13" i="3"/>
  <c r="DA13" i="3"/>
  <c r="A14" i="3"/>
  <c r="CY14" i="3"/>
  <c r="CZ14" i="3"/>
  <c r="DA14" i="3"/>
  <c r="A15" i="3"/>
  <c r="CY15" i="3"/>
  <c r="CZ15" i="3"/>
  <c r="DA15" i="3"/>
  <c r="A16" i="3"/>
  <c r="CY16" i="3"/>
  <c r="CZ16" i="3"/>
  <c r="DA16" i="3"/>
  <c r="A17" i="3"/>
  <c r="CY17" i="3"/>
  <c r="CZ17" i="3"/>
  <c r="DA17" i="3"/>
  <c r="A18" i="3"/>
  <c r="CY18" i="3"/>
  <c r="CZ18" i="3"/>
  <c r="DA18" i="3"/>
  <c r="A19" i="3"/>
  <c r="CY19" i="3"/>
  <c r="CZ19" i="3"/>
  <c r="DA19" i="3"/>
  <c r="A20" i="3"/>
  <c r="CY20" i="3"/>
  <c r="CZ20" i="3"/>
  <c r="DA20" i="3"/>
  <c r="A21" i="3"/>
  <c r="CY21" i="3"/>
  <c r="CZ21" i="3"/>
  <c r="DA21" i="3"/>
  <c r="A22" i="3"/>
  <c r="CY22" i="3"/>
  <c r="CZ22" i="3"/>
  <c r="DA22" i="3"/>
  <c r="A23" i="3"/>
  <c r="CY23" i="3"/>
  <c r="CZ23" i="3"/>
  <c r="DA23" i="3"/>
  <c r="A24" i="3"/>
  <c r="CY24" i="3"/>
  <c r="CZ24" i="3"/>
  <c r="DA24" i="3"/>
  <c r="A25" i="3"/>
  <c r="CY25" i="3"/>
  <c r="CZ25" i="3"/>
  <c r="DA25" i="3"/>
  <c r="A26" i="3"/>
  <c r="CY26" i="3"/>
  <c r="CZ26" i="3"/>
  <c r="DA26" i="3"/>
  <c r="A27" i="3"/>
  <c r="CY27" i="3"/>
  <c r="CZ27" i="3"/>
  <c r="DA27" i="3"/>
  <c r="A28" i="3"/>
  <c r="CY28" i="3"/>
  <c r="CZ28" i="3"/>
  <c r="DA28" i="3"/>
  <c r="A29" i="3"/>
  <c r="CY29" i="3"/>
  <c r="CZ29" i="3"/>
  <c r="DA29" i="3"/>
  <c r="A30" i="3"/>
  <c r="CY30" i="3"/>
  <c r="CZ30" i="3"/>
  <c r="DA30" i="3"/>
  <c r="A31" i="3"/>
  <c r="CY31" i="3"/>
  <c r="CZ31" i="3"/>
  <c r="DA31" i="3"/>
  <c r="A32" i="3"/>
  <c r="CY32" i="3"/>
  <c r="CZ32" i="3"/>
  <c r="DA32" i="3"/>
  <c r="A33" i="3"/>
  <c r="CY33" i="3"/>
  <c r="CZ33" i="3"/>
  <c r="DA33" i="3"/>
  <c r="A34" i="3"/>
  <c r="CY34" i="3"/>
  <c r="CZ34" i="3"/>
  <c r="DA34" i="3"/>
  <c r="A35" i="3"/>
  <c r="CY35" i="3"/>
  <c r="CZ35" i="3"/>
  <c r="DA35" i="3"/>
  <c r="A36" i="3"/>
  <c r="CY36" i="3"/>
  <c r="CZ36" i="3"/>
  <c r="DA36" i="3"/>
  <c r="A37" i="3"/>
  <c r="CY37" i="3"/>
  <c r="CZ37" i="3"/>
  <c r="DA37" i="3"/>
  <c r="A38" i="3"/>
  <c r="CY38" i="3"/>
  <c r="CZ38" i="3"/>
  <c r="DA38" i="3"/>
  <c r="A39" i="3"/>
  <c r="CY39" i="3"/>
  <c r="CZ39" i="3"/>
  <c r="DA39" i="3"/>
  <c r="A40" i="3"/>
  <c r="CY40" i="3"/>
  <c r="CZ40" i="3"/>
  <c r="DA40" i="3"/>
  <c r="A41" i="3"/>
  <c r="CY41" i="3"/>
  <c r="CZ41" i="3"/>
  <c r="DA41" i="3"/>
  <c r="A42" i="3"/>
  <c r="CY42" i="3"/>
  <c r="CZ42" i="3"/>
  <c r="DA42" i="3"/>
  <c r="A43" i="3"/>
  <c r="CY43" i="3"/>
  <c r="CZ43" i="3"/>
  <c r="DA43" i="3"/>
  <c r="A44" i="3"/>
  <c r="CY44" i="3"/>
  <c r="CZ44" i="3"/>
  <c r="DA44" i="3"/>
  <c r="A45" i="3"/>
  <c r="CY45" i="3"/>
  <c r="CZ45" i="3"/>
  <c r="DA45" i="3"/>
  <c r="A46" i="3"/>
  <c r="CY46" i="3"/>
  <c r="CZ46" i="3"/>
  <c r="DA46" i="3"/>
  <c r="A47" i="3"/>
  <c r="CY47" i="3"/>
  <c r="CZ47" i="3"/>
  <c r="DA47" i="3"/>
  <c r="A48" i="3"/>
  <c r="CY48" i="3"/>
  <c r="CZ48" i="3"/>
  <c r="DA48" i="3"/>
  <c r="A49" i="3"/>
  <c r="CY49" i="3"/>
  <c r="CZ49" i="3"/>
  <c r="DA49" i="3"/>
  <c r="A50" i="3"/>
  <c r="CY50" i="3"/>
  <c r="CZ50" i="3"/>
  <c r="DA50" i="3"/>
  <c r="A51" i="3"/>
  <c r="CY51" i="3"/>
  <c r="CZ51" i="3"/>
  <c r="DA51" i="3"/>
  <c r="A52" i="3"/>
  <c r="CY52" i="3"/>
  <c r="CZ52" i="3"/>
  <c r="DA52" i="3"/>
  <c r="A53" i="3"/>
  <c r="CY53" i="3"/>
  <c r="CZ53" i="3"/>
  <c r="DA53" i="3"/>
  <c r="A54" i="3"/>
  <c r="CY54" i="3"/>
  <c r="CZ54" i="3"/>
  <c r="DA54" i="3"/>
  <c r="A55" i="3"/>
  <c r="CY55" i="3"/>
  <c r="CZ55" i="3"/>
  <c r="DA55" i="3"/>
  <c r="A56" i="3"/>
  <c r="CY56" i="3"/>
  <c r="CZ56" i="3"/>
  <c r="DA56" i="3"/>
  <c r="A57" i="3"/>
  <c r="CY57" i="3"/>
  <c r="CZ57" i="3"/>
  <c r="DA57" i="3"/>
  <c r="A58" i="3"/>
  <c r="CY58" i="3"/>
  <c r="CZ58" i="3"/>
  <c r="DA58" i="3"/>
  <c r="A59" i="3"/>
  <c r="CY59" i="3"/>
  <c r="CZ59" i="3"/>
  <c r="DA59" i="3"/>
  <c r="A60" i="3"/>
  <c r="CY60" i="3"/>
  <c r="CZ60" i="3"/>
  <c r="DA60" i="3"/>
  <c r="A61" i="3"/>
  <c r="CY61" i="3"/>
  <c r="CZ61" i="3"/>
  <c r="DA61" i="3"/>
  <c r="A62" i="3"/>
  <c r="CY62" i="3"/>
  <c r="CZ62" i="3"/>
  <c r="DA62" i="3"/>
  <c r="A63" i="3"/>
  <c r="CY63" i="3"/>
  <c r="CZ63" i="3"/>
  <c r="DA63" i="3"/>
  <c r="A64" i="3"/>
  <c r="CY64" i="3"/>
  <c r="CZ64" i="3"/>
  <c r="DA64" i="3"/>
  <c r="A65" i="3"/>
  <c r="CY65" i="3"/>
  <c r="CZ65" i="3"/>
  <c r="DA65" i="3"/>
  <c r="A66" i="3"/>
  <c r="CY66" i="3"/>
  <c r="CZ66" i="3"/>
  <c r="DA66" i="3"/>
  <c r="A67" i="3"/>
  <c r="CY67" i="3"/>
  <c r="CZ67" i="3"/>
  <c r="DA67" i="3"/>
  <c r="A68" i="3"/>
  <c r="CY68" i="3"/>
  <c r="CZ68" i="3"/>
  <c r="DA68" i="3"/>
  <c r="A69" i="3"/>
  <c r="CY69" i="3"/>
  <c r="CZ69" i="3"/>
  <c r="DA69" i="3"/>
  <c r="A70" i="3"/>
  <c r="CY70" i="3"/>
  <c r="CZ70" i="3"/>
  <c r="DA70" i="3"/>
  <c r="A71" i="3"/>
  <c r="CY71" i="3"/>
  <c r="CZ71" i="3"/>
  <c r="DA71" i="3"/>
  <c r="A72" i="3"/>
  <c r="CY72" i="3"/>
  <c r="CZ72" i="3"/>
  <c r="DA72" i="3"/>
  <c r="A73" i="3"/>
  <c r="CY73" i="3"/>
  <c r="CZ73" i="3"/>
  <c r="DA73" i="3"/>
  <c r="A74" i="3"/>
  <c r="CY74" i="3"/>
  <c r="CZ74" i="3"/>
  <c r="DA74" i="3"/>
  <c r="A75" i="3"/>
  <c r="CX75" i="3"/>
  <c r="CY75" i="3"/>
  <c r="CZ75" i="3"/>
  <c r="DA75" i="3"/>
  <c r="A76" i="3"/>
  <c r="CX76" i="3"/>
  <c r="CY76" i="3"/>
  <c r="CZ76" i="3"/>
  <c r="DA76" i="3"/>
  <c r="A77" i="3"/>
  <c r="CY77" i="3"/>
  <c r="CZ77" i="3"/>
  <c r="DA77" i="3"/>
  <c r="A78" i="3"/>
  <c r="CY78" i="3"/>
  <c r="CZ78" i="3"/>
  <c r="DA78" i="3"/>
  <c r="A79" i="3"/>
  <c r="CY79" i="3"/>
  <c r="CZ79" i="3"/>
  <c r="DA79" i="3"/>
  <c r="A80" i="3"/>
  <c r="CY80" i="3"/>
  <c r="CZ80" i="3"/>
  <c r="DA80" i="3"/>
  <c r="A81" i="3"/>
  <c r="CY81" i="3"/>
  <c r="CZ81" i="3"/>
  <c r="DA81" i="3"/>
  <c r="A82" i="3"/>
  <c r="CY82" i="3"/>
  <c r="CZ82" i="3"/>
  <c r="DA82" i="3"/>
  <c r="A83" i="3"/>
  <c r="CY83" i="3"/>
  <c r="CZ83" i="3"/>
  <c r="DA83" i="3"/>
  <c r="A84" i="3"/>
  <c r="CY84" i="3"/>
  <c r="CZ84" i="3"/>
  <c r="DA84" i="3"/>
  <c r="A85" i="3"/>
  <c r="CY85" i="3"/>
  <c r="CZ85" i="3"/>
  <c r="DA85" i="3"/>
  <c r="A86" i="3"/>
  <c r="CY86" i="3"/>
  <c r="CZ86" i="3"/>
  <c r="DA86" i="3"/>
  <c r="A87" i="3"/>
  <c r="CY87" i="3"/>
  <c r="CZ87" i="3"/>
  <c r="DA87" i="3"/>
  <c r="A88" i="3"/>
  <c r="CY88" i="3"/>
  <c r="CZ88" i="3"/>
  <c r="DA88" i="3"/>
  <c r="A89" i="3"/>
  <c r="CY89" i="3"/>
  <c r="CZ89" i="3"/>
  <c r="DA89" i="3"/>
  <c r="A90" i="3"/>
  <c r="CY90" i="3"/>
  <c r="CZ90" i="3"/>
  <c r="DA90" i="3"/>
  <c r="A91" i="3"/>
  <c r="CY91" i="3"/>
  <c r="CZ91" i="3"/>
  <c r="DA91" i="3"/>
  <c r="A92" i="3"/>
  <c r="CY92" i="3"/>
  <c r="CZ92" i="3"/>
  <c r="DA92" i="3"/>
  <c r="A93" i="3"/>
  <c r="CY93" i="3"/>
  <c r="CZ93" i="3"/>
  <c r="DA93" i="3"/>
  <c r="A94" i="3"/>
  <c r="CY94" i="3"/>
  <c r="CZ94" i="3"/>
  <c r="DA94" i="3"/>
  <c r="A95" i="3"/>
  <c r="CY95" i="3"/>
  <c r="CZ95" i="3"/>
  <c r="DA95" i="3"/>
  <c r="A96" i="3"/>
  <c r="CY96" i="3"/>
  <c r="CZ96" i="3"/>
  <c r="DA96" i="3"/>
  <c r="A97" i="3"/>
  <c r="CY97" i="3"/>
  <c r="CZ97" i="3"/>
  <c r="DA97" i="3"/>
  <c r="A98" i="3"/>
  <c r="CY98" i="3"/>
  <c r="CZ98" i="3"/>
  <c r="DA98" i="3"/>
  <c r="A99" i="3"/>
  <c r="CY99" i="3"/>
  <c r="CZ99" i="3"/>
  <c r="DA99" i="3"/>
  <c r="A100" i="3"/>
  <c r="CY100" i="3"/>
  <c r="CZ100" i="3"/>
  <c r="DA100" i="3"/>
  <c r="A101" i="3"/>
  <c r="CY101" i="3"/>
  <c r="CZ101" i="3"/>
  <c r="DA101" i="3"/>
  <c r="A102" i="3"/>
  <c r="CY102" i="3"/>
  <c r="CZ102" i="3"/>
  <c r="DA102" i="3"/>
  <c r="A103" i="3"/>
  <c r="CY103" i="3"/>
  <c r="CZ103" i="3"/>
  <c r="DA103" i="3"/>
  <c r="A104" i="3"/>
  <c r="CY104" i="3"/>
  <c r="CZ104" i="3"/>
  <c r="DA104" i="3"/>
  <c r="A105" i="3"/>
  <c r="CY105" i="3"/>
  <c r="CZ105" i="3"/>
  <c r="DA105" i="3"/>
  <c r="A106" i="3"/>
  <c r="CY106" i="3"/>
  <c r="CZ106" i="3"/>
  <c r="DA106" i="3"/>
  <c r="A107" i="3"/>
  <c r="CY107" i="3"/>
  <c r="CZ107" i="3"/>
  <c r="DA107" i="3"/>
  <c r="A108" i="3"/>
  <c r="CY108" i="3"/>
  <c r="CZ108" i="3"/>
  <c r="DA108" i="3"/>
  <c r="A109" i="3"/>
  <c r="CY109" i="3"/>
  <c r="CZ109" i="3"/>
  <c r="DA109" i="3"/>
  <c r="A110" i="3"/>
  <c r="CY110" i="3"/>
  <c r="CZ110" i="3"/>
  <c r="DA110" i="3"/>
  <c r="A111" i="3"/>
  <c r="CY111" i="3"/>
  <c r="CZ111" i="3"/>
  <c r="DA111" i="3"/>
  <c r="A112" i="3"/>
  <c r="CY112" i="3"/>
  <c r="CZ112" i="3"/>
  <c r="DA112" i="3"/>
  <c r="A113" i="3"/>
  <c r="CY113" i="3"/>
  <c r="CZ113" i="3"/>
  <c r="DA113" i="3"/>
  <c r="A114" i="3"/>
  <c r="CY114" i="3"/>
  <c r="CZ114" i="3"/>
  <c r="DA114" i="3"/>
  <c r="A115" i="3"/>
  <c r="CY115" i="3"/>
  <c r="CZ115" i="3"/>
  <c r="DA115" i="3"/>
  <c r="A116" i="3"/>
  <c r="CY116" i="3"/>
  <c r="CZ116" i="3"/>
  <c r="DA116" i="3"/>
  <c r="A117" i="3"/>
  <c r="CY117" i="3"/>
  <c r="CZ117" i="3"/>
  <c r="DA117" i="3"/>
  <c r="A118" i="3"/>
  <c r="CY118" i="3"/>
  <c r="CZ118" i="3"/>
  <c r="DA118" i="3"/>
  <c r="A119" i="3"/>
  <c r="CY119" i="3"/>
  <c r="CZ119" i="3"/>
  <c r="DA119" i="3"/>
  <c r="A120" i="3"/>
  <c r="CY120" i="3"/>
  <c r="CZ120" i="3"/>
  <c r="DA120" i="3"/>
  <c r="A121" i="3"/>
  <c r="CY121" i="3"/>
  <c r="CZ121" i="3"/>
  <c r="DA121" i="3"/>
  <c r="A122" i="3"/>
  <c r="CY122" i="3"/>
  <c r="CZ122" i="3"/>
  <c r="DA122" i="3"/>
  <c r="A123" i="3"/>
  <c r="CY123" i="3"/>
  <c r="CZ123" i="3"/>
  <c r="DA123" i="3"/>
  <c r="A124" i="3"/>
  <c r="CY124" i="3"/>
  <c r="CZ124" i="3"/>
  <c r="DA124" i="3"/>
  <c r="A125" i="3"/>
  <c r="CY125" i="3"/>
  <c r="CZ125" i="3"/>
  <c r="DA125" i="3"/>
  <c r="A126" i="3"/>
  <c r="CY126" i="3"/>
  <c r="CZ126" i="3"/>
  <c r="DA126" i="3"/>
  <c r="A127" i="3"/>
  <c r="CY127" i="3"/>
  <c r="CZ127" i="3"/>
  <c r="DA127" i="3"/>
  <c r="A128" i="3"/>
  <c r="CY128" i="3"/>
  <c r="CZ128" i="3"/>
  <c r="DA128" i="3"/>
  <c r="A129" i="3"/>
  <c r="CY129" i="3"/>
  <c r="CZ129" i="3"/>
  <c r="DA129" i="3"/>
  <c r="A130" i="3"/>
  <c r="CY130" i="3"/>
  <c r="CZ130" i="3"/>
  <c r="DA130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M22" i="1"/>
  <c r="AN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R22" i="1"/>
  <c r="DS22" i="1"/>
  <c r="EE22" i="1"/>
  <c r="EF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C24" i="1"/>
  <c r="D24" i="1"/>
  <c r="I24" i="1"/>
  <c r="CX1" i="3" s="1"/>
  <c r="AC24" i="1"/>
  <c r="AE24" i="1"/>
  <c r="CS24" i="1" s="1"/>
  <c r="R24" i="1" s="1"/>
  <c r="GK24" i="1" s="1"/>
  <c r="AF24" i="1"/>
  <c r="AG24" i="1"/>
  <c r="AH24" i="1"/>
  <c r="CV24" i="1" s="1"/>
  <c r="AI24" i="1"/>
  <c r="CW24" i="1" s="1"/>
  <c r="V24" i="1" s="1"/>
  <c r="AJ24" i="1"/>
  <c r="CQ24" i="1"/>
  <c r="P24" i="1" s="1"/>
  <c r="CT24" i="1"/>
  <c r="CU24" i="1"/>
  <c r="T24" i="1" s="1"/>
  <c r="CX24" i="1"/>
  <c r="FR24" i="1"/>
  <c r="GL24" i="1"/>
  <c r="GO24" i="1"/>
  <c r="GP24" i="1"/>
  <c r="GV24" i="1"/>
  <c r="GX24" i="1"/>
  <c r="C25" i="1"/>
  <c r="D25" i="1"/>
  <c r="I25" i="1"/>
  <c r="AC25" i="1"/>
  <c r="AE25" i="1"/>
  <c r="AD25" i="1" s="1"/>
  <c r="AF25" i="1"/>
  <c r="AG25" i="1"/>
  <c r="CU25" i="1" s="1"/>
  <c r="T25" i="1" s="1"/>
  <c r="AH25" i="1"/>
  <c r="CV25" i="1" s="1"/>
  <c r="U25" i="1" s="1"/>
  <c r="AI25" i="1"/>
  <c r="CW25" i="1" s="1"/>
  <c r="V25" i="1" s="1"/>
  <c r="Z38" i="6" s="1"/>
  <c r="AJ25" i="1"/>
  <c r="CR25" i="1"/>
  <c r="Q25" i="1" s="1"/>
  <c r="W38" i="6" s="1"/>
  <c r="CT25" i="1"/>
  <c r="S25" i="1" s="1"/>
  <c r="CX25" i="1"/>
  <c r="W25" i="1" s="1"/>
  <c r="FR25" i="1"/>
  <c r="GL25" i="1"/>
  <c r="GO25" i="1"/>
  <c r="GP25" i="1"/>
  <c r="GV25" i="1"/>
  <c r="GX25" i="1" s="1"/>
  <c r="C26" i="1"/>
  <c r="D26" i="1"/>
  <c r="I26" i="1"/>
  <c r="AC26" i="1"/>
  <c r="CQ26" i="1" s="1"/>
  <c r="AE26" i="1"/>
  <c r="AD26" i="1" s="1"/>
  <c r="AF26" i="1"/>
  <c r="CT26" i="1" s="1"/>
  <c r="AG26" i="1"/>
  <c r="CU26" i="1" s="1"/>
  <c r="AH26" i="1"/>
  <c r="AI26" i="1"/>
  <c r="AJ26" i="1"/>
  <c r="CX26" i="1" s="1"/>
  <c r="CS26" i="1"/>
  <c r="R26" i="1" s="1"/>
  <c r="GK26" i="1" s="1"/>
  <c r="CV26" i="1"/>
  <c r="CW26" i="1"/>
  <c r="FR26" i="1"/>
  <c r="GL26" i="1"/>
  <c r="GO26" i="1"/>
  <c r="GP26" i="1"/>
  <c r="GV26" i="1"/>
  <c r="C27" i="1"/>
  <c r="D27" i="1"/>
  <c r="I27" i="1"/>
  <c r="AC27" i="1"/>
  <c r="CQ27" i="1" s="1"/>
  <c r="AE27" i="1"/>
  <c r="H38" i="5" s="1"/>
  <c r="R38" i="5" s="1"/>
  <c r="AF27" i="1"/>
  <c r="AG27" i="1"/>
  <c r="CU27" i="1" s="1"/>
  <c r="AH27" i="1"/>
  <c r="CV27" i="1" s="1"/>
  <c r="AI27" i="1"/>
  <c r="CW27" i="1" s="1"/>
  <c r="V27" i="1" s="1"/>
  <c r="Z47" i="6" s="1"/>
  <c r="AJ27" i="1"/>
  <c r="CS27" i="1"/>
  <c r="CX27" i="1"/>
  <c r="FR27" i="1"/>
  <c r="GL27" i="1"/>
  <c r="GO27" i="1"/>
  <c r="GP27" i="1"/>
  <c r="GV27" i="1"/>
  <c r="C28" i="1"/>
  <c r="D28" i="1"/>
  <c r="I28" i="1"/>
  <c r="AC28" i="1"/>
  <c r="AE28" i="1"/>
  <c r="CS28" i="1" s="1"/>
  <c r="AF28" i="1"/>
  <c r="AG28" i="1"/>
  <c r="AH28" i="1"/>
  <c r="CV28" i="1" s="1"/>
  <c r="U28" i="1" s="1"/>
  <c r="AI28" i="1"/>
  <c r="CW28" i="1" s="1"/>
  <c r="AJ28" i="1"/>
  <c r="CQ28" i="1"/>
  <c r="CT28" i="1"/>
  <c r="S28" i="1" s="1"/>
  <c r="CU28" i="1"/>
  <c r="T28" i="1" s="1"/>
  <c r="CX28" i="1"/>
  <c r="W28" i="1" s="1"/>
  <c r="FR28" i="1"/>
  <c r="GL28" i="1"/>
  <c r="GO28" i="1"/>
  <c r="GP28" i="1"/>
  <c r="GV28" i="1"/>
  <c r="C29" i="1"/>
  <c r="D29" i="1"/>
  <c r="I29" i="1"/>
  <c r="AC29" i="1"/>
  <c r="H48" i="5" s="1"/>
  <c r="AE29" i="1"/>
  <c r="AF29" i="1"/>
  <c r="AG29" i="1"/>
  <c r="AH29" i="1"/>
  <c r="CV29" i="1" s="1"/>
  <c r="U29" i="1" s="1"/>
  <c r="AI29" i="1"/>
  <c r="CW29" i="1" s="1"/>
  <c r="AJ29" i="1"/>
  <c r="CX29" i="1" s="1"/>
  <c r="W29" i="1" s="1"/>
  <c r="CU29" i="1"/>
  <c r="T29" i="1" s="1"/>
  <c r="FR29" i="1"/>
  <c r="GL29" i="1"/>
  <c r="GO29" i="1"/>
  <c r="GP29" i="1"/>
  <c r="GV29" i="1"/>
  <c r="C30" i="1"/>
  <c r="D30" i="1"/>
  <c r="I30" i="1"/>
  <c r="AC30" i="1"/>
  <c r="CQ30" i="1" s="1"/>
  <c r="AE30" i="1"/>
  <c r="AD30" i="1" s="1"/>
  <c r="AF30" i="1"/>
  <c r="CT30" i="1" s="1"/>
  <c r="AG30" i="1"/>
  <c r="CU30" i="1" s="1"/>
  <c r="T30" i="1" s="1"/>
  <c r="AH30" i="1"/>
  <c r="AI30" i="1"/>
  <c r="CW30" i="1" s="1"/>
  <c r="V30" i="1" s="1"/>
  <c r="AJ30" i="1"/>
  <c r="CX30" i="1" s="1"/>
  <c r="CS30" i="1"/>
  <c r="R30" i="1" s="1"/>
  <c r="GK30" i="1" s="1"/>
  <c r="CV30" i="1"/>
  <c r="FR30" i="1"/>
  <c r="GL30" i="1"/>
  <c r="GO30" i="1"/>
  <c r="GP30" i="1"/>
  <c r="GV30" i="1"/>
  <c r="GX30" i="1" s="1"/>
  <c r="C31" i="1"/>
  <c r="D31" i="1"/>
  <c r="I31" i="1"/>
  <c r="AC31" i="1"/>
  <c r="AE31" i="1"/>
  <c r="H57" i="5" s="1"/>
  <c r="R57" i="5" s="1"/>
  <c r="AF31" i="1"/>
  <c r="AG31" i="1"/>
  <c r="CU31" i="1" s="1"/>
  <c r="T31" i="1" s="1"/>
  <c r="AH31" i="1"/>
  <c r="CV31" i="1" s="1"/>
  <c r="AI31" i="1"/>
  <c r="AJ31" i="1"/>
  <c r="CX31" i="1" s="1"/>
  <c r="CS31" i="1"/>
  <c r="R31" i="1" s="1"/>
  <c r="CT31" i="1"/>
  <c r="CW31" i="1"/>
  <c r="V31" i="1" s="1"/>
  <c r="Z72" i="6" s="1"/>
  <c r="FR31" i="1"/>
  <c r="GL31" i="1"/>
  <c r="GO31" i="1"/>
  <c r="GP31" i="1"/>
  <c r="GV31" i="1"/>
  <c r="C32" i="1"/>
  <c r="D32" i="1"/>
  <c r="I32" i="1"/>
  <c r="I34" i="1" s="1"/>
  <c r="AC32" i="1"/>
  <c r="AE32" i="1"/>
  <c r="CS32" i="1" s="1"/>
  <c r="R32" i="1" s="1"/>
  <c r="GK32" i="1" s="1"/>
  <c r="AF32" i="1"/>
  <c r="AG32" i="1"/>
  <c r="CU32" i="1" s="1"/>
  <c r="T32" i="1" s="1"/>
  <c r="AH32" i="1"/>
  <c r="CV32" i="1" s="1"/>
  <c r="AI32" i="1"/>
  <c r="CW32" i="1" s="1"/>
  <c r="V32" i="1" s="1"/>
  <c r="AJ32" i="1"/>
  <c r="CT32" i="1"/>
  <c r="S32" i="1" s="1"/>
  <c r="CX32" i="1"/>
  <c r="FR32" i="1"/>
  <c r="GL32" i="1"/>
  <c r="GO32" i="1"/>
  <c r="GP32" i="1"/>
  <c r="GV32" i="1"/>
  <c r="GX32" i="1" s="1"/>
  <c r="C33" i="1"/>
  <c r="D33" i="1"/>
  <c r="I33" i="1"/>
  <c r="AC33" i="1"/>
  <c r="H68" i="5" s="1"/>
  <c r="AE33" i="1"/>
  <c r="AF33" i="1"/>
  <c r="AG33" i="1"/>
  <c r="AH33" i="1"/>
  <c r="CV33" i="1" s="1"/>
  <c r="U33" i="1" s="1"/>
  <c r="AI33" i="1"/>
  <c r="CW33" i="1" s="1"/>
  <c r="V33" i="1" s="1"/>
  <c r="Z89" i="6" s="1"/>
  <c r="AJ33" i="1"/>
  <c r="CX33" i="1" s="1"/>
  <c r="W33" i="1" s="1"/>
  <c r="CU33" i="1"/>
  <c r="T33" i="1" s="1"/>
  <c r="FR33" i="1"/>
  <c r="GL33" i="1"/>
  <c r="GO33" i="1"/>
  <c r="GP33" i="1"/>
  <c r="GV33" i="1"/>
  <c r="GX33" i="1" s="1"/>
  <c r="AC34" i="1"/>
  <c r="AE34" i="1"/>
  <c r="CS34" i="1" s="1"/>
  <c r="AF34" i="1"/>
  <c r="AG34" i="1"/>
  <c r="CU34" i="1" s="1"/>
  <c r="AH34" i="1"/>
  <c r="CV34" i="1" s="1"/>
  <c r="AI34" i="1"/>
  <c r="CW34" i="1" s="1"/>
  <c r="AJ34" i="1"/>
  <c r="CX34" i="1" s="1"/>
  <c r="CQ34" i="1"/>
  <c r="CT34" i="1"/>
  <c r="FR34" i="1"/>
  <c r="GL34" i="1"/>
  <c r="GO34" i="1"/>
  <c r="GP34" i="1"/>
  <c r="GV34" i="1"/>
  <c r="I35" i="1"/>
  <c r="AC35" i="1"/>
  <c r="CQ35" i="1" s="1"/>
  <c r="P35" i="1" s="1"/>
  <c r="AE35" i="1"/>
  <c r="AD35" i="1" s="1"/>
  <c r="CR35" i="1" s="1"/>
  <c r="Q35" i="1" s="1"/>
  <c r="W105" i="6" s="1"/>
  <c r="AF35" i="1"/>
  <c r="AG35" i="1"/>
  <c r="CU35" i="1" s="1"/>
  <c r="T35" i="1" s="1"/>
  <c r="AH35" i="1"/>
  <c r="CV35" i="1" s="1"/>
  <c r="U35" i="1" s="1"/>
  <c r="Y105" i="6" s="1"/>
  <c r="AI35" i="1"/>
  <c r="AJ35" i="1"/>
  <c r="CX35" i="1" s="1"/>
  <c r="W35" i="1" s="1"/>
  <c r="CT35" i="1"/>
  <c r="S35" i="1" s="1"/>
  <c r="CW35" i="1"/>
  <c r="V35" i="1" s="1"/>
  <c r="Z105" i="6" s="1"/>
  <c r="FR35" i="1"/>
  <c r="GL35" i="1"/>
  <c r="GO35" i="1"/>
  <c r="GP35" i="1"/>
  <c r="GV35" i="1"/>
  <c r="GX35" i="1" s="1"/>
  <c r="AC36" i="1"/>
  <c r="CQ36" i="1" s="1"/>
  <c r="AE36" i="1"/>
  <c r="AF36" i="1"/>
  <c r="CT36" i="1" s="1"/>
  <c r="AG36" i="1"/>
  <c r="CU36" i="1" s="1"/>
  <c r="AH36" i="1"/>
  <c r="CV36" i="1" s="1"/>
  <c r="AI36" i="1"/>
  <c r="CW36" i="1" s="1"/>
  <c r="AJ36" i="1"/>
  <c r="CX36" i="1" s="1"/>
  <c r="FR36" i="1"/>
  <c r="GL36" i="1"/>
  <c r="GO36" i="1"/>
  <c r="GP36" i="1"/>
  <c r="GV36" i="1"/>
  <c r="I37" i="1"/>
  <c r="AC37" i="1"/>
  <c r="CQ37" i="1" s="1"/>
  <c r="P37" i="1" s="1"/>
  <c r="AE37" i="1"/>
  <c r="AD37" i="1" s="1"/>
  <c r="CR37" i="1" s="1"/>
  <c r="Q37" i="1" s="1"/>
  <c r="W107" i="6" s="1"/>
  <c r="AF37" i="1"/>
  <c r="AG37" i="1"/>
  <c r="CU37" i="1" s="1"/>
  <c r="T37" i="1" s="1"/>
  <c r="AH37" i="1"/>
  <c r="CV37" i="1" s="1"/>
  <c r="U37" i="1" s="1"/>
  <c r="Y107" i="6" s="1"/>
  <c r="AI37" i="1"/>
  <c r="AJ37" i="1"/>
  <c r="CT37" i="1"/>
  <c r="S37" i="1" s="1"/>
  <c r="V107" i="6" s="1"/>
  <c r="CW37" i="1"/>
  <c r="V37" i="1" s="1"/>
  <c r="Z107" i="6" s="1"/>
  <c r="CX37" i="1"/>
  <c r="FR37" i="1"/>
  <c r="GL37" i="1"/>
  <c r="GO37" i="1"/>
  <c r="GP37" i="1"/>
  <c r="GV37" i="1"/>
  <c r="GX37" i="1" s="1"/>
  <c r="I38" i="1"/>
  <c r="AC38" i="1"/>
  <c r="CQ38" i="1" s="1"/>
  <c r="AE38" i="1"/>
  <c r="AD38" i="1" s="1"/>
  <c r="AF38" i="1"/>
  <c r="AG38" i="1"/>
  <c r="CU38" i="1" s="1"/>
  <c r="AH38" i="1"/>
  <c r="AI38" i="1"/>
  <c r="CW38" i="1" s="1"/>
  <c r="AJ38" i="1"/>
  <c r="CX38" i="1" s="1"/>
  <c r="CR38" i="1"/>
  <c r="CT38" i="1"/>
  <c r="CV38" i="1"/>
  <c r="FR38" i="1"/>
  <c r="GL38" i="1"/>
  <c r="GO38" i="1"/>
  <c r="GP38" i="1"/>
  <c r="GV38" i="1"/>
  <c r="I39" i="1"/>
  <c r="AC39" i="1"/>
  <c r="CQ39" i="1" s="1"/>
  <c r="P39" i="1" s="1"/>
  <c r="U109" i="6" s="1"/>
  <c r="AE39" i="1"/>
  <c r="AD39" i="1" s="1"/>
  <c r="AF39" i="1"/>
  <c r="AG39" i="1"/>
  <c r="CU39" i="1" s="1"/>
  <c r="T39" i="1" s="1"/>
  <c r="AH39" i="1"/>
  <c r="CV39" i="1" s="1"/>
  <c r="AI39" i="1"/>
  <c r="AJ39" i="1"/>
  <c r="CX39" i="1" s="1"/>
  <c r="CS39" i="1"/>
  <c r="R39" i="1" s="1"/>
  <c r="CW39" i="1"/>
  <c r="V39" i="1" s="1"/>
  <c r="Z109" i="6" s="1"/>
  <c r="FR39" i="1"/>
  <c r="GL39" i="1"/>
  <c r="GO39" i="1"/>
  <c r="GP39" i="1"/>
  <c r="GV39" i="1"/>
  <c r="C40" i="1"/>
  <c r="D40" i="1"/>
  <c r="I40" i="1"/>
  <c r="I46" i="1" s="1"/>
  <c r="AC40" i="1"/>
  <c r="AE40" i="1"/>
  <c r="AD40" i="1" s="1"/>
  <c r="AF40" i="1"/>
  <c r="CT40" i="1" s="1"/>
  <c r="S40" i="1" s="1"/>
  <c r="AG40" i="1"/>
  <c r="CU40" i="1" s="1"/>
  <c r="AH40" i="1"/>
  <c r="CV40" i="1" s="1"/>
  <c r="U40" i="1" s="1"/>
  <c r="AI40" i="1"/>
  <c r="AJ40" i="1"/>
  <c r="CX40" i="1" s="1"/>
  <c r="W40" i="1" s="1"/>
  <c r="CR40" i="1"/>
  <c r="Q40" i="1" s="1"/>
  <c r="CS40" i="1"/>
  <c r="R40" i="1" s="1"/>
  <c r="GK40" i="1" s="1"/>
  <c r="CW40" i="1"/>
  <c r="FR40" i="1"/>
  <c r="GL40" i="1"/>
  <c r="GO40" i="1"/>
  <c r="GP40" i="1"/>
  <c r="GV40" i="1"/>
  <c r="C41" i="1"/>
  <c r="D41" i="1"/>
  <c r="I41" i="1"/>
  <c r="AC41" i="1"/>
  <c r="H81" i="5" s="1"/>
  <c r="AE41" i="1"/>
  <c r="H80" i="5" s="1"/>
  <c r="R80" i="5" s="1"/>
  <c r="AF41" i="1"/>
  <c r="AG41" i="1"/>
  <c r="CU41" i="1" s="1"/>
  <c r="T41" i="1" s="1"/>
  <c r="AH41" i="1"/>
  <c r="CV41" i="1" s="1"/>
  <c r="AI41" i="1"/>
  <c r="AJ41" i="1"/>
  <c r="CT41" i="1"/>
  <c r="S41" i="1" s="1"/>
  <c r="CW41" i="1"/>
  <c r="V41" i="1" s="1"/>
  <c r="Z111" i="6" s="1"/>
  <c r="CX41" i="1"/>
  <c r="W41" i="1" s="1"/>
  <c r="FR41" i="1"/>
  <c r="GL41" i="1"/>
  <c r="GO41" i="1"/>
  <c r="GP41" i="1"/>
  <c r="GV41" i="1"/>
  <c r="I42" i="1"/>
  <c r="AC42" i="1"/>
  <c r="CQ42" i="1" s="1"/>
  <c r="AE42" i="1"/>
  <c r="AD42" i="1" s="1"/>
  <c r="CR42" i="1" s="1"/>
  <c r="Q42" i="1" s="1"/>
  <c r="AF42" i="1"/>
  <c r="CT42" i="1" s="1"/>
  <c r="AG42" i="1"/>
  <c r="CU42" i="1" s="1"/>
  <c r="AH42" i="1"/>
  <c r="CV42" i="1" s="1"/>
  <c r="AI42" i="1"/>
  <c r="CW42" i="1" s="1"/>
  <c r="V42" i="1" s="1"/>
  <c r="AJ42" i="1"/>
  <c r="CS42" i="1"/>
  <c r="R42" i="1" s="1"/>
  <c r="GK42" i="1" s="1"/>
  <c r="CX42" i="1"/>
  <c r="FR42" i="1"/>
  <c r="GL42" i="1"/>
  <c r="GO42" i="1"/>
  <c r="GP42" i="1"/>
  <c r="GV42" i="1"/>
  <c r="I43" i="1"/>
  <c r="AC43" i="1"/>
  <c r="AE43" i="1"/>
  <c r="AD43" i="1" s="1"/>
  <c r="AF43" i="1"/>
  <c r="AG43" i="1"/>
  <c r="CU43" i="1" s="1"/>
  <c r="AH43" i="1"/>
  <c r="CV43" i="1" s="1"/>
  <c r="U43" i="1" s="1"/>
  <c r="Y127" i="6" s="1"/>
  <c r="AI43" i="1"/>
  <c r="CW43" i="1" s="1"/>
  <c r="V43" i="1" s="1"/>
  <c r="Z127" i="6" s="1"/>
  <c r="AJ43" i="1"/>
  <c r="CX43" i="1" s="1"/>
  <c r="FR43" i="1"/>
  <c r="GL43" i="1"/>
  <c r="GO43" i="1"/>
  <c r="GP43" i="1"/>
  <c r="GV43" i="1"/>
  <c r="I44" i="1"/>
  <c r="AC44" i="1"/>
  <c r="CQ44" i="1" s="1"/>
  <c r="P44" i="1" s="1"/>
  <c r="AE44" i="1"/>
  <c r="CS44" i="1" s="1"/>
  <c r="AF44" i="1"/>
  <c r="CT44" i="1" s="1"/>
  <c r="S44" i="1" s="1"/>
  <c r="AG44" i="1"/>
  <c r="AH44" i="1"/>
  <c r="CV44" i="1" s="1"/>
  <c r="U44" i="1" s="1"/>
  <c r="AI44" i="1"/>
  <c r="CW44" i="1" s="1"/>
  <c r="AJ44" i="1"/>
  <c r="CX44" i="1" s="1"/>
  <c r="W44" i="1" s="1"/>
  <c r="CU44" i="1"/>
  <c r="T44" i="1" s="1"/>
  <c r="FR44" i="1"/>
  <c r="GL44" i="1"/>
  <c r="GO44" i="1"/>
  <c r="GP44" i="1"/>
  <c r="GV44" i="1"/>
  <c r="AC45" i="1"/>
  <c r="AE45" i="1"/>
  <c r="CS45" i="1" s="1"/>
  <c r="AF45" i="1"/>
  <c r="AG45" i="1"/>
  <c r="CU45" i="1" s="1"/>
  <c r="AH45" i="1"/>
  <c r="CV45" i="1" s="1"/>
  <c r="AI45" i="1"/>
  <c r="CW45" i="1" s="1"/>
  <c r="AJ45" i="1"/>
  <c r="CT45" i="1"/>
  <c r="CX45" i="1"/>
  <c r="FR45" i="1"/>
  <c r="GL45" i="1"/>
  <c r="GO45" i="1"/>
  <c r="GP45" i="1"/>
  <c r="GV45" i="1"/>
  <c r="AC46" i="1"/>
  <c r="CQ46" i="1" s="1"/>
  <c r="AD46" i="1"/>
  <c r="CR46" i="1" s="1"/>
  <c r="AE46" i="1"/>
  <c r="AF46" i="1"/>
  <c r="CT46" i="1" s="1"/>
  <c r="AG46" i="1"/>
  <c r="CU46" i="1" s="1"/>
  <c r="AH46" i="1"/>
  <c r="CV46" i="1" s="1"/>
  <c r="AI46" i="1"/>
  <c r="AJ46" i="1"/>
  <c r="CX46" i="1" s="1"/>
  <c r="W46" i="1" s="1"/>
  <c r="CS46" i="1"/>
  <c r="CW46" i="1"/>
  <c r="V46" i="1" s="1"/>
  <c r="FR46" i="1"/>
  <c r="GL46" i="1"/>
  <c r="GO46" i="1"/>
  <c r="GP46" i="1"/>
  <c r="GV46" i="1"/>
  <c r="AC47" i="1"/>
  <c r="AE47" i="1"/>
  <c r="AF47" i="1"/>
  <c r="AG47" i="1"/>
  <c r="CU47" i="1" s="1"/>
  <c r="AH47" i="1"/>
  <c r="CV47" i="1" s="1"/>
  <c r="AI47" i="1"/>
  <c r="CW47" i="1" s="1"/>
  <c r="AJ47" i="1"/>
  <c r="CX47" i="1" s="1"/>
  <c r="FR47" i="1"/>
  <c r="GL47" i="1"/>
  <c r="GO47" i="1"/>
  <c r="GP47" i="1"/>
  <c r="GV47" i="1"/>
  <c r="AC48" i="1"/>
  <c r="CQ48" i="1" s="1"/>
  <c r="AE48" i="1"/>
  <c r="AF48" i="1"/>
  <c r="CT48" i="1" s="1"/>
  <c r="AG48" i="1"/>
  <c r="CU48" i="1" s="1"/>
  <c r="AH48" i="1"/>
  <c r="CV48" i="1" s="1"/>
  <c r="AI48" i="1"/>
  <c r="CW48" i="1" s="1"/>
  <c r="AJ48" i="1"/>
  <c r="CX48" i="1" s="1"/>
  <c r="FR48" i="1"/>
  <c r="GL48" i="1"/>
  <c r="GO48" i="1"/>
  <c r="GP48" i="1"/>
  <c r="GV48" i="1"/>
  <c r="AC49" i="1"/>
  <c r="AE49" i="1"/>
  <c r="AF49" i="1"/>
  <c r="AG49" i="1"/>
  <c r="AH49" i="1"/>
  <c r="AI49" i="1"/>
  <c r="CW49" i="1" s="1"/>
  <c r="AJ49" i="1"/>
  <c r="CQ49" i="1"/>
  <c r="CT49" i="1"/>
  <c r="CU49" i="1"/>
  <c r="CV49" i="1"/>
  <c r="CX49" i="1"/>
  <c r="FR49" i="1"/>
  <c r="GL49" i="1"/>
  <c r="GO49" i="1"/>
  <c r="GP49" i="1"/>
  <c r="GV49" i="1"/>
  <c r="I50" i="1"/>
  <c r="AC50" i="1"/>
  <c r="AE50" i="1"/>
  <c r="AD50" i="1" s="1"/>
  <c r="CR50" i="1" s="1"/>
  <c r="AF50" i="1"/>
  <c r="AG50" i="1"/>
  <c r="AH50" i="1"/>
  <c r="CV50" i="1" s="1"/>
  <c r="AI50" i="1"/>
  <c r="CW50" i="1" s="1"/>
  <c r="V50" i="1" s="1"/>
  <c r="AJ50" i="1"/>
  <c r="CX50" i="1" s="1"/>
  <c r="CS50" i="1"/>
  <c r="R50" i="1" s="1"/>
  <c r="GK50" i="1" s="1"/>
  <c r="CT50" i="1"/>
  <c r="CU50" i="1"/>
  <c r="T50" i="1" s="1"/>
  <c r="FR50" i="1"/>
  <c r="GL50" i="1"/>
  <c r="GO50" i="1"/>
  <c r="GP50" i="1"/>
  <c r="GV50" i="1"/>
  <c r="I51" i="1"/>
  <c r="AC51" i="1"/>
  <c r="AE51" i="1"/>
  <c r="AD51" i="1" s="1"/>
  <c r="CR51" i="1" s="1"/>
  <c r="Q51" i="1" s="1"/>
  <c r="W135" i="6" s="1"/>
  <c r="AF51" i="1"/>
  <c r="AG51" i="1"/>
  <c r="CU51" i="1" s="1"/>
  <c r="AH51" i="1"/>
  <c r="AI51" i="1"/>
  <c r="CW51" i="1" s="1"/>
  <c r="V51" i="1" s="1"/>
  <c r="Z135" i="6" s="1"/>
  <c r="AJ51" i="1"/>
  <c r="CS51" i="1"/>
  <c r="CV51" i="1"/>
  <c r="CX51" i="1"/>
  <c r="FR51" i="1"/>
  <c r="GL51" i="1"/>
  <c r="GO51" i="1"/>
  <c r="GP51" i="1"/>
  <c r="GV51" i="1"/>
  <c r="I52" i="1"/>
  <c r="AC52" i="1"/>
  <c r="CQ52" i="1" s="1"/>
  <c r="AE52" i="1"/>
  <c r="AD52" i="1" s="1"/>
  <c r="CR52" i="1" s="1"/>
  <c r="AF52" i="1"/>
  <c r="CT52" i="1" s="1"/>
  <c r="AG52" i="1"/>
  <c r="CU52" i="1" s="1"/>
  <c r="AH52" i="1"/>
  <c r="AI52" i="1"/>
  <c r="CW52" i="1" s="1"/>
  <c r="AJ52" i="1"/>
  <c r="CX52" i="1" s="1"/>
  <c r="CS52" i="1"/>
  <c r="R52" i="1" s="1"/>
  <c r="GK52" i="1" s="1"/>
  <c r="CV52" i="1"/>
  <c r="U52" i="1" s="1"/>
  <c r="FR52" i="1"/>
  <c r="GL52" i="1"/>
  <c r="GO52" i="1"/>
  <c r="GP52" i="1"/>
  <c r="GV52" i="1"/>
  <c r="GX52" i="1"/>
  <c r="AC53" i="1"/>
  <c r="AD53" i="1"/>
  <c r="AE53" i="1"/>
  <c r="CS53" i="1" s="1"/>
  <c r="AF53" i="1"/>
  <c r="AG53" i="1"/>
  <c r="AH53" i="1"/>
  <c r="CV53" i="1" s="1"/>
  <c r="AI53" i="1"/>
  <c r="CW53" i="1" s="1"/>
  <c r="AJ53" i="1"/>
  <c r="CX53" i="1" s="1"/>
  <c r="CQ53" i="1"/>
  <c r="CR53" i="1"/>
  <c r="CU53" i="1"/>
  <c r="FR53" i="1"/>
  <c r="GL53" i="1"/>
  <c r="GO53" i="1"/>
  <c r="GP53" i="1"/>
  <c r="GV53" i="1"/>
  <c r="C54" i="1"/>
  <c r="D54" i="1"/>
  <c r="AC54" i="1"/>
  <c r="CQ54" i="1" s="1"/>
  <c r="P54" i="1" s="1"/>
  <c r="AE54" i="1"/>
  <c r="AD54" i="1" s="1"/>
  <c r="CR54" i="1" s="1"/>
  <c r="Q54" i="1" s="1"/>
  <c r="AF54" i="1"/>
  <c r="CT54" i="1" s="1"/>
  <c r="S54" i="1" s="1"/>
  <c r="AG54" i="1"/>
  <c r="CU54" i="1" s="1"/>
  <c r="T54" i="1" s="1"/>
  <c r="AH54" i="1"/>
  <c r="AI54" i="1"/>
  <c r="CW54" i="1" s="1"/>
  <c r="V54" i="1" s="1"/>
  <c r="AJ54" i="1"/>
  <c r="CX54" i="1" s="1"/>
  <c r="W54" i="1" s="1"/>
  <c r="CS54" i="1"/>
  <c r="R54" i="1" s="1"/>
  <c r="GK54" i="1" s="1"/>
  <c r="CV54" i="1"/>
  <c r="U54" i="1" s="1"/>
  <c r="FR54" i="1"/>
  <c r="GL54" i="1"/>
  <c r="GO54" i="1"/>
  <c r="GP54" i="1"/>
  <c r="GV54" i="1"/>
  <c r="GX54" i="1" s="1"/>
  <c r="C55" i="1"/>
  <c r="D55" i="1"/>
  <c r="AC55" i="1"/>
  <c r="AE55" i="1"/>
  <c r="CS55" i="1" s="1"/>
  <c r="R55" i="1" s="1"/>
  <c r="X139" i="6" s="1"/>
  <c r="AF55" i="1"/>
  <c r="AG55" i="1"/>
  <c r="CU55" i="1" s="1"/>
  <c r="T55" i="1" s="1"/>
  <c r="AH55" i="1"/>
  <c r="AI55" i="1"/>
  <c r="CW55" i="1" s="1"/>
  <c r="V55" i="1" s="1"/>
  <c r="Z139" i="6" s="1"/>
  <c r="AJ55" i="1"/>
  <c r="CX55" i="1" s="1"/>
  <c r="W55" i="1" s="1"/>
  <c r="CV55" i="1"/>
  <c r="U55" i="1" s="1"/>
  <c r="FR55" i="1"/>
  <c r="GK55" i="1"/>
  <c r="GL55" i="1"/>
  <c r="GO55" i="1"/>
  <c r="GP55" i="1"/>
  <c r="GV55" i="1"/>
  <c r="GX55" i="1" s="1"/>
  <c r="C56" i="1"/>
  <c r="D56" i="1"/>
  <c r="I56" i="1"/>
  <c r="AC56" i="1"/>
  <c r="CQ56" i="1" s="1"/>
  <c r="P56" i="1" s="1"/>
  <c r="AE56" i="1"/>
  <c r="AD56" i="1" s="1"/>
  <c r="CR56" i="1" s="1"/>
  <c r="Q56" i="1" s="1"/>
  <c r="AF56" i="1"/>
  <c r="CT56" i="1" s="1"/>
  <c r="S56" i="1" s="1"/>
  <c r="AG56" i="1"/>
  <c r="CU56" i="1" s="1"/>
  <c r="T56" i="1" s="1"/>
  <c r="AH56" i="1"/>
  <c r="AI56" i="1"/>
  <c r="CW56" i="1" s="1"/>
  <c r="V56" i="1" s="1"/>
  <c r="AJ56" i="1"/>
  <c r="CX56" i="1" s="1"/>
  <c r="W56" i="1" s="1"/>
  <c r="CS56" i="1"/>
  <c r="R56" i="1" s="1"/>
  <c r="GK56" i="1" s="1"/>
  <c r="CV56" i="1"/>
  <c r="U56" i="1" s="1"/>
  <c r="FR56" i="1"/>
  <c r="GL56" i="1"/>
  <c r="GO56" i="1"/>
  <c r="GP56" i="1"/>
  <c r="GV56" i="1"/>
  <c r="GX56" i="1"/>
  <c r="C57" i="1"/>
  <c r="D57" i="1"/>
  <c r="I57" i="1"/>
  <c r="AC57" i="1"/>
  <c r="AE57" i="1"/>
  <c r="AF57" i="1"/>
  <c r="CT57" i="1" s="1"/>
  <c r="S57" i="1" s="1"/>
  <c r="AG57" i="1"/>
  <c r="CU57" i="1" s="1"/>
  <c r="T57" i="1" s="1"/>
  <c r="AH57" i="1"/>
  <c r="AI57" i="1"/>
  <c r="AJ57" i="1"/>
  <c r="CX57" i="1" s="1"/>
  <c r="W57" i="1" s="1"/>
  <c r="CV57" i="1"/>
  <c r="U57" i="1" s="1"/>
  <c r="CW57" i="1"/>
  <c r="V57" i="1" s="1"/>
  <c r="Z154" i="6" s="1"/>
  <c r="FR57" i="1"/>
  <c r="GL57" i="1"/>
  <c r="GO57" i="1"/>
  <c r="GP57" i="1"/>
  <c r="GV57" i="1"/>
  <c r="GX57" i="1" s="1"/>
  <c r="I58" i="1"/>
  <c r="AC58" i="1"/>
  <c r="CQ58" i="1" s="1"/>
  <c r="P58" i="1" s="1"/>
  <c r="AE58" i="1"/>
  <c r="CS58" i="1" s="1"/>
  <c r="R58" i="1" s="1"/>
  <c r="GK58" i="1" s="1"/>
  <c r="AF58" i="1"/>
  <c r="AG58" i="1"/>
  <c r="AH58" i="1"/>
  <c r="AI58" i="1"/>
  <c r="CW58" i="1" s="1"/>
  <c r="V58" i="1" s="1"/>
  <c r="AJ58" i="1"/>
  <c r="CX58" i="1" s="1"/>
  <c r="W58" i="1" s="1"/>
  <c r="CT58" i="1"/>
  <c r="S58" i="1" s="1"/>
  <c r="CU58" i="1"/>
  <c r="T58" i="1" s="1"/>
  <c r="CV58" i="1"/>
  <c r="U58" i="1" s="1"/>
  <c r="FR58" i="1"/>
  <c r="GL58" i="1"/>
  <c r="GO58" i="1"/>
  <c r="GP58" i="1"/>
  <c r="GV58" i="1"/>
  <c r="GX58" i="1" s="1"/>
  <c r="I59" i="1"/>
  <c r="AC59" i="1"/>
  <c r="AE59" i="1"/>
  <c r="AD59" i="1" s="1"/>
  <c r="CR59" i="1" s="1"/>
  <c r="Q59" i="1" s="1"/>
  <c r="W170" i="6" s="1"/>
  <c r="AF59" i="1"/>
  <c r="AG59" i="1"/>
  <c r="AH59" i="1"/>
  <c r="CV59" i="1" s="1"/>
  <c r="U59" i="1" s="1"/>
  <c r="Y170" i="6" s="1"/>
  <c r="AI59" i="1"/>
  <c r="CW59" i="1" s="1"/>
  <c r="V59" i="1" s="1"/>
  <c r="Z170" i="6" s="1"/>
  <c r="AJ59" i="1"/>
  <c r="CQ59" i="1"/>
  <c r="P59" i="1" s="1"/>
  <c r="CU59" i="1"/>
  <c r="T59" i="1" s="1"/>
  <c r="CX59" i="1"/>
  <c r="W59" i="1" s="1"/>
  <c r="FR59" i="1"/>
  <c r="GL59" i="1"/>
  <c r="GO59" i="1"/>
  <c r="GP59" i="1"/>
  <c r="GV59" i="1"/>
  <c r="GX59" i="1" s="1"/>
  <c r="I60" i="1"/>
  <c r="AC60" i="1"/>
  <c r="CQ60" i="1" s="1"/>
  <c r="P60" i="1" s="1"/>
  <c r="AE60" i="1"/>
  <c r="AD60" i="1" s="1"/>
  <c r="CR60" i="1" s="1"/>
  <c r="AF60" i="1"/>
  <c r="CT60" i="1" s="1"/>
  <c r="S60" i="1" s="1"/>
  <c r="AG60" i="1"/>
  <c r="CU60" i="1" s="1"/>
  <c r="AH60" i="1"/>
  <c r="AI60" i="1"/>
  <c r="AJ60" i="1"/>
  <c r="CS60" i="1"/>
  <c r="R60" i="1" s="1"/>
  <c r="GK60" i="1" s="1"/>
  <c r="CV60" i="1"/>
  <c r="CW60" i="1"/>
  <c r="CX60" i="1"/>
  <c r="W60" i="1" s="1"/>
  <c r="FR60" i="1"/>
  <c r="GL60" i="1"/>
  <c r="GO60" i="1"/>
  <c r="GP60" i="1"/>
  <c r="GV60" i="1"/>
  <c r="GX60" i="1"/>
  <c r="I61" i="1"/>
  <c r="AC61" i="1"/>
  <c r="AE61" i="1"/>
  <c r="AD61" i="1" s="1"/>
  <c r="AF61" i="1"/>
  <c r="AG61" i="1"/>
  <c r="AH61" i="1"/>
  <c r="CV61" i="1" s="1"/>
  <c r="U61" i="1" s="1"/>
  <c r="Y172" i="6" s="1"/>
  <c r="AI61" i="1"/>
  <c r="CW61" i="1" s="1"/>
  <c r="V61" i="1" s="1"/>
  <c r="Z172" i="6" s="1"/>
  <c r="AJ61" i="1"/>
  <c r="CX61" i="1" s="1"/>
  <c r="CR61" i="1"/>
  <c r="Q61" i="1" s="1"/>
  <c r="W172" i="6" s="1"/>
  <c r="CU61" i="1"/>
  <c r="FR61" i="1"/>
  <c r="GL61" i="1"/>
  <c r="GO61" i="1"/>
  <c r="GP61" i="1"/>
  <c r="GV61" i="1"/>
  <c r="GX61" i="1" s="1"/>
  <c r="I62" i="1"/>
  <c r="AC62" i="1"/>
  <c r="CQ62" i="1" s="1"/>
  <c r="P62" i="1" s="1"/>
  <c r="AE62" i="1"/>
  <c r="CS62" i="1" s="1"/>
  <c r="AF62" i="1"/>
  <c r="CT62" i="1" s="1"/>
  <c r="S62" i="1" s="1"/>
  <c r="AG62" i="1"/>
  <c r="AH62" i="1"/>
  <c r="CV62" i="1" s="1"/>
  <c r="U62" i="1" s="1"/>
  <c r="AI62" i="1"/>
  <c r="CW62" i="1" s="1"/>
  <c r="AJ62" i="1"/>
  <c r="CX62" i="1" s="1"/>
  <c r="W62" i="1" s="1"/>
  <c r="CU62" i="1"/>
  <c r="FR62" i="1"/>
  <c r="GL62" i="1"/>
  <c r="GO62" i="1"/>
  <c r="GP62" i="1"/>
  <c r="GV62" i="1"/>
  <c r="I63" i="1"/>
  <c r="AC63" i="1"/>
  <c r="CQ63" i="1" s="1"/>
  <c r="P63" i="1" s="1"/>
  <c r="AE63" i="1"/>
  <c r="AD63" i="1" s="1"/>
  <c r="CR63" i="1" s="1"/>
  <c r="Q63" i="1" s="1"/>
  <c r="W174" i="6" s="1"/>
  <c r="AF63" i="1"/>
  <c r="AG63" i="1"/>
  <c r="CU63" i="1" s="1"/>
  <c r="T63" i="1" s="1"/>
  <c r="AH63" i="1"/>
  <c r="CV63" i="1" s="1"/>
  <c r="AI63" i="1"/>
  <c r="AJ63" i="1"/>
  <c r="CT63" i="1"/>
  <c r="S63" i="1" s="1"/>
  <c r="V174" i="6" s="1"/>
  <c r="CW63" i="1"/>
  <c r="V63" i="1" s="1"/>
  <c r="Z174" i="6" s="1"/>
  <c r="CX63" i="1"/>
  <c r="FR63" i="1"/>
  <c r="GL63" i="1"/>
  <c r="GO63" i="1"/>
  <c r="GP63" i="1"/>
  <c r="GV63" i="1"/>
  <c r="GX63" i="1"/>
  <c r="C64" i="1"/>
  <c r="D64" i="1"/>
  <c r="I64" i="1"/>
  <c r="P64" i="1"/>
  <c r="AC64" i="1"/>
  <c r="AD64" i="1"/>
  <c r="AE64" i="1"/>
  <c r="CS64" i="1" s="1"/>
  <c r="R64" i="1" s="1"/>
  <c r="GK64" i="1" s="1"/>
  <c r="AF64" i="1"/>
  <c r="CT64" i="1" s="1"/>
  <c r="S64" i="1" s="1"/>
  <c r="AG64" i="1"/>
  <c r="AH64" i="1"/>
  <c r="CV64" i="1" s="1"/>
  <c r="U64" i="1" s="1"/>
  <c r="AI64" i="1"/>
  <c r="CW64" i="1" s="1"/>
  <c r="V64" i="1" s="1"/>
  <c r="AJ64" i="1"/>
  <c r="CX64" i="1" s="1"/>
  <c r="W64" i="1" s="1"/>
  <c r="CQ64" i="1"/>
  <c r="CR64" i="1"/>
  <c r="Q64" i="1" s="1"/>
  <c r="CU64" i="1"/>
  <c r="T64" i="1" s="1"/>
  <c r="FR64" i="1"/>
  <c r="GL64" i="1"/>
  <c r="GO64" i="1"/>
  <c r="GP64" i="1"/>
  <c r="GV64" i="1"/>
  <c r="GX64" i="1" s="1"/>
  <c r="C65" i="1"/>
  <c r="D65" i="1"/>
  <c r="I65" i="1"/>
  <c r="AC65" i="1"/>
  <c r="CQ65" i="1" s="1"/>
  <c r="P65" i="1" s="1"/>
  <c r="AE65" i="1"/>
  <c r="AF65" i="1"/>
  <c r="AG65" i="1"/>
  <c r="CU65" i="1" s="1"/>
  <c r="T65" i="1" s="1"/>
  <c r="AH65" i="1"/>
  <c r="CV65" i="1" s="1"/>
  <c r="U65" i="1" s="1"/>
  <c r="AI65" i="1"/>
  <c r="CW65" i="1" s="1"/>
  <c r="V65" i="1" s="1"/>
  <c r="Z176" i="6" s="1"/>
  <c r="AJ65" i="1"/>
  <c r="CX65" i="1" s="1"/>
  <c r="CS65" i="1"/>
  <c r="R65" i="1" s="1"/>
  <c r="FR65" i="1"/>
  <c r="GL65" i="1"/>
  <c r="GO65" i="1"/>
  <c r="GP65" i="1"/>
  <c r="GV65" i="1"/>
  <c r="GX65" i="1" s="1"/>
  <c r="I66" i="1"/>
  <c r="P66" i="1"/>
  <c r="AC66" i="1"/>
  <c r="AD66" i="1"/>
  <c r="AE66" i="1"/>
  <c r="CS66" i="1" s="1"/>
  <c r="R66" i="1" s="1"/>
  <c r="GK66" i="1" s="1"/>
  <c r="AF66" i="1"/>
  <c r="CT66" i="1" s="1"/>
  <c r="S66" i="1" s="1"/>
  <c r="AG66" i="1"/>
  <c r="AH66" i="1"/>
  <c r="CV66" i="1" s="1"/>
  <c r="U66" i="1" s="1"/>
  <c r="AI66" i="1"/>
  <c r="CW66" i="1" s="1"/>
  <c r="V66" i="1" s="1"/>
  <c r="AJ66" i="1"/>
  <c r="CX66" i="1" s="1"/>
  <c r="W66" i="1" s="1"/>
  <c r="CQ66" i="1"/>
  <c r="CR66" i="1"/>
  <c r="Q66" i="1" s="1"/>
  <c r="CU66" i="1"/>
  <c r="T66" i="1" s="1"/>
  <c r="FR66" i="1"/>
  <c r="GL66" i="1"/>
  <c r="GO66" i="1"/>
  <c r="GP66" i="1"/>
  <c r="GV66" i="1"/>
  <c r="GX66" i="1" s="1"/>
  <c r="AC67" i="1"/>
  <c r="AE67" i="1"/>
  <c r="AD67" i="1" s="1"/>
  <c r="CR67" i="1" s="1"/>
  <c r="AF67" i="1"/>
  <c r="AG67" i="1"/>
  <c r="CU67" i="1" s="1"/>
  <c r="AH67" i="1"/>
  <c r="CV67" i="1" s="1"/>
  <c r="AI67" i="1"/>
  <c r="AJ67" i="1"/>
  <c r="CQ67" i="1"/>
  <c r="CT67" i="1"/>
  <c r="CW67" i="1"/>
  <c r="CX67" i="1"/>
  <c r="FR67" i="1"/>
  <c r="GL67" i="1"/>
  <c r="GO67" i="1"/>
  <c r="GP67" i="1"/>
  <c r="GV67" i="1"/>
  <c r="I68" i="1"/>
  <c r="AC68" i="1"/>
  <c r="AE68" i="1"/>
  <c r="AD68" i="1" s="1"/>
  <c r="AF68" i="1"/>
  <c r="AG68" i="1"/>
  <c r="CU68" i="1" s="1"/>
  <c r="AH68" i="1"/>
  <c r="CV68" i="1" s="1"/>
  <c r="AI68" i="1"/>
  <c r="AJ68" i="1"/>
  <c r="CX68" i="1" s="1"/>
  <c r="W68" i="1" s="1"/>
  <c r="CR68" i="1"/>
  <c r="Q68" i="1" s="1"/>
  <c r="CT68" i="1"/>
  <c r="S68" i="1" s="1"/>
  <c r="CW68" i="1"/>
  <c r="V68" i="1" s="1"/>
  <c r="FR68" i="1"/>
  <c r="GL68" i="1"/>
  <c r="GO68" i="1"/>
  <c r="GP68" i="1"/>
  <c r="GV68" i="1"/>
  <c r="GX68" i="1" s="1"/>
  <c r="AC69" i="1"/>
  <c r="AD69" i="1"/>
  <c r="AE69" i="1"/>
  <c r="CS69" i="1" s="1"/>
  <c r="AF69" i="1"/>
  <c r="AG69" i="1"/>
  <c r="AH69" i="1"/>
  <c r="CV69" i="1" s="1"/>
  <c r="AI69" i="1"/>
  <c r="CW69" i="1" s="1"/>
  <c r="AJ69" i="1"/>
  <c r="CX69" i="1" s="1"/>
  <c r="CQ69" i="1"/>
  <c r="CU69" i="1"/>
  <c r="FR69" i="1"/>
  <c r="GL69" i="1"/>
  <c r="GO69" i="1"/>
  <c r="GP69" i="1"/>
  <c r="GV69" i="1"/>
  <c r="C70" i="1"/>
  <c r="D70" i="1"/>
  <c r="I70" i="1"/>
  <c r="AC70" i="1"/>
  <c r="CQ70" i="1" s="1"/>
  <c r="AE70" i="1"/>
  <c r="AF70" i="1"/>
  <c r="CT70" i="1" s="1"/>
  <c r="AG70" i="1"/>
  <c r="CU70" i="1" s="1"/>
  <c r="T70" i="1" s="1"/>
  <c r="AH70" i="1"/>
  <c r="AI70" i="1"/>
  <c r="CW70" i="1" s="1"/>
  <c r="V70" i="1" s="1"/>
  <c r="AJ70" i="1"/>
  <c r="CX70" i="1" s="1"/>
  <c r="CV70" i="1"/>
  <c r="U70" i="1" s="1"/>
  <c r="FR70" i="1"/>
  <c r="GL70" i="1"/>
  <c r="GO70" i="1"/>
  <c r="GP70" i="1"/>
  <c r="GV70" i="1"/>
  <c r="C71" i="1"/>
  <c r="D71" i="1"/>
  <c r="I71" i="1"/>
  <c r="AC71" i="1"/>
  <c r="AE71" i="1"/>
  <c r="H127" i="5" s="1"/>
  <c r="R127" i="5" s="1"/>
  <c r="AF71" i="1"/>
  <c r="AG71" i="1"/>
  <c r="CU71" i="1" s="1"/>
  <c r="T71" i="1" s="1"/>
  <c r="AH71" i="1"/>
  <c r="CV71" i="1" s="1"/>
  <c r="AI71" i="1"/>
  <c r="CW71" i="1" s="1"/>
  <c r="V71" i="1" s="1"/>
  <c r="Z196" i="6" s="1"/>
  <c r="AJ71" i="1"/>
  <c r="CX71" i="1" s="1"/>
  <c r="CS71" i="1"/>
  <c r="R71" i="1" s="1"/>
  <c r="FR71" i="1"/>
  <c r="GL71" i="1"/>
  <c r="GO71" i="1"/>
  <c r="GP71" i="1"/>
  <c r="GV71" i="1"/>
  <c r="I72" i="1"/>
  <c r="AC72" i="1"/>
  <c r="CQ72" i="1" s="1"/>
  <c r="AE72" i="1"/>
  <c r="AF72" i="1"/>
  <c r="CT72" i="1" s="1"/>
  <c r="AG72" i="1"/>
  <c r="CU72" i="1" s="1"/>
  <c r="T72" i="1" s="1"/>
  <c r="AH72" i="1"/>
  <c r="AI72" i="1"/>
  <c r="CW72" i="1" s="1"/>
  <c r="V72" i="1" s="1"/>
  <c r="AJ72" i="1"/>
  <c r="CX72" i="1" s="1"/>
  <c r="CV72" i="1"/>
  <c r="U72" i="1" s="1"/>
  <c r="FR72" i="1"/>
  <c r="GL72" i="1"/>
  <c r="BZ77" i="1" s="1"/>
  <c r="CG77" i="1" s="1"/>
  <c r="GO72" i="1"/>
  <c r="GP72" i="1"/>
  <c r="GV72" i="1"/>
  <c r="AC73" i="1"/>
  <c r="CQ73" i="1" s="1"/>
  <c r="AE73" i="1"/>
  <c r="CS73" i="1" s="1"/>
  <c r="AF73" i="1"/>
  <c r="AG73" i="1"/>
  <c r="CU73" i="1" s="1"/>
  <c r="AH73" i="1"/>
  <c r="CV73" i="1" s="1"/>
  <c r="AI73" i="1"/>
  <c r="CW73" i="1" s="1"/>
  <c r="AJ73" i="1"/>
  <c r="CX73" i="1" s="1"/>
  <c r="FR73" i="1"/>
  <c r="FQ77" i="1" s="1"/>
  <c r="GL73" i="1"/>
  <c r="GO73" i="1"/>
  <c r="GP73" i="1"/>
  <c r="GV73" i="1"/>
  <c r="AC74" i="1"/>
  <c r="AD74" i="1"/>
  <c r="CR74" i="1" s="1"/>
  <c r="AE74" i="1"/>
  <c r="CS74" i="1" s="1"/>
  <c r="AF74" i="1"/>
  <c r="AG74" i="1"/>
  <c r="AH74" i="1"/>
  <c r="CV74" i="1" s="1"/>
  <c r="AI74" i="1"/>
  <c r="CW74" i="1" s="1"/>
  <c r="AJ74" i="1"/>
  <c r="CQ74" i="1"/>
  <c r="CT74" i="1"/>
  <c r="CU74" i="1"/>
  <c r="CX74" i="1"/>
  <c r="FR74" i="1"/>
  <c r="GL74" i="1"/>
  <c r="GO74" i="1"/>
  <c r="GP74" i="1"/>
  <c r="CD77" i="1" s="1"/>
  <c r="GV74" i="1"/>
  <c r="AC75" i="1"/>
  <c r="AE75" i="1"/>
  <c r="AD75" i="1" s="1"/>
  <c r="CR75" i="1" s="1"/>
  <c r="AF75" i="1"/>
  <c r="AG75" i="1"/>
  <c r="CU75" i="1" s="1"/>
  <c r="AH75" i="1"/>
  <c r="CV75" i="1" s="1"/>
  <c r="AI75" i="1"/>
  <c r="CW75" i="1" s="1"/>
  <c r="AJ75" i="1"/>
  <c r="CS75" i="1"/>
  <c r="CX75" i="1"/>
  <c r="FR75" i="1"/>
  <c r="GL75" i="1"/>
  <c r="GO75" i="1"/>
  <c r="GP75" i="1"/>
  <c r="FV77" i="1" s="1"/>
  <c r="GV75" i="1"/>
  <c r="B77" i="1"/>
  <c r="B22" i="1" s="1"/>
  <c r="C77" i="1"/>
  <c r="C22" i="1" s="1"/>
  <c r="D77" i="1"/>
  <c r="D22" i="1" s="1"/>
  <c r="F77" i="1"/>
  <c r="F22" i="1" s="1"/>
  <c r="G77" i="1"/>
  <c r="BX77" i="1"/>
  <c r="BX22" i="1" s="1"/>
  <c r="BY77" i="1"/>
  <c r="CC77" i="1"/>
  <c r="CC22" i="1" s="1"/>
  <c r="CK77" i="1"/>
  <c r="CK22" i="1" s="1"/>
  <c r="CL77" i="1"/>
  <c r="FP77" i="1"/>
  <c r="FP22" i="1" s="1"/>
  <c r="FU77" i="1"/>
  <c r="FU22" i="1" s="1"/>
  <c r="GC77" i="1"/>
  <c r="GC22" i="1" s="1"/>
  <c r="GD77" i="1"/>
  <c r="B109" i="1"/>
  <c r="B18" i="1" s="1"/>
  <c r="C109" i="1"/>
  <c r="C18" i="1" s="1"/>
  <c r="D109" i="1"/>
  <c r="D18" i="1" s="1"/>
  <c r="F109" i="1"/>
  <c r="F18" i="1" s="1"/>
  <c r="G109" i="1"/>
  <c r="GX42" i="1" l="1"/>
  <c r="U38" i="1"/>
  <c r="GX71" i="1"/>
  <c r="CS61" i="1"/>
  <c r="R61" i="1" s="1"/>
  <c r="CS59" i="1"/>
  <c r="R59" i="1" s="1"/>
  <c r="CP56" i="1"/>
  <c r="O56" i="1" s="1"/>
  <c r="W52" i="1"/>
  <c r="S52" i="1"/>
  <c r="P52" i="1"/>
  <c r="GX50" i="1"/>
  <c r="AB43" i="1"/>
  <c r="G127" i="6" s="1"/>
  <c r="W42" i="1"/>
  <c r="CQ41" i="1"/>
  <c r="P41" i="1" s="1"/>
  <c r="GX46" i="1"/>
  <c r="S38" i="1"/>
  <c r="S34" i="1"/>
  <c r="W34" i="1"/>
  <c r="AD34" i="1"/>
  <c r="CR34" i="1" s="1"/>
  <c r="CQ33" i="1"/>
  <c r="P33" i="1" s="1"/>
  <c r="GX31" i="1"/>
  <c r="AB30" i="1"/>
  <c r="AD28" i="1"/>
  <c r="CR28" i="1" s="1"/>
  <c r="Q28" i="1" s="1"/>
  <c r="W27" i="1"/>
  <c r="GX26" i="1"/>
  <c r="U26" i="1"/>
  <c r="W26" i="1"/>
  <c r="S26" i="1"/>
  <c r="W24" i="1"/>
  <c r="S24" i="1"/>
  <c r="CY24" i="1" s="1"/>
  <c r="X24" i="1" s="1"/>
  <c r="U24" i="1"/>
  <c r="GK71" i="1"/>
  <c r="X196" i="6"/>
  <c r="K127" i="5"/>
  <c r="CZ66" i="1"/>
  <c r="Y66" i="1" s="1"/>
  <c r="CY66" i="1"/>
  <c r="X66" i="1" s="1"/>
  <c r="GK65" i="1"/>
  <c r="X176" i="6"/>
  <c r="K115" i="5"/>
  <c r="CZ64" i="1"/>
  <c r="Y64" i="1" s="1"/>
  <c r="CY64" i="1"/>
  <c r="X64" i="1" s="1"/>
  <c r="Y139" i="6"/>
  <c r="L97" i="5"/>
  <c r="Q97" i="5" s="1"/>
  <c r="L96" i="5"/>
  <c r="V111" i="6"/>
  <c r="K78" i="5"/>
  <c r="GK39" i="1"/>
  <c r="X109" i="6"/>
  <c r="Y89" i="6"/>
  <c r="L75" i="5"/>
  <c r="Q75" i="5" s="1"/>
  <c r="L71" i="5"/>
  <c r="X72" i="6"/>
  <c r="K57" i="5"/>
  <c r="GK31" i="1"/>
  <c r="Y56" i="6"/>
  <c r="L52" i="5"/>
  <c r="Q52" i="5" s="1"/>
  <c r="L51" i="5"/>
  <c r="AB39" i="1"/>
  <c r="G109" i="6" s="1"/>
  <c r="CR39" i="1"/>
  <c r="Q39" i="1" s="1"/>
  <c r="W109" i="6" s="1"/>
  <c r="Y38" i="6"/>
  <c r="L33" i="5"/>
  <c r="Q33" i="5" s="1"/>
  <c r="L32" i="5"/>
  <c r="G22" i="1"/>
  <c r="C217" i="6"/>
  <c r="A136" i="5"/>
  <c r="CQ75" i="1"/>
  <c r="CQ71" i="1"/>
  <c r="H128" i="5"/>
  <c r="C197" i="6"/>
  <c r="F196" i="6"/>
  <c r="C124" i="5"/>
  <c r="E123" i="5"/>
  <c r="FR77" i="1"/>
  <c r="EI77" i="1" s="1"/>
  <c r="CT69" i="1"/>
  <c r="Y176" i="6"/>
  <c r="L122" i="5"/>
  <c r="Q122" i="5" s="1"/>
  <c r="L119" i="5"/>
  <c r="U176" i="6"/>
  <c r="K116" i="5"/>
  <c r="AD65" i="1"/>
  <c r="H115" i="5"/>
  <c r="R115" i="5" s="1"/>
  <c r="C177" i="6"/>
  <c r="F176" i="6"/>
  <c r="C112" i="5"/>
  <c r="E111" i="5"/>
  <c r="CP63" i="1"/>
  <c r="O63" i="1" s="1"/>
  <c r="U174" i="6"/>
  <c r="H109" i="5"/>
  <c r="W109" i="5" s="1"/>
  <c r="F174" i="6"/>
  <c r="E109" i="5"/>
  <c r="CT61" i="1"/>
  <c r="S61" i="1" s="1"/>
  <c r="V172" i="6" s="1"/>
  <c r="U108" i="5"/>
  <c r="S108" i="5"/>
  <c r="H108" i="5"/>
  <c r="W108" i="5" s="1"/>
  <c r="GK61" i="1"/>
  <c r="X172" i="6"/>
  <c r="S107" i="5"/>
  <c r="U107" i="5"/>
  <c r="V154" i="6"/>
  <c r="K100" i="5"/>
  <c r="AD57" i="1"/>
  <c r="H102" i="5"/>
  <c r="R102" i="5" s="1"/>
  <c r="CY56" i="1"/>
  <c r="X56" i="1" s="1"/>
  <c r="G149" i="6"/>
  <c r="G151" i="6"/>
  <c r="H93" i="5"/>
  <c r="S92" i="5"/>
  <c r="H94" i="5" s="1"/>
  <c r="U92" i="5"/>
  <c r="H95" i="5" s="1"/>
  <c r="CY52" i="1"/>
  <c r="X52" i="1" s="1"/>
  <c r="F135" i="6"/>
  <c r="E89" i="5"/>
  <c r="CT47" i="1"/>
  <c r="CQ47" i="1"/>
  <c r="P47" i="1" s="1"/>
  <c r="U131" i="6" s="1"/>
  <c r="U46" i="1"/>
  <c r="S46" i="1"/>
  <c r="CY46" i="1" s="1"/>
  <c r="X46" i="1" s="1"/>
  <c r="Q46" i="1"/>
  <c r="GX43" i="1"/>
  <c r="F127" i="6"/>
  <c r="E85" i="5"/>
  <c r="U111" i="6"/>
  <c r="K81" i="5"/>
  <c r="C112" i="6"/>
  <c r="F111" i="6"/>
  <c r="C77" i="5"/>
  <c r="E76" i="5"/>
  <c r="H74" i="5"/>
  <c r="W74" i="5" s="1"/>
  <c r="F109" i="6"/>
  <c r="E74" i="5"/>
  <c r="CP37" i="1"/>
  <c r="O37" i="1" s="1"/>
  <c r="U107" i="6"/>
  <c r="H73" i="5"/>
  <c r="W73" i="5" s="1"/>
  <c r="E73" i="5"/>
  <c r="F107" i="6"/>
  <c r="V105" i="6"/>
  <c r="CP35" i="1"/>
  <c r="O35" i="1" s="1"/>
  <c r="U105" i="6"/>
  <c r="H72" i="5"/>
  <c r="W72" i="5" s="1"/>
  <c r="GX34" i="1"/>
  <c r="U34" i="1"/>
  <c r="Q34" i="1"/>
  <c r="K68" i="5"/>
  <c r="U89" i="6"/>
  <c r="CS33" i="1"/>
  <c r="R33" i="1" s="1"/>
  <c r="H67" i="5"/>
  <c r="R67" i="5" s="1"/>
  <c r="CQ31" i="1"/>
  <c r="P31" i="1" s="1"/>
  <c r="H58" i="5"/>
  <c r="C73" i="6"/>
  <c r="F72" i="6"/>
  <c r="C54" i="5"/>
  <c r="E53" i="5"/>
  <c r="CT29" i="1"/>
  <c r="S29" i="1" s="1"/>
  <c r="CY29" i="1" s="1"/>
  <c r="X29" i="1" s="1"/>
  <c r="G69" i="6"/>
  <c r="G67" i="6"/>
  <c r="S43" i="5"/>
  <c r="H49" i="5" s="1"/>
  <c r="H45" i="5"/>
  <c r="U43" i="5"/>
  <c r="H50" i="5" s="1"/>
  <c r="C57" i="6"/>
  <c r="F56" i="6"/>
  <c r="C44" i="5"/>
  <c r="E43" i="5"/>
  <c r="V38" i="6"/>
  <c r="K29" i="5"/>
  <c r="G18" i="1"/>
  <c r="AG224" i="6"/>
  <c r="C224" i="6"/>
  <c r="EG77" i="1"/>
  <c r="AO77" i="1"/>
  <c r="F81" i="1" s="1"/>
  <c r="CT75" i="1"/>
  <c r="CT73" i="1"/>
  <c r="S73" i="1" s="1"/>
  <c r="V212" i="6" s="1"/>
  <c r="AD73" i="1"/>
  <c r="GX72" i="1"/>
  <c r="W72" i="1"/>
  <c r="S72" i="1"/>
  <c r="P72" i="1"/>
  <c r="U71" i="1"/>
  <c r="CT71" i="1"/>
  <c r="G207" i="6"/>
  <c r="G209" i="6"/>
  <c r="S123" i="5"/>
  <c r="H125" i="5"/>
  <c r="U123" i="5"/>
  <c r="AD71" i="1"/>
  <c r="GX70" i="1"/>
  <c r="W70" i="1"/>
  <c r="S70" i="1"/>
  <c r="P70" i="1"/>
  <c r="I69" i="1"/>
  <c r="T69" i="1" s="1"/>
  <c r="CS68" i="1"/>
  <c r="R68" i="1" s="1"/>
  <c r="GK68" i="1" s="1"/>
  <c r="CS67" i="1"/>
  <c r="W65" i="1"/>
  <c r="CT65" i="1"/>
  <c r="S65" i="1" s="1"/>
  <c r="CZ65" i="1" s="1"/>
  <c r="Y65" i="1" s="1"/>
  <c r="G189" i="6"/>
  <c r="G187" i="6"/>
  <c r="S111" i="5"/>
  <c r="H113" i="5"/>
  <c r="U111" i="5"/>
  <c r="H116" i="5"/>
  <c r="W63" i="1"/>
  <c r="CS63" i="1"/>
  <c r="R63" i="1" s="1"/>
  <c r="CY63" i="1" s="1"/>
  <c r="X63" i="1" s="1"/>
  <c r="U63" i="1"/>
  <c r="Y174" i="6" s="1"/>
  <c r="U109" i="5"/>
  <c r="S109" i="5"/>
  <c r="GX62" i="1"/>
  <c r="T62" i="1"/>
  <c r="V62" i="1"/>
  <c r="R62" i="1"/>
  <c r="CZ62" i="1" s="1"/>
  <c r="Y62" i="1" s="1"/>
  <c r="CQ61" i="1"/>
  <c r="P61" i="1" s="1"/>
  <c r="U172" i="6" s="1"/>
  <c r="AB61" i="1"/>
  <c r="G172" i="6" s="1"/>
  <c r="F172" i="6"/>
  <c r="E108" i="5"/>
  <c r="V60" i="1"/>
  <c r="T60" i="1"/>
  <c r="Q60" i="1"/>
  <c r="CP60" i="1" s="1"/>
  <c r="O60" i="1" s="1"/>
  <c r="AB60" i="1"/>
  <c r="CT59" i="1"/>
  <c r="S59" i="1" s="1"/>
  <c r="V170" i="6" s="1"/>
  <c r="U170" i="6"/>
  <c r="H107" i="5"/>
  <c r="W107" i="5" s="1"/>
  <c r="F170" i="6"/>
  <c r="E107" i="5"/>
  <c r="CY58" i="1"/>
  <c r="X58" i="1" s="1"/>
  <c r="CZ58" i="1"/>
  <c r="Y58" i="1" s="1"/>
  <c r="Y154" i="6"/>
  <c r="L106" i="5"/>
  <c r="L110" i="5"/>
  <c r="Q110" i="5" s="1"/>
  <c r="CS57" i="1"/>
  <c r="R57" i="1" s="1"/>
  <c r="CY57" i="1" s="1"/>
  <c r="X57" i="1" s="1"/>
  <c r="G167" i="6"/>
  <c r="G165" i="6"/>
  <c r="S98" i="5"/>
  <c r="H100" i="5"/>
  <c r="R100" i="5" s="1"/>
  <c r="U98" i="5"/>
  <c r="CQ57" i="1"/>
  <c r="P57" i="1" s="1"/>
  <c r="H103" i="5"/>
  <c r="C155" i="6"/>
  <c r="F154" i="6"/>
  <c r="C99" i="5"/>
  <c r="E98" i="5"/>
  <c r="CT55" i="1"/>
  <c r="S55" i="1" s="1"/>
  <c r="CT53" i="1"/>
  <c r="I53" i="1"/>
  <c r="W53" i="1" s="1"/>
  <c r="T52" i="1"/>
  <c r="V52" i="1"/>
  <c r="Q52" i="1"/>
  <c r="CP52" i="1" s="1"/>
  <c r="O52" i="1" s="1"/>
  <c r="GX51" i="1"/>
  <c r="U51" i="1"/>
  <c r="Y135" i="6" s="1"/>
  <c r="CT51" i="1"/>
  <c r="S51" i="1" s="1"/>
  <c r="V135" i="6" s="1"/>
  <c r="S89" i="5"/>
  <c r="U89" i="5"/>
  <c r="CQ51" i="1"/>
  <c r="H89" i="5"/>
  <c r="W89" i="5" s="1"/>
  <c r="S50" i="1"/>
  <c r="W50" i="1"/>
  <c r="I48" i="1"/>
  <c r="T48" i="1" s="1"/>
  <c r="I47" i="1"/>
  <c r="S47" i="1" s="1"/>
  <c r="V131" i="6" s="1"/>
  <c r="R46" i="1"/>
  <c r="GK46" i="1" s="1"/>
  <c r="AD45" i="1"/>
  <c r="CR45" i="1" s="1"/>
  <c r="GX44" i="1"/>
  <c r="V44" i="1"/>
  <c r="R44" i="1"/>
  <c r="GK44" i="1" s="1"/>
  <c r="CT43" i="1"/>
  <c r="S85" i="5"/>
  <c r="U85" i="5"/>
  <c r="CQ43" i="1"/>
  <c r="H85" i="5"/>
  <c r="W85" i="5" s="1"/>
  <c r="U42" i="1"/>
  <c r="S42" i="1"/>
  <c r="CY42" i="1" s="1"/>
  <c r="X42" i="1" s="1"/>
  <c r="GX41" i="1"/>
  <c r="CS41" i="1"/>
  <c r="R41" i="1" s="1"/>
  <c r="U41" i="1"/>
  <c r="G124" i="6"/>
  <c r="G122" i="6"/>
  <c r="H78" i="5"/>
  <c r="R78" i="5" s="1"/>
  <c r="U76" i="5"/>
  <c r="S76" i="5"/>
  <c r="AD41" i="1"/>
  <c r="GX40" i="1"/>
  <c r="V40" i="1"/>
  <c r="GX39" i="1"/>
  <c r="U39" i="1"/>
  <c r="Y109" i="6" s="1"/>
  <c r="CT39" i="1"/>
  <c r="S39" i="1" s="1"/>
  <c r="V109" i="6" s="1"/>
  <c r="U74" i="5"/>
  <c r="S74" i="5"/>
  <c r="CS38" i="1"/>
  <c r="W38" i="1"/>
  <c r="AB38" i="1"/>
  <c r="W37" i="1"/>
  <c r="CS37" i="1"/>
  <c r="R37" i="1" s="1"/>
  <c r="U73" i="5"/>
  <c r="S73" i="5"/>
  <c r="I36" i="1"/>
  <c r="S36" i="1" s="1"/>
  <c r="CS35" i="1"/>
  <c r="R35" i="1" s="1"/>
  <c r="U72" i="5"/>
  <c r="S72" i="5"/>
  <c r="F105" i="6"/>
  <c r="E72" i="5"/>
  <c r="P34" i="1"/>
  <c r="CP34" i="1" s="1"/>
  <c r="O34" i="1" s="1"/>
  <c r="V34" i="1"/>
  <c r="T34" i="1"/>
  <c r="R34" i="1"/>
  <c r="GK34" i="1" s="1"/>
  <c r="CT33" i="1"/>
  <c r="S33" i="1" s="1"/>
  <c r="G102" i="6"/>
  <c r="S63" i="5"/>
  <c r="G100" i="6"/>
  <c r="H65" i="5"/>
  <c r="R65" i="5" s="1"/>
  <c r="U63" i="5"/>
  <c r="AD33" i="1"/>
  <c r="C64" i="5"/>
  <c r="C90" i="6"/>
  <c r="F89" i="6"/>
  <c r="E63" i="5"/>
  <c r="W32" i="1"/>
  <c r="U32" i="1"/>
  <c r="AD32" i="1"/>
  <c r="CR32" i="1" s="1"/>
  <c r="Q32" i="1" s="1"/>
  <c r="S31" i="1"/>
  <c r="CZ31" i="1" s="1"/>
  <c r="Y31" i="1" s="1"/>
  <c r="W31" i="1"/>
  <c r="U31" i="1"/>
  <c r="G84" i="6"/>
  <c r="G86" i="6"/>
  <c r="H55" i="5"/>
  <c r="U53" i="5"/>
  <c r="H60" i="5" s="1"/>
  <c r="S53" i="5"/>
  <c r="H59" i="5" s="1"/>
  <c r="AD31" i="1"/>
  <c r="U30" i="1"/>
  <c r="P30" i="1"/>
  <c r="GX29" i="1"/>
  <c r="CQ29" i="1"/>
  <c r="P29" i="1" s="1"/>
  <c r="V29" i="1"/>
  <c r="Z56" i="6" s="1"/>
  <c r="CS29" i="1"/>
  <c r="R29" i="1" s="1"/>
  <c r="H47" i="5"/>
  <c r="R47" i="5" s="1"/>
  <c r="GX28" i="1"/>
  <c r="P28" i="1"/>
  <c r="CP28" i="1" s="1"/>
  <c r="O28" i="1" s="1"/>
  <c r="V28" i="1"/>
  <c r="R28" i="1"/>
  <c r="GK28" i="1" s="1"/>
  <c r="CT27" i="1"/>
  <c r="S27" i="1" s="1"/>
  <c r="CY27" i="1" s="1"/>
  <c r="X27" i="1" s="1"/>
  <c r="G53" i="6"/>
  <c r="G54" i="6"/>
  <c r="S34" i="5"/>
  <c r="H39" i="5" s="1"/>
  <c r="H36" i="5"/>
  <c r="U34" i="5"/>
  <c r="H40" i="5" s="1"/>
  <c r="AD27" i="1"/>
  <c r="AB27" i="1" s="1"/>
  <c r="G47" i="6" s="1"/>
  <c r="R27" i="1"/>
  <c r="C48" i="6"/>
  <c r="F47" i="6"/>
  <c r="C35" i="5"/>
  <c r="E34" i="5"/>
  <c r="CZ25" i="1"/>
  <c r="Y25" i="1" s="1"/>
  <c r="CS25" i="1"/>
  <c r="R25" i="1" s="1"/>
  <c r="CY25" i="1" s="1"/>
  <c r="X25" i="1" s="1"/>
  <c r="G45" i="6"/>
  <c r="G44" i="6"/>
  <c r="S27" i="5"/>
  <c r="H30" i="5" s="1"/>
  <c r="H29" i="5"/>
  <c r="U27" i="5"/>
  <c r="H31" i="5" s="1"/>
  <c r="CX2" i="3"/>
  <c r="C39" i="6"/>
  <c r="F38" i="6"/>
  <c r="C28" i="5"/>
  <c r="E27" i="5"/>
  <c r="CZ24" i="1"/>
  <c r="Y24" i="1" s="1"/>
  <c r="AD24" i="1"/>
  <c r="CR24" i="1" s="1"/>
  <c r="Q24" i="1" s="1"/>
  <c r="CP24" i="1" s="1"/>
  <c r="O24" i="1" s="1"/>
  <c r="FR22" i="1"/>
  <c r="FY77" i="1"/>
  <c r="CG22" i="1"/>
  <c r="AX77" i="1"/>
  <c r="FQ22" i="1"/>
  <c r="GA77" i="1"/>
  <c r="ET77" i="1"/>
  <c r="EL77" i="1"/>
  <c r="CX122" i="3"/>
  <c r="CX126" i="3"/>
  <c r="CX130" i="3"/>
  <c r="CX123" i="3"/>
  <c r="CX127" i="3"/>
  <c r="CX124" i="3"/>
  <c r="CX128" i="3"/>
  <c r="CX125" i="3"/>
  <c r="CX129" i="3"/>
  <c r="I73" i="1"/>
  <c r="GX73" i="1" s="1"/>
  <c r="BY22" i="1"/>
  <c r="CI77" i="1"/>
  <c r="AP77" i="1"/>
  <c r="I75" i="1"/>
  <c r="AB74" i="1"/>
  <c r="W71" i="1"/>
  <c r="S71" i="1"/>
  <c r="AB71" i="1"/>
  <c r="G196" i="6" s="1"/>
  <c r="AD70" i="1"/>
  <c r="CS70" i="1"/>
  <c r="R70" i="1" s="1"/>
  <c r="GK70" i="1" s="1"/>
  <c r="W69" i="1"/>
  <c r="CZ63" i="1"/>
  <c r="Y63" i="1" s="1"/>
  <c r="CL22" i="1"/>
  <c r="BC77" i="1"/>
  <c r="CD22" i="1"/>
  <c r="AU77" i="1"/>
  <c r="AO22" i="1"/>
  <c r="T75" i="1"/>
  <c r="AD72" i="1"/>
  <c r="CS72" i="1"/>
  <c r="R72" i="1" s="1"/>
  <c r="CQ68" i="1"/>
  <c r="P68" i="1" s="1"/>
  <c r="CP68" i="1" s="1"/>
  <c r="O68" i="1" s="1"/>
  <c r="AB68" i="1"/>
  <c r="EH77" i="1"/>
  <c r="GD22" i="1"/>
  <c r="EU77" i="1"/>
  <c r="EG22" i="1"/>
  <c r="P81" i="1"/>
  <c r="EG109" i="1"/>
  <c r="BB77" i="1"/>
  <c r="AT77" i="1"/>
  <c r="AB75" i="1"/>
  <c r="G214" i="6" s="1"/>
  <c r="U73" i="1"/>
  <c r="Y212" i="6" s="1"/>
  <c r="CR73" i="1"/>
  <c r="AB73" i="1"/>
  <c r="G212" i="6" s="1"/>
  <c r="CR69" i="1"/>
  <c r="AB69" i="1"/>
  <c r="G194" i="6" s="1"/>
  <c r="CY68" i="1"/>
  <c r="X68" i="1" s="1"/>
  <c r="FV22" i="1"/>
  <c r="EM77" i="1"/>
  <c r="AO109" i="1"/>
  <c r="BZ22" i="1"/>
  <c r="AQ77" i="1"/>
  <c r="P71" i="1"/>
  <c r="CY59" i="1"/>
  <c r="X59" i="1" s="1"/>
  <c r="CY54" i="1"/>
  <c r="X54" i="1" s="1"/>
  <c r="CP54" i="1"/>
  <c r="O54" i="1" s="1"/>
  <c r="CZ54" i="1"/>
  <c r="Y54" i="1" s="1"/>
  <c r="CZ68" i="1"/>
  <c r="Y68" i="1" s="1"/>
  <c r="CZ52" i="1"/>
  <c r="Y52" i="1" s="1"/>
  <c r="AB52" i="1"/>
  <c r="R51" i="1"/>
  <c r="U47" i="1"/>
  <c r="Y131" i="6" s="1"/>
  <c r="CX114" i="3"/>
  <c r="CX118" i="3"/>
  <c r="CX115" i="3"/>
  <c r="CX119" i="3"/>
  <c r="CX116" i="3"/>
  <c r="CX120" i="3"/>
  <c r="CX113" i="3"/>
  <c r="CX117" i="3"/>
  <c r="CX121" i="3"/>
  <c r="CP66" i="1"/>
  <c r="O66" i="1" s="1"/>
  <c r="AB65" i="1"/>
  <c r="G176" i="6" s="1"/>
  <c r="CP64" i="1"/>
  <c r="O64" i="1" s="1"/>
  <c r="CZ60" i="1"/>
  <c r="Y60" i="1" s="1"/>
  <c r="CY60" i="1"/>
  <c r="X60" i="1" s="1"/>
  <c r="CZ56" i="1"/>
  <c r="Y56" i="1" s="1"/>
  <c r="AB56" i="1"/>
  <c r="CQ55" i="1"/>
  <c r="P55" i="1" s="1"/>
  <c r="U139" i="6" s="1"/>
  <c r="AB54" i="1"/>
  <c r="W51" i="1"/>
  <c r="AB50" i="1"/>
  <c r="CQ50" i="1"/>
  <c r="P50" i="1" s="1"/>
  <c r="CZ42" i="1"/>
  <c r="Y42" i="1" s="1"/>
  <c r="CS49" i="1"/>
  <c r="AD49" i="1"/>
  <c r="CR49" i="1" s="1"/>
  <c r="CS48" i="1"/>
  <c r="R48" i="1" s="1"/>
  <c r="AD48" i="1"/>
  <c r="AD47" i="1"/>
  <c r="CS47" i="1"/>
  <c r="CZ46" i="1"/>
  <c r="Y46" i="1" s="1"/>
  <c r="I74" i="1"/>
  <c r="T74" i="1" s="1"/>
  <c r="U68" i="1"/>
  <c r="T68" i="1"/>
  <c r="AB67" i="1"/>
  <c r="G192" i="6" s="1"/>
  <c r="AB66" i="1"/>
  <c r="CX106" i="3"/>
  <c r="CX110" i="3"/>
  <c r="CX107" i="3"/>
  <c r="CX111" i="3"/>
  <c r="CX104" i="3"/>
  <c r="CX108" i="3"/>
  <c r="CX112" i="3"/>
  <c r="CX105" i="3"/>
  <c r="CX109" i="3"/>
  <c r="I67" i="1"/>
  <c r="AB64" i="1"/>
  <c r="AB63" i="1"/>
  <c r="G174" i="6" s="1"/>
  <c r="AD62" i="1"/>
  <c r="CR62" i="1" s="1"/>
  <c r="Q62" i="1" s="1"/>
  <c r="CP62" i="1" s="1"/>
  <c r="O62" i="1" s="1"/>
  <c r="T61" i="1"/>
  <c r="W61" i="1"/>
  <c r="U60" i="1"/>
  <c r="AB59" i="1"/>
  <c r="G170" i="6" s="1"/>
  <c r="AD58" i="1"/>
  <c r="CR58" i="1" s="1"/>
  <c r="Q58" i="1" s="1"/>
  <c r="CP58" i="1" s="1"/>
  <c r="O58" i="1" s="1"/>
  <c r="CZ50" i="1"/>
  <c r="Y50" i="1" s="1"/>
  <c r="CY50" i="1"/>
  <c r="X50" i="1" s="1"/>
  <c r="CX98" i="3"/>
  <c r="CX102" i="3"/>
  <c r="CX95" i="3"/>
  <c r="CX99" i="3"/>
  <c r="CX103" i="3"/>
  <c r="CX96" i="3"/>
  <c r="CX100" i="3"/>
  <c r="CX97" i="3"/>
  <c r="CX101" i="3"/>
  <c r="AD55" i="1"/>
  <c r="CR55" i="1" s="1"/>
  <c r="Q55" i="1" s="1"/>
  <c r="W139" i="6" s="1"/>
  <c r="T51" i="1"/>
  <c r="AB51" i="1"/>
  <c r="G135" i="6" s="1"/>
  <c r="U50" i="1"/>
  <c r="Q50" i="1"/>
  <c r="W47" i="1"/>
  <c r="CQ45" i="1"/>
  <c r="W43" i="1"/>
  <c r="S43" i="1"/>
  <c r="V127" i="6" s="1"/>
  <c r="CY40" i="1"/>
  <c r="X40" i="1" s="1"/>
  <c r="CZ40" i="1"/>
  <c r="Y40" i="1" s="1"/>
  <c r="T38" i="1"/>
  <c r="AD36" i="1"/>
  <c r="CS36" i="1"/>
  <c r="AB35" i="1"/>
  <c r="G105" i="6" s="1"/>
  <c r="CY34" i="1"/>
  <c r="X34" i="1" s="1"/>
  <c r="AB34" i="1"/>
  <c r="CZ32" i="1"/>
  <c r="Y32" i="1" s="1"/>
  <c r="CY32" i="1"/>
  <c r="X32" i="1" s="1"/>
  <c r="CQ40" i="1"/>
  <c r="P40" i="1" s="1"/>
  <c r="CP40" i="1" s="1"/>
  <c r="O40" i="1" s="1"/>
  <c r="AB40" i="1"/>
  <c r="CY31" i="1"/>
  <c r="X31" i="1" s="1"/>
  <c r="T46" i="1"/>
  <c r="P46" i="1"/>
  <c r="CZ44" i="1"/>
  <c r="Y44" i="1" s="1"/>
  <c r="AD44" i="1"/>
  <c r="CS43" i="1"/>
  <c r="R43" i="1" s="1"/>
  <c r="X127" i="6" s="1"/>
  <c r="P43" i="1"/>
  <c r="U127" i="6" s="1"/>
  <c r="T42" i="1"/>
  <c r="P42" i="1"/>
  <c r="AB41" i="1"/>
  <c r="G111" i="6" s="1"/>
  <c r="GX38" i="1"/>
  <c r="R38" i="1"/>
  <c r="GK38" i="1" s="1"/>
  <c r="CX86" i="3"/>
  <c r="CX90" i="3"/>
  <c r="CX94" i="3"/>
  <c r="CX87" i="3"/>
  <c r="CX91" i="3"/>
  <c r="CX88" i="3"/>
  <c r="CX92" i="3"/>
  <c r="CX89" i="3"/>
  <c r="CX93" i="3"/>
  <c r="CX78" i="3"/>
  <c r="CX82" i="3"/>
  <c r="CX79" i="3"/>
  <c r="CX83" i="3"/>
  <c r="CX80" i="3"/>
  <c r="CX84" i="3"/>
  <c r="CX77" i="3"/>
  <c r="CX81" i="3"/>
  <c r="CX85" i="3"/>
  <c r="AB53" i="1"/>
  <c r="G137" i="6" s="1"/>
  <c r="P51" i="1"/>
  <c r="AB49" i="1"/>
  <c r="G133" i="6" s="1"/>
  <c r="T47" i="1"/>
  <c r="AB46" i="1"/>
  <c r="CY44" i="1"/>
  <c r="X44" i="1" s="1"/>
  <c r="CR43" i="1"/>
  <c r="Q43" i="1" s="1"/>
  <c r="W127" i="6" s="1"/>
  <c r="T43" i="1"/>
  <c r="AB42" i="1"/>
  <c r="V38" i="1"/>
  <c r="Q38" i="1"/>
  <c r="GK37" i="1"/>
  <c r="AB37" i="1"/>
  <c r="G107" i="6" s="1"/>
  <c r="CZ27" i="1"/>
  <c r="Y27" i="1" s="1"/>
  <c r="CZ41" i="1"/>
  <c r="Y41" i="1" s="1"/>
  <c r="CX66" i="3"/>
  <c r="CX70" i="3"/>
  <c r="CX74" i="3"/>
  <c r="CX63" i="3"/>
  <c r="CX67" i="3"/>
  <c r="CX71" i="3"/>
  <c r="CX64" i="3"/>
  <c r="CX68" i="3"/>
  <c r="CX72" i="3"/>
  <c r="CX65" i="3"/>
  <c r="CX69" i="3"/>
  <c r="CX73" i="3"/>
  <c r="CX54" i="3"/>
  <c r="CX58" i="3"/>
  <c r="CX62" i="3"/>
  <c r="CX51" i="3"/>
  <c r="CX55" i="3"/>
  <c r="CX59" i="3"/>
  <c r="CX52" i="3"/>
  <c r="CX56" i="3"/>
  <c r="CX60" i="3"/>
  <c r="CX53" i="3"/>
  <c r="CX57" i="3"/>
  <c r="CX61" i="3"/>
  <c r="P38" i="1"/>
  <c r="CP38" i="1" s="1"/>
  <c r="O38" i="1" s="1"/>
  <c r="CZ29" i="1"/>
  <c r="Y29" i="1" s="1"/>
  <c r="U27" i="1"/>
  <c r="P26" i="1"/>
  <c r="T27" i="1"/>
  <c r="P27" i="1"/>
  <c r="U47" i="6" s="1"/>
  <c r="CX3" i="3"/>
  <c r="CX4" i="3"/>
  <c r="CX5" i="3"/>
  <c r="CX6" i="3"/>
  <c r="CX7" i="3"/>
  <c r="CX8" i="3"/>
  <c r="CY26" i="1"/>
  <c r="X26" i="1" s="1"/>
  <c r="CZ26" i="1"/>
  <c r="Y26" i="1" s="1"/>
  <c r="V26" i="1"/>
  <c r="I49" i="1"/>
  <c r="I45" i="1"/>
  <c r="CY41" i="1"/>
  <c r="X41" i="1" s="1"/>
  <c r="T40" i="1"/>
  <c r="W39" i="1"/>
  <c r="CZ37" i="1"/>
  <c r="Y37" i="1" s="1"/>
  <c r="CQ32" i="1"/>
  <c r="P32" i="1" s="1"/>
  <c r="CP32" i="1" s="1"/>
  <c r="O32" i="1" s="1"/>
  <c r="CR30" i="1"/>
  <c r="Q30" i="1" s="1"/>
  <c r="CX26" i="3"/>
  <c r="CX23" i="3"/>
  <c r="CX27" i="3"/>
  <c r="CX24" i="3"/>
  <c r="CX28" i="3"/>
  <c r="CX25" i="3"/>
  <c r="AD29" i="1"/>
  <c r="H46" i="5" s="1"/>
  <c r="GX27" i="1"/>
  <c r="AB26" i="1"/>
  <c r="CR26" i="1"/>
  <c r="Q26" i="1" s="1"/>
  <c r="CQ25" i="1"/>
  <c r="P25" i="1" s="1"/>
  <c r="U38" i="6" s="1"/>
  <c r="AB25" i="1"/>
  <c r="G38" i="6" s="1"/>
  <c r="CX30" i="3"/>
  <c r="CX34" i="3"/>
  <c r="CX31" i="3"/>
  <c r="CX32" i="3"/>
  <c r="CX29" i="3"/>
  <c r="CX33" i="3"/>
  <c r="W30" i="1"/>
  <c r="S30" i="1"/>
  <c r="AB28" i="1"/>
  <c r="T26" i="1"/>
  <c r="CX46" i="3"/>
  <c r="CX50" i="3"/>
  <c r="CX43" i="3"/>
  <c r="CX47" i="3"/>
  <c r="CX44" i="3"/>
  <c r="CX48" i="3"/>
  <c r="CX45" i="3"/>
  <c r="CX49" i="3"/>
  <c r="CX18" i="3"/>
  <c r="CX22" i="3"/>
  <c r="CX19" i="3"/>
  <c r="CX16" i="3"/>
  <c r="CX20" i="3"/>
  <c r="CX17" i="3"/>
  <c r="CX21" i="3"/>
  <c r="CX38" i="3"/>
  <c r="CX42" i="3"/>
  <c r="CX35" i="3"/>
  <c r="CX39" i="3"/>
  <c r="CX36" i="3"/>
  <c r="CX40" i="3"/>
  <c r="CX37" i="3"/>
  <c r="CX41" i="3"/>
  <c r="CX10" i="3"/>
  <c r="CX14" i="3"/>
  <c r="CX11" i="3"/>
  <c r="CX15" i="3"/>
  <c r="CX12" i="3"/>
  <c r="CX9" i="3"/>
  <c r="CX13" i="3"/>
  <c r="V53" i="1" l="1"/>
  <c r="Z137" i="6" s="1"/>
  <c r="V69" i="1"/>
  <c r="Z194" i="6" s="1"/>
  <c r="P36" i="1"/>
  <c r="H86" i="5"/>
  <c r="W86" i="5" s="1"/>
  <c r="CP42" i="1"/>
  <c r="O42" i="1" s="1"/>
  <c r="CP46" i="1"/>
  <c r="O46" i="1" s="1"/>
  <c r="R36" i="1"/>
  <c r="R47" i="1"/>
  <c r="GM56" i="1"/>
  <c r="CZ59" i="1"/>
  <c r="Y59" i="1" s="1"/>
  <c r="Q69" i="1"/>
  <c r="W194" i="6" s="1"/>
  <c r="S69" i="1"/>
  <c r="V194" i="6" s="1"/>
  <c r="GX69" i="1"/>
  <c r="P69" i="1"/>
  <c r="U194" i="6" s="1"/>
  <c r="H90" i="5"/>
  <c r="W90" i="5" s="1"/>
  <c r="S53" i="1"/>
  <c r="V137" i="6" s="1"/>
  <c r="H105" i="5"/>
  <c r="H121" i="5"/>
  <c r="W121" i="5" s="1"/>
  <c r="X170" i="6"/>
  <c r="GK59" i="1"/>
  <c r="H104" i="5"/>
  <c r="H69" i="5"/>
  <c r="CY36" i="1"/>
  <c r="X36" i="1" s="1"/>
  <c r="CZ36" i="1"/>
  <c r="Y36" i="1" s="1"/>
  <c r="GM24" i="1"/>
  <c r="GN24" i="1"/>
  <c r="H44" i="6"/>
  <c r="AA38" i="6"/>
  <c r="T27" i="5"/>
  <c r="K30" i="5" s="1"/>
  <c r="AB107" i="6"/>
  <c r="V73" i="5"/>
  <c r="H122" i="6"/>
  <c r="AA111" i="6"/>
  <c r="T76" i="5"/>
  <c r="S49" i="1"/>
  <c r="V133" i="6" s="1"/>
  <c r="F133" i="6"/>
  <c r="E88" i="5"/>
  <c r="Y47" i="6"/>
  <c r="L42" i="5"/>
  <c r="Q42" i="5" s="1"/>
  <c r="L41" i="5"/>
  <c r="AA47" i="6"/>
  <c r="H53" i="6"/>
  <c r="T34" i="5"/>
  <c r="K39" i="5" s="1"/>
  <c r="CP39" i="1"/>
  <c r="O39" i="1" s="1"/>
  <c r="CP51" i="1"/>
  <c r="O51" i="1" s="1"/>
  <c r="U135" i="6"/>
  <c r="H86" i="6"/>
  <c r="AB72" i="6"/>
  <c r="V53" i="5"/>
  <c r="K60" i="5" s="1"/>
  <c r="W49" i="1"/>
  <c r="H165" i="6"/>
  <c r="AA154" i="6"/>
  <c r="T98" i="5"/>
  <c r="S67" i="1"/>
  <c r="V192" i="6" s="1"/>
  <c r="F192" i="6"/>
  <c r="E120" i="5"/>
  <c r="AB176" i="6"/>
  <c r="H189" i="6"/>
  <c r="V111" i="5"/>
  <c r="GK47" i="1"/>
  <c r="X131" i="6"/>
  <c r="V49" i="1"/>
  <c r="Z133" i="6" s="1"/>
  <c r="CP61" i="1"/>
  <c r="O61" i="1" s="1"/>
  <c r="GK51" i="1"/>
  <c r="X135" i="6"/>
  <c r="GN52" i="1"/>
  <c r="AB170" i="6"/>
  <c r="V107" i="5"/>
  <c r="GX74" i="1"/>
  <c r="AB174" i="6"/>
  <c r="V109" i="5"/>
  <c r="CZ70" i="1"/>
  <c r="Y70" i="1" s="1"/>
  <c r="V196" i="6"/>
  <c r="K125" i="5"/>
  <c r="W75" i="1"/>
  <c r="F214" i="6"/>
  <c r="E133" i="5"/>
  <c r="P73" i="1"/>
  <c r="U212" i="6" s="1"/>
  <c r="F212" i="6"/>
  <c r="E132" i="5"/>
  <c r="S74" i="1"/>
  <c r="R29" i="5"/>
  <c r="G33" i="5"/>
  <c r="O33" i="5" s="1"/>
  <c r="W33" i="5"/>
  <c r="G46" i="6"/>
  <c r="AB38" i="6"/>
  <c r="H45" i="6"/>
  <c r="V27" i="5"/>
  <c r="K31" i="5" s="1"/>
  <c r="CR27" i="1"/>
  <c r="Q27" i="1" s="1"/>
  <c r="H37" i="5"/>
  <c r="W42" i="5" s="1"/>
  <c r="R36" i="5"/>
  <c r="GK29" i="1"/>
  <c r="X56" i="6"/>
  <c r="K47" i="5"/>
  <c r="U56" i="6"/>
  <c r="K48" i="5"/>
  <c r="CR31" i="1"/>
  <c r="Q31" i="1" s="1"/>
  <c r="H56" i="5"/>
  <c r="Y72" i="6"/>
  <c r="L62" i="5"/>
  <c r="Q62" i="5" s="1"/>
  <c r="L61" i="5"/>
  <c r="V72" i="6"/>
  <c r="K55" i="5"/>
  <c r="AB33" i="1"/>
  <c r="H66" i="5"/>
  <c r="CR33" i="1"/>
  <c r="Q33" i="1" s="1"/>
  <c r="X105" i="6"/>
  <c r="GK35" i="1"/>
  <c r="V36" i="1"/>
  <c r="CY37" i="1"/>
  <c r="X37" i="1" s="1"/>
  <c r="X107" i="6"/>
  <c r="CR41" i="1"/>
  <c r="Q41" i="1" s="1"/>
  <c r="H79" i="5"/>
  <c r="G126" i="6"/>
  <c r="X111" i="6"/>
  <c r="K80" i="5"/>
  <c r="GK41" i="1"/>
  <c r="S86" i="5"/>
  <c r="GX47" i="1"/>
  <c r="F131" i="6"/>
  <c r="E87" i="5"/>
  <c r="U48" i="1"/>
  <c r="H88" i="5"/>
  <c r="W88" i="5" s="1"/>
  <c r="S88" i="5"/>
  <c r="GK57" i="1"/>
  <c r="X154" i="6"/>
  <c r="K102" i="5"/>
  <c r="CZ57" i="1"/>
  <c r="Y57" i="1" s="1"/>
  <c r="X174" i="6"/>
  <c r="GK63" i="1"/>
  <c r="GN63" i="1" s="1"/>
  <c r="R113" i="5"/>
  <c r="G191" i="6"/>
  <c r="U120" i="5"/>
  <c r="S132" i="5"/>
  <c r="U133" i="5"/>
  <c r="AB24" i="1"/>
  <c r="V56" i="6"/>
  <c r="K45" i="5"/>
  <c r="U72" i="6"/>
  <c r="K58" i="5"/>
  <c r="W36" i="1"/>
  <c r="T107" i="6"/>
  <c r="H107" i="6"/>
  <c r="K73" i="5"/>
  <c r="S87" i="5"/>
  <c r="V48" i="1"/>
  <c r="S90" i="5"/>
  <c r="Q53" i="1"/>
  <c r="W137" i="6" s="1"/>
  <c r="GX53" i="1"/>
  <c r="S121" i="5"/>
  <c r="H133" i="5"/>
  <c r="W133" i="5" s="1"/>
  <c r="CZ34" i="1"/>
  <c r="Y34" i="1" s="1"/>
  <c r="GN34" i="1" s="1"/>
  <c r="P48" i="1"/>
  <c r="CP30" i="1"/>
  <c r="O30" i="1" s="1"/>
  <c r="S45" i="1"/>
  <c r="V129" i="6" s="1"/>
  <c r="F129" i="6"/>
  <c r="E86" i="5"/>
  <c r="H67" i="6"/>
  <c r="AA56" i="6"/>
  <c r="T43" i="5"/>
  <c r="K49" i="5" s="1"/>
  <c r="AB56" i="6"/>
  <c r="H69" i="6"/>
  <c r="V43" i="5"/>
  <c r="K50" i="5" s="1"/>
  <c r="AB111" i="6"/>
  <c r="H124" i="6"/>
  <c r="V76" i="5"/>
  <c r="H54" i="6"/>
  <c r="AB47" i="6"/>
  <c r="V34" i="5"/>
  <c r="K40" i="5" s="1"/>
  <c r="AA72" i="6"/>
  <c r="H84" i="6"/>
  <c r="T53" i="5"/>
  <c r="K59" i="5" s="1"/>
  <c r="R49" i="1"/>
  <c r="T49" i="1"/>
  <c r="GM60" i="1"/>
  <c r="P49" i="1"/>
  <c r="U133" i="6" s="1"/>
  <c r="AA170" i="6"/>
  <c r="T107" i="5"/>
  <c r="U196" i="6"/>
  <c r="K128" i="5"/>
  <c r="U74" i="1"/>
  <c r="GM63" i="1"/>
  <c r="Q73" i="1"/>
  <c r="W212" i="6" s="1"/>
  <c r="V74" i="1"/>
  <c r="AI77" i="1" s="1"/>
  <c r="R73" i="1"/>
  <c r="P75" i="1"/>
  <c r="U214" i="6" s="1"/>
  <c r="AA174" i="6"/>
  <c r="T109" i="5"/>
  <c r="CY70" i="1"/>
  <c r="X70" i="1" s="1"/>
  <c r="GK25" i="1"/>
  <c r="X38" i="6"/>
  <c r="GK27" i="1"/>
  <c r="X47" i="6"/>
  <c r="K38" i="5"/>
  <c r="G55" i="6"/>
  <c r="V47" i="6"/>
  <c r="K36" i="5"/>
  <c r="CY28" i="1"/>
  <c r="X28" i="1" s="1"/>
  <c r="W62" i="5"/>
  <c r="G62" i="5"/>
  <c r="O62" i="5" s="1"/>
  <c r="R55" i="5"/>
  <c r="AB31" i="1"/>
  <c r="H70" i="5"/>
  <c r="G75" i="5" s="1"/>
  <c r="O75" i="5" s="1"/>
  <c r="CY33" i="1"/>
  <c r="X33" i="1" s="1"/>
  <c r="V89" i="6"/>
  <c r="K65" i="5"/>
  <c r="CZ33" i="1"/>
  <c r="Y33" i="1" s="1"/>
  <c r="CY35" i="1"/>
  <c r="X35" i="1" s="1"/>
  <c r="T36" i="1"/>
  <c r="GX36" i="1"/>
  <c r="H82" i="5"/>
  <c r="Y111" i="6"/>
  <c r="L91" i="5"/>
  <c r="Q91" i="5" s="1"/>
  <c r="L84" i="5"/>
  <c r="U86" i="5"/>
  <c r="V47" i="1"/>
  <c r="Z131" i="6" s="1"/>
  <c r="S48" i="1"/>
  <c r="W48" i="1"/>
  <c r="U88" i="5"/>
  <c r="F137" i="6"/>
  <c r="E90" i="5"/>
  <c r="R53" i="1"/>
  <c r="P53" i="1"/>
  <c r="CZ55" i="1"/>
  <c r="Y55" i="1" s="1"/>
  <c r="V139" i="6"/>
  <c r="K93" i="5"/>
  <c r="CY55" i="1"/>
  <c r="X55" i="1" s="1"/>
  <c r="U154" i="6"/>
  <c r="K103" i="5"/>
  <c r="CP59" i="1"/>
  <c r="O59" i="1" s="1"/>
  <c r="GN59" i="1" s="1"/>
  <c r="GK62" i="1"/>
  <c r="CY62" i="1"/>
  <c r="X62" i="1" s="1"/>
  <c r="CY65" i="1"/>
  <c r="X65" i="1" s="1"/>
  <c r="V176" i="6"/>
  <c r="K113" i="5"/>
  <c r="S120" i="5"/>
  <c r="F194" i="6"/>
  <c r="E121" i="5"/>
  <c r="R69" i="1"/>
  <c r="CR71" i="1"/>
  <c r="Q71" i="1" s="1"/>
  <c r="H126" i="5"/>
  <c r="R125" i="5"/>
  <c r="G211" i="6"/>
  <c r="Y196" i="6"/>
  <c r="L134" i="5"/>
  <c r="Q134" i="5" s="1"/>
  <c r="L131" i="5"/>
  <c r="U132" i="5"/>
  <c r="H130" i="5" s="1"/>
  <c r="S133" i="5"/>
  <c r="H129" i="5" s="1"/>
  <c r="CZ28" i="1"/>
  <c r="Y28" i="1" s="1"/>
  <c r="R45" i="5"/>
  <c r="W52" i="5"/>
  <c r="G52" i="5"/>
  <c r="O52" i="5" s="1"/>
  <c r="AB32" i="1"/>
  <c r="GK33" i="1"/>
  <c r="X89" i="6"/>
  <c r="K67" i="5"/>
  <c r="H105" i="6"/>
  <c r="K72" i="5"/>
  <c r="CZ35" i="1"/>
  <c r="Y35" i="1" s="1"/>
  <c r="U36" i="1"/>
  <c r="AH77" i="1" s="1"/>
  <c r="AB45" i="1"/>
  <c r="G129" i="6" s="1"/>
  <c r="H87" i="5"/>
  <c r="W87" i="5" s="1"/>
  <c r="U87" i="5"/>
  <c r="GX48" i="1"/>
  <c r="U90" i="5"/>
  <c r="U53" i="1"/>
  <c r="Y137" i="6" s="1"/>
  <c r="T53" i="1"/>
  <c r="R93" i="5"/>
  <c r="G97" i="5"/>
  <c r="O97" i="5" s="1"/>
  <c r="W97" i="5"/>
  <c r="H101" i="5"/>
  <c r="AB57" i="1"/>
  <c r="CR57" i="1"/>
  <c r="Q57" i="1" s="1"/>
  <c r="H174" i="6"/>
  <c r="T174" i="6"/>
  <c r="K109" i="5"/>
  <c r="H114" i="5"/>
  <c r="CR65" i="1"/>
  <c r="Q65" i="1" s="1"/>
  <c r="H120" i="5"/>
  <c r="W120" i="5" s="1"/>
  <c r="U121" i="5"/>
  <c r="H118" i="5" s="1"/>
  <c r="U69" i="1"/>
  <c r="Y194" i="6" s="1"/>
  <c r="H132" i="5"/>
  <c r="W132" i="5" s="1"/>
  <c r="GN62" i="1"/>
  <c r="GM62" i="1"/>
  <c r="CP43" i="1"/>
  <c r="O43" i="1" s="1"/>
  <c r="GX45" i="1"/>
  <c r="Q45" i="1"/>
  <c r="W129" i="6" s="1"/>
  <c r="GM34" i="1"/>
  <c r="AB55" i="1"/>
  <c r="GN66" i="1"/>
  <c r="GM66" i="1"/>
  <c r="AQ22" i="1"/>
  <c r="F87" i="1"/>
  <c r="AQ109" i="1"/>
  <c r="AT22" i="1"/>
  <c r="F95" i="1"/>
  <c r="F16" i="2" s="1"/>
  <c r="F18" i="2" s="1"/>
  <c r="AT109" i="1"/>
  <c r="GN60" i="1"/>
  <c r="AG77" i="1"/>
  <c r="CP25" i="1"/>
  <c r="O25" i="1" s="1"/>
  <c r="AB29" i="1"/>
  <c r="CR29" i="1"/>
  <c r="Q29" i="1" s="1"/>
  <c r="GN32" i="1"/>
  <c r="GM32" i="1"/>
  <c r="CZ49" i="1"/>
  <c r="Y49" i="1" s="1"/>
  <c r="CY49" i="1"/>
  <c r="X49" i="1" s="1"/>
  <c r="CP27" i="1"/>
  <c r="O27" i="1" s="1"/>
  <c r="V45" i="1"/>
  <c r="Z129" i="6" s="1"/>
  <c r="GK43" i="1"/>
  <c r="GM46" i="1"/>
  <c r="GN46" i="1"/>
  <c r="GK36" i="1"/>
  <c r="U45" i="1"/>
  <c r="GX49" i="1"/>
  <c r="W74" i="1"/>
  <c r="AJ77" i="1" s="1"/>
  <c r="P74" i="1"/>
  <c r="Q49" i="1"/>
  <c r="Q67" i="1"/>
  <c r="W192" i="6" s="1"/>
  <c r="GN64" i="1"/>
  <c r="GM64" i="1"/>
  <c r="R67" i="1"/>
  <c r="CZ38" i="1"/>
  <c r="Y38" i="1" s="1"/>
  <c r="U49" i="1"/>
  <c r="Y133" i="6" s="1"/>
  <c r="AB58" i="1"/>
  <c r="CY51" i="1"/>
  <c r="X51" i="1" s="1"/>
  <c r="GN56" i="1"/>
  <c r="P67" i="1"/>
  <c r="R74" i="1"/>
  <c r="GK74" i="1" s="1"/>
  <c r="BB22" i="1"/>
  <c r="F90" i="1"/>
  <c r="BB109" i="1"/>
  <c r="EU22" i="1"/>
  <c r="P93" i="1"/>
  <c r="EU109" i="1"/>
  <c r="GM52" i="1"/>
  <c r="V73" i="1"/>
  <c r="Z212" i="6" s="1"/>
  <c r="BC22" i="1"/>
  <c r="F93" i="1"/>
  <c r="BC109" i="1"/>
  <c r="CZ71" i="1"/>
  <c r="Y71" i="1" s="1"/>
  <c r="CY71" i="1"/>
  <c r="X71" i="1" s="1"/>
  <c r="W73" i="1"/>
  <c r="U75" i="1"/>
  <c r="Y214" i="6" s="1"/>
  <c r="CP69" i="1"/>
  <c r="O69" i="1" s="1"/>
  <c r="Q74" i="1"/>
  <c r="AX22" i="1"/>
  <c r="F84" i="1"/>
  <c r="AX109" i="1"/>
  <c r="V75" i="1"/>
  <c r="Z214" i="6" s="1"/>
  <c r="CP26" i="1"/>
  <c r="O26" i="1" s="1"/>
  <c r="AC77" i="1"/>
  <c r="GM42" i="1"/>
  <c r="GN42" i="1"/>
  <c r="AB44" i="1"/>
  <c r="CR44" i="1"/>
  <c r="Q44" i="1" s="1"/>
  <c r="CP44" i="1" s="1"/>
  <c r="O44" i="1" s="1"/>
  <c r="GN40" i="1"/>
  <c r="GM40" i="1"/>
  <c r="CR36" i="1"/>
  <c r="Q36" i="1" s="1"/>
  <c r="AB36" i="1"/>
  <c r="CY43" i="1"/>
  <c r="X43" i="1" s="1"/>
  <c r="CZ43" i="1"/>
  <c r="Y43" i="1" s="1"/>
  <c r="P45" i="1"/>
  <c r="GX67" i="1"/>
  <c r="T67" i="1"/>
  <c r="GN37" i="1"/>
  <c r="T45" i="1"/>
  <c r="AB47" i="1"/>
  <c r="G131" i="6" s="1"/>
  <c r="CR47" i="1"/>
  <c r="Q47" i="1" s="1"/>
  <c r="W131" i="6" s="1"/>
  <c r="GN58" i="1"/>
  <c r="GM58" i="1"/>
  <c r="U67" i="1"/>
  <c r="Y192" i="6" s="1"/>
  <c r="CY38" i="1"/>
  <c r="X38" i="1" s="1"/>
  <c r="GM38" i="1" s="1"/>
  <c r="AB62" i="1"/>
  <c r="AO18" i="1"/>
  <c r="F113" i="1"/>
  <c r="EG18" i="1"/>
  <c r="P113" i="1"/>
  <c r="GM59" i="1"/>
  <c r="W67" i="1"/>
  <c r="GK72" i="1"/>
  <c r="CZ72" i="1"/>
  <c r="Y72" i="1" s="1"/>
  <c r="CZ69" i="1"/>
  <c r="Y69" i="1" s="1"/>
  <c r="CY69" i="1"/>
  <c r="X69" i="1" s="1"/>
  <c r="AB70" i="1"/>
  <c r="CR70" i="1"/>
  <c r="Q70" i="1" s="1"/>
  <c r="CP70" i="1" s="1"/>
  <c r="O70" i="1" s="1"/>
  <c r="AP22" i="1"/>
  <c r="F86" i="1"/>
  <c r="G16" i="2" s="1"/>
  <c r="G18" i="2" s="1"/>
  <c r="AP109" i="1"/>
  <c r="EL22" i="1"/>
  <c r="EL109" i="1"/>
  <c r="P95" i="1"/>
  <c r="U16" i="2" s="1"/>
  <c r="U18" i="2" s="1"/>
  <c r="FY22" i="1"/>
  <c r="EP77" i="1"/>
  <c r="CP47" i="1"/>
  <c r="O47" i="1" s="1"/>
  <c r="CY47" i="1"/>
  <c r="X47" i="1" s="1"/>
  <c r="CZ47" i="1"/>
  <c r="Y47" i="1" s="1"/>
  <c r="AB48" i="1"/>
  <c r="CR48" i="1"/>
  <c r="Q48" i="1" s="1"/>
  <c r="CP48" i="1" s="1"/>
  <c r="O48" i="1" s="1"/>
  <c r="V67" i="1"/>
  <c r="Z192" i="6" s="1"/>
  <c r="CP50" i="1"/>
  <c r="O50" i="1" s="1"/>
  <c r="CP55" i="1"/>
  <c r="O55" i="1" s="1"/>
  <c r="GM54" i="1"/>
  <c r="GN54" i="1"/>
  <c r="EM22" i="1"/>
  <c r="EM109" i="1"/>
  <c r="P96" i="1"/>
  <c r="EH22" i="1"/>
  <c r="EH109" i="1"/>
  <c r="P86" i="1"/>
  <c r="V16" i="2" s="1"/>
  <c r="V18" i="2" s="1"/>
  <c r="AB72" i="1"/>
  <c r="CR72" i="1"/>
  <c r="Q72" i="1" s="1"/>
  <c r="CP72" i="1" s="1"/>
  <c r="O72" i="1" s="1"/>
  <c r="AU22" i="1"/>
  <c r="AU109" i="1"/>
  <c r="F96" i="1"/>
  <c r="CY72" i="1"/>
  <c r="X72" i="1" s="1"/>
  <c r="R75" i="1"/>
  <c r="GX75" i="1"/>
  <c r="CI22" i="1"/>
  <c r="AZ77" i="1"/>
  <c r="CP73" i="1"/>
  <c r="O73" i="1" s="1"/>
  <c r="ET22" i="1"/>
  <c r="ET109" i="1"/>
  <c r="P90" i="1"/>
  <c r="S75" i="1"/>
  <c r="V214" i="6" s="1"/>
  <c r="T73" i="1"/>
  <c r="EI22" i="1"/>
  <c r="P87" i="1"/>
  <c r="EI109" i="1"/>
  <c r="CY30" i="1"/>
  <c r="X30" i="1" s="1"/>
  <c r="CZ30" i="1"/>
  <c r="Y30" i="1" s="1"/>
  <c r="AF77" i="1"/>
  <c r="CZ39" i="1"/>
  <c r="Y39" i="1" s="1"/>
  <c r="CY39" i="1"/>
  <c r="X39" i="1" s="1"/>
  <c r="DX77" i="1"/>
  <c r="R45" i="1"/>
  <c r="CY61" i="1"/>
  <c r="X61" i="1" s="1"/>
  <c r="CZ61" i="1"/>
  <c r="Y61" i="1" s="1"/>
  <c r="GK48" i="1"/>
  <c r="CY48" i="1"/>
  <c r="X48" i="1" s="1"/>
  <c r="CZ48" i="1"/>
  <c r="Y48" i="1" s="1"/>
  <c r="W45" i="1"/>
  <c r="EB77" i="1" s="1"/>
  <c r="CP49" i="1"/>
  <c r="O49" i="1" s="1"/>
  <c r="CZ51" i="1"/>
  <c r="Y51" i="1" s="1"/>
  <c r="GN68" i="1"/>
  <c r="GM68" i="1"/>
  <c r="CZ73" i="1"/>
  <c r="Y73" i="1" s="1"/>
  <c r="CY73" i="1"/>
  <c r="X73" i="1" s="1"/>
  <c r="Q75" i="1"/>
  <c r="W214" i="6" s="1"/>
  <c r="GA22" i="1"/>
  <c r="ER77" i="1"/>
  <c r="CZ74" i="1"/>
  <c r="Y74" i="1" s="1"/>
  <c r="CJ77" i="1" l="1"/>
  <c r="CJ22" i="1" s="1"/>
  <c r="J33" i="5"/>
  <c r="P33" i="5" s="1"/>
  <c r="L136" i="5"/>
  <c r="G42" i="5"/>
  <c r="O42" i="5" s="1"/>
  <c r="G134" i="5"/>
  <c r="O134" i="5" s="1"/>
  <c r="H117" i="5"/>
  <c r="W122" i="5" s="1"/>
  <c r="H83" i="5"/>
  <c r="AH22" i="1"/>
  <c r="U77" i="1"/>
  <c r="G122" i="5"/>
  <c r="O122" i="5" s="1"/>
  <c r="W134" i="5"/>
  <c r="BA77" i="1"/>
  <c r="AI22" i="1"/>
  <c r="V77" i="1"/>
  <c r="AB212" i="6"/>
  <c r="V132" i="5"/>
  <c r="T133" i="6"/>
  <c r="H133" i="6"/>
  <c r="K88" i="5"/>
  <c r="AB109" i="6"/>
  <c r="V74" i="5"/>
  <c r="AL77" i="1"/>
  <c r="H212" i="6"/>
  <c r="T212" i="6"/>
  <c r="K132" i="5"/>
  <c r="GK75" i="1"/>
  <c r="X214" i="6"/>
  <c r="AB131" i="6"/>
  <c r="V87" i="5"/>
  <c r="H131" i="6"/>
  <c r="T131" i="6"/>
  <c r="K87" i="5"/>
  <c r="AB194" i="6"/>
  <c r="V121" i="5"/>
  <c r="DY77" i="1"/>
  <c r="CP45" i="1"/>
  <c r="O45" i="1" s="1"/>
  <c r="U129" i="6"/>
  <c r="AA127" i="6"/>
  <c r="T85" i="5"/>
  <c r="AD77" i="1"/>
  <c r="AA196" i="6"/>
  <c r="H207" i="6"/>
  <c r="T123" i="5"/>
  <c r="CP67" i="1"/>
  <c r="O67" i="1" s="1"/>
  <c r="U192" i="6"/>
  <c r="DZ77" i="1"/>
  <c r="Y129" i="6"/>
  <c r="AA133" i="6"/>
  <c r="T88" i="5"/>
  <c r="CP29" i="1"/>
  <c r="O29" i="1" s="1"/>
  <c r="W56" i="6"/>
  <c r="K46" i="5"/>
  <c r="T38" i="6"/>
  <c r="H46" i="6"/>
  <c r="H38" i="6"/>
  <c r="GB77" i="1"/>
  <c r="W176" i="6"/>
  <c r="K114" i="5"/>
  <c r="CP65" i="1"/>
  <c r="O65" i="1" s="1"/>
  <c r="G154" i="6"/>
  <c r="G169" i="6"/>
  <c r="GK69" i="1"/>
  <c r="X194" i="6"/>
  <c r="H187" i="6"/>
  <c r="AA176" i="6"/>
  <c r="T111" i="5"/>
  <c r="H149" i="6"/>
  <c r="AA139" i="6"/>
  <c r="T92" i="5"/>
  <c r="K94" i="5" s="1"/>
  <c r="U137" i="6"/>
  <c r="CP53" i="1"/>
  <c r="O53" i="1" s="1"/>
  <c r="AB89" i="6"/>
  <c r="H102" i="6"/>
  <c r="V63" i="5"/>
  <c r="G20" i="5"/>
  <c r="GK73" i="1"/>
  <c r="X212" i="6"/>
  <c r="GK49" i="1"/>
  <c r="X133" i="6"/>
  <c r="W111" i="6"/>
  <c r="K79" i="5"/>
  <c r="CP41" i="1"/>
  <c r="O41" i="1" s="1"/>
  <c r="AA107" i="6"/>
  <c r="T73" i="5"/>
  <c r="K66" i="5"/>
  <c r="W89" i="6"/>
  <c r="CP33" i="1"/>
  <c r="O33" i="1" s="1"/>
  <c r="G89" i="6"/>
  <c r="G104" i="6"/>
  <c r="H109" i="6"/>
  <c r="T109" i="6"/>
  <c r="K74" i="5"/>
  <c r="GM37" i="1"/>
  <c r="GM61" i="1"/>
  <c r="AA172" i="6"/>
  <c r="T108" i="5"/>
  <c r="AA212" i="6"/>
  <c r="T132" i="5"/>
  <c r="AB135" i="6"/>
  <c r="V89" i="5"/>
  <c r="GN61" i="1"/>
  <c r="AB172" i="6"/>
  <c r="V108" i="5"/>
  <c r="GK45" i="1"/>
  <c r="X129" i="6"/>
  <c r="GN39" i="1"/>
  <c r="AA109" i="6"/>
  <c r="T74" i="5"/>
  <c r="GM30" i="1"/>
  <c r="H153" i="6"/>
  <c r="T139" i="6"/>
  <c r="H139" i="6"/>
  <c r="AA131" i="6"/>
  <c r="T87" i="5"/>
  <c r="AA194" i="6"/>
  <c r="T121" i="5"/>
  <c r="AB127" i="6"/>
  <c r="V85" i="5"/>
  <c r="GN38" i="1"/>
  <c r="T194" i="6"/>
  <c r="H194" i="6"/>
  <c r="K121" i="5"/>
  <c r="H209" i="6"/>
  <c r="AB196" i="6"/>
  <c r="V123" i="5"/>
  <c r="GN51" i="1"/>
  <c r="AA135" i="6"/>
  <c r="T89" i="5"/>
  <c r="GK67" i="1"/>
  <c r="X192" i="6"/>
  <c r="DV77" i="1"/>
  <c r="W133" i="6"/>
  <c r="AE77" i="1"/>
  <c r="H55" i="6"/>
  <c r="H47" i="6"/>
  <c r="T47" i="6"/>
  <c r="AB133" i="6"/>
  <c r="V88" i="5"/>
  <c r="G56" i="6"/>
  <c r="G71" i="6"/>
  <c r="G139" i="6"/>
  <c r="G153" i="6"/>
  <c r="H127" i="6"/>
  <c r="T127" i="6"/>
  <c r="K85" i="5"/>
  <c r="CP57" i="1"/>
  <c r="O57" i="1" s="1"/>
  <c r="W154" i="6"/>
  <c r="K101" i="5"/>
  <c r="W110" i="5"/>
  <c r="G110" i="5"/>
  <c r="O110" i="5" s="1"/>
  <c r="V72" i="5"/>
  <c r="AB105" i="6"/>
  <c r="T105" i="6"/>
  <c r="W196" i="6"/>
  <c r="K126" i="5"/>
  <c r="H170" i="6"/>
  <c r="T170" i="6"/>
  <c r="K107" i="5"/>
  <c r="H151" i="6"/>
  <c r="AB139" i="6"/>
  <c r="V92" i="5"/>
  <c r="K95" i="5" s="1"/>
  <c r="GK53" i="1"/>
  <c r="X137" i="6"/>
  <c r="CY53" i="1"/>
  <c r="X53" i="1" s="1"/>
  <c r="CZ53" i="1"/>
  <c r="Y53" i="1" s="1"/>
  <c r="AA105" i="6"/>
  <c r="T72" i="5"/>
  <c r="GM35" i="1"/>
  <c r="GN35" i="1"/>
  <c r="H100" i="6"/>
  <c r="T63" i="5"/>
  <c r="AA89" i="6"/>
  <c r="G72" i="6"/>
  <c r="G88" i="6"/>
  <c r="GN28" i="1"/>
  <c r="GM28" i="1"/>
  <c r="CP71" i="1"/>
  <c r="O71" i="1" s="1"/>
  <c r="J52" i="5"/>
  <c r="P52" i="5" s="1"/>
  <c r="AB154" i="6"/>
  <c r="H167" i="6"/>
  <c r="V98" i="5"/>
  <c r="K105" i="5" s="1"/>
  <c r="W91" i="5"/>
  <c r="G91" i="5"/>
  <c r="O91" i="5" s="1"/>
  <c r="W75" i="5"/>
  <c r="W72" i="6"/>
  <c r="K56" i="5"/>
  <c r="J62" i="5" s="1"/>
  <c r="P62" i="5" s="1"/>
  <c r="CP31" i="1"/>
  <c r="O31" i="1" s="1"/>
  <c r="W47" i="6"/>
  <c r="K37" i="5"/>
  <c r="J42" i="5" s="1"/>
  <c r="P42" i="5" s="1"/>
  <c r="T172" i="6"/>
  <c r="H172" i="6"/>
  <c r="K108" i="5"/>
  <c r="K104" i="5"/>
  <c r="H135" i="6"/>
  <c r="T135" i="6"/>
  <c r="K89" i="5"/>
  <c r="AL22" i="1"/>
  <c r="Y77" i="1"/>
  <c r="AD22" i="1"/>
  <c r="Q77" i="1"/>
  <c r="DZ22" i="1"/>
  <c r="DM77" i="1"/>
  <c r="GB22" i="1"/>
  <c r="ES77" i="1"/>
  <c r="EB22" i="1"/>
  <c r="DO77" i="1"/>
  <c r="AJ22" i="1"/>
  <c r="W77" i="1"/>
  <c r="DV22" i="1"/>
  <c r="DI77" i="1"/>
  <c r="DY22" i="1"/>
  <c r="DL77" i="1"/>
  <c r="AF22" i="1"/>
  <c r="S77" i="1"/>
  <c r="GN49" i="1"/>
  <c r="GM49" i="1"/>
  <c r="CZ75" i="1"/>
  <c r="Y75" i="1" s="1"/>
  <c r="CY75" i="1"/>
  <c r="X75" i="1" s="1"/>
  <c r="CY45" i="1"/>
  <c r="X45" i="1" s="1"/>
  <c r="CP75" i="1"/>
  <c r="O75" i="1" s="1"/>
  <c r="DT77" i="1" s="1"/>
  <c r="EH18" i="1"/>
  <c r="P118" i="1"/>
  <c r="I17" i="5" s="1"/>
  <c r="EP22" i="1"/>
  <c r="EP109" i="1"/>
  <c r="P84" i="1"/>
  <c r="GM69" i="1"/>
  <c r="GN69" i="1"/>
  <c r="GM71" i="1"/>
  <c r="CP74" i="1"/>
  <c r="O74" i="1" s="1"/>
  <c r="EA77" i="1"/>
  <c r="GN25" i="1"/>
  <c r="GM25" i="1"/>
  <c r="CY74" i="1"/>
  <c r="X74" i="1" s="1"/>
  <c r="AK77" i="1" s="1"/>
  <c r="CZ45" i="1"/>
  <c r="Y45" i="1" s="1"/>
  <c r="ET18" i="1"/>
  <c r="P122" i="1"/>
  <c r="GN72" i="1"/>
  <c r="GM72" i="1"/>
  <c r="GN55" i="1"/>
  <c r="GM55" i="1"/>
  <c r="AP18" i="1"/>
  <c r="F118" i="1"/>
  <c r="V22" i="1"/>
  <c r="F100" i="1"/>
  <c r="V109" i="1"/>
  <c r="BC18" i="1"/>
  <c r="F125" i="1"/>
  <c r="BB18" i="1"/>
  <c r="F122" i="1"/>
  <c r="GN29" i="1"/>
  <c r="GM29" i="1"/>
  <c r="AG22" i="1"/>
  <c r="T77" i="1"/>
  <c r="CP36" i="1"/>
  <c r="O36" i="1" s="1"/>
  <c r="GM50" i="1"/>
  <c r="GN50" i="1"/>
  <c r="U22" i="1"/>
  <c r="U109" i="1"/>
  <c r="F99" i="1"/>
  <c r="AC22" i="1"/>
  <c r="P77" i="1"/>
  <c r="CF77" i="1"/>
  <c r="CE77" i="1"/>
  <c r="CH77" i="1"/>
  <c r="EU18" i="1"/>
  <c r="P125" i="1"/>
  <c r="GM51" i="1"/>
  <c r="AQ18" i="1"/>
  <c r="F119" i="1"/>
  <c r="GM39" i="1"/>
  <c r="DX22" i="1"/>
  <c r="DK77" i="1"/>
  <c r="EM18" i="1"/>
  <c r="P128" i="1"/>
  <c r="EL18" i="1"/>
  <c r="P127" i="1"/>
  <c r="I16" i="5" s="1"/>
  <c r="GN45" i="1"/>
  <c r="GM45" i="1"/>
  <c r="GN26" i="1"/>
  <c r="GM26" i="1"/>
  <c r="AB77" i="1"/>
  <c r="GM27" i="1"/>
  <c r="GN27" i="1"/>
  <c r="DU77" i="1"/>
  <c r="AT18" i="1"/>
  <c r="F127" i="1"/>
  <c r="GN43" i="1"/>
  <c r="GM43" i="1"/>
  <c r="GN30" i="1"/>
  <c r="CY67" i="1"/>
  <c r="X67" i="1" s="1"/>
  <c r="AU18" i="1"/>
  <c r="F128" i="1"/>
  <c r="GN48" i="1"/>
  <c r="GM48" i="1"/>
  <c r="GN47" i="1"/>
  <c r="GM47" i="1"/>
  <c r="ER22" i="1"/>
  <c r="P88" i="1"/>
  <c r="ER109" i="1"/>
  <c r="EI18" i="1"/>
  <c r="P119" i="1"/>
  <c r="GN73" i="1"/>
  <c r="GM73" i="1"/>
  <c r="AZ22" i="1"/>
  <c r="AZ109" i="1"/>
  <c r="F88" i="1"/>
  <c r="GN70" i="1"/>
  <c r="GM70" i="1"/>
  <c r="GN44" i="1"/>
  <c r="GM44" i="1"/>
  <c r="AX18" i="1"/>
  <c r="F116" i="1"/>
  <c r="AE22" i="1"/>
  <c r="R77" i="1"/>
  <c r="DW77" i="1"/>
  <c r="BA22" i="1"/>
  <c r="F97" i="1"/>
  <c r="H16" i="2" s="1"/>
  <c r="H18" i="2" s="1"/>
  <c r="BA109" i="1"/>
  <c r="CZ67" i="1"/>
  <c r="Y67" i="1" s="1"/>
  <c r="J110" i="5" l="1"/>
  <c r="P110" i="5" s="1"/>
  <c r="K69" i="5"/>
  <c r="J97" i="5"/>
  <c r="P97" i="5" s="1"/>
  <c r="GM67" i="1"/>
  <c r="AB192" i="6"/>
  <c r="V120" i="5"/>
  <c r="K118" i="5" s="1"/>
  <c r="T214" i="6"/>
  <c r="H214" i="6"/>
  <c r="K133" i="5"/>
  <c r="AA214" i="6"/>
  <c r="T133" i="5"/>
  <c r="H88" i="6"/>
  <c r="H72" i="6"/>
  <c r="T72" i="6"/>
  <c r="GN31" i="1"/>
  <c r="GM31" i="1"/>
  <c r="AA137" i="6"/>
  <c r="T90" i="5"/>
  <c r="G15" i="5"/>
  <c r="T111" i="6"/>
  <c r="H126" i="6"/>
  <c r="H111" i="6"/>
  <c r="GN41" i="1"/>
  <c r="GM41" i="1"/>
  <c r="T137" i="6"/>
  <c r="H137" i="6"/>
  <c r="K90" i="5"/>
  <c r="GN53" i="1"/>
  <c r="GM53" i="1"/>
  <c r="T176" i="6"/>
  <c r="H191" i="6"/>
  <c r="H176" i="6"/>
  <c r="GM65" i="1"/>
  <c r="GN65" i="1"/>
  <c r="K129" i="5"/>
  <c r="T129" i="6"/>
  <c r="H129" i="6"/>
  <c r="K86" i="5"/>
  <c r="AA192" i="6"/>
  <c r="T120" i="5"/>
  <c r="AB129" i="6"/>
  <c r="V86" i="5"/>
  <c r="AA129" i="6"/>
  <c r="T86" i="5"/>
  <c r="K82" i="5" s="1"/>
  <c r="AB214" i="6"/>
  <c r="V133" i="5"/>
  <c r="K130" i="5" s="1"/>
  <c r="G14" i="5"/>
  <c r="G136" i="5"/>
  <c r="H211" i="6"/>
  <c r="H196" i="6"/>
  <c r="T196" i="6"/>
  <c r="AB137" i="6"/>
  <c r="V90" i="5"/>
  <c r="T154" i="6"/>
  <c r="H169" i="6"/>
  <c r="H154" i="6"/>
  <c r="GN57" i="1"/>
  <c r="GM57" i="1"/>
  <c r="T89" i="6"/>
  <c r="H104" i="6"/>
  <c r="H89" i="6"/>
  <c r="GN33" i="1"/>
  <c r="GM33" i="1"/>
  <c r="K70" i="5"/>
  <c r="J75" i="5" s="1"/>
  <c r="P75" i="5" s="1"/>
  <c r="K117" i="5"/>
  <c r="T56" i="6"/>
  <c r="H71" i="6"/>
  <c r="H56" i="6"/>
  <c r="H192" i="6"/>
  <c r="T192" i="6"/>
  <c r="K120" i="5"/>
  <c r="GN71" i="1"/>
  <c r="AK22" i="1"/>
  <c r="X77" i="1"/>
  <c r="EA22" i="1"/>
  <c r="DN77" i="1"/>
  <c r="DU22" i="1"/>
  <c r="DH77" i="1"/>
  <c r="FX77" i="1"/>
  <c r="FW77" i="1"/>
  <c r="FZ77" i="1"/>
  <c r="DW22" i="1"/>
  <c r="DJ77" i="1"/>
  <c r="ER18" i="1"/>
  <c r="P120" i="1"/>
  <c r="DK22" i="1"/>
  <c r="DK109" i="1"/>
  <c r="P92" i="1"/>
  <c r="Y16" i="2" s="1"/>
  <c r="Y18" i="2" s="1"/>
  <c r="CH22" i="1"/>
  <c r="AY77" i="1"/>
  <c r="GN67" i="1"/>
  <c r="FS77" i="1"/>
  <c r="EP18" i="1"/>
  <c r="P116" i="1"/>
  <c r="GM75" i="1"/>
  <c r="GN75" i="1"/>
  <c r="DL22" i="1"/>
  <c r="DL109" i="1"/>
  <c r="P98" i="1"/>
  <c r="W22" i="1"/>
  <c r="F101" i="1"/>
  <c r="W109" i="1"/>
  <c r="BA18" i="1"/>
  <c r="F129" i="1"/>
  <c r="R22" i="1"/>
  <c r="F91" i="1"/>
  <c r="R109" i="1"/>
  <c r="CE22" i="1"/>
  <c r="AV77" i="1"/>
  <c r="V18" i="1"/>
  <c r="F132" i="1"/>
  <c r="FT77" i="1"/>
  <c r="EC77" i="1"/>
  <c r="ES22" i="1"/>
  <c r="ES109" i="1"/>
  <c r="P97" i="1"/>
  <c r="W16" i="2" s="1"/>
  <c r="W18" i="2" s="1"/>
  <c r="Q22" i="1"/>
  <c r="Q109" i="1"/>
  <c r="F89" i="1"/>
  <c r="AB22" i="1"/>
  <c r="O77" i="1"/>
  <c r="GN36" i="1"/>
  <c r="GM36" i="1"/>
  <c r="S22" i="1"/>
  <c r="F92" i="1"/>
  <c r="J16" i="2" s="1"/>
  <c r="J18" i="2" s="1"/>
  <c r="S109" i="1"/>
  <c r="DI22" i="1"/>
  <c r="P89" i="1"/>
  <c r="DI109" i="1"/>
  <c r="ED77" i="1"/>
  <c r="AZ18" i="1"/>
  <c r="F120" i="1"/>
  <c r="P22" i="1"/>
  <c r="P109" i="1"/>
  <c r="F80" i="1"/>
  <c r="T22" i="1"/>
  <c r="T109" i="1"/>
  <c r="F98" i="1"/>
  <c r="DT22" i="1"/>
  <c r="DG77" i="1"/>
  <c r="GN74" i="1"/>
  <c r="GM74" i="1"/>
  <c r="CA77" i="1" s="1"/>
  <c r="DO22" i="1"/>
  <c r="DO109" i="1"/>
  <c r="P101" i="1"/>
  <c r="DM22" i="1"/>
  <c r="P99" i="1"/>
  <c r="DM109" i="1"/>
  <c r="Y22" i="1"/>
  <c r="Y109" i="1"/>
  <c r="F103" i="1"/>
  <c r="CF22" i="1"/>
  <c r="AW77" i="1"/>
  <c r="U18" i="1"/>
  <c r="F131" i="1"/>
  <c r="H217" i="6" l="1"/>
  <c r="J134" i="5"/>
  <c r="P134" i="5" s="1"/>
  <c r="CB77" i="1"/>
  <c r="AS77" i="1" s="1"/>
  <c r="K83" i="5"/>
  <c r="J91" i="5" s="1"/>
  <c r="P91" i="5" s="1"/>
  <c r="H224" i="6"/>
  <c r="J122" i="5"/>
  <c r="P122" i="5" s="1"/>
  <c r="CB22" i="1"/>
  <c r="ED22" i="1"/>
  <c r="DQ77" i="1"/>
  <c r="Q18" i="1"/>
  <c r="F121" i="1"/>
  <c r="W18" i="1"/>
  <c r="F133" i="1"/>
  <c r="DM18" i="1"/>
  <c r="P131" i="1"/>
  <c r="DO18" i="1"/>
  <c r="P133" i="1"/>
  <c r="DG22" i="1"/>
  <c r="DG109" i="1"/>
  <c r="P79" i="1"/>
  <c r="EC22" i="1"/>
  <c r="DP77" i="1"/>
  <c r="AV22" i="1"/>
  <c r="AV109" i="1"/>
  <c r="F82" i="1"/>
  <c r="FT22" i="1"/>
  <c r="EK77" i="1"/>
  <c r="FS22" i="1"/>
  <c r="EJ77" i="1"/>
  <c r="FZ22" i="1"/>
  <c r="EQ77" i="1"/>
  <c r="Y18" i="1"/>
  <c r="F135" i="1"/>
  <c r="P18" i="1"/>
  <c r="F112" i="1"/>
  <c r="ES18" i="1"/>
  <c r="P129" i="1"/>
  <c r="I18" i="5" s="1"/>
  <c r="R18" i="1"/>
  <c r="F123" i="1"/>
  <c r="DK18" i="1"/>
  <c r="P124" i="1"/>
  <c r="FW22" i="1"/>
  <c r="EN77" i="1"/>
  <c r="DN22" i="1"/>
  <c r="DN109" i="1"/>
  <c r="P100" i="1"/>
  <c r="S18" i="1"/>
  <c r="F124" i="1"/>
  <c r="DL18" i="1"/>
  <c r="P130" i="1"/>
  <c r="AY22" i="1"/>
  <c r="F85" i="1"/>
  <c r="AY109" i="1"/>
  <c r="DJ22" i="1"/>
  <c r="DJ109" i="1"/>
  <c r="P91" i="1"/>
  <c r="FX22" i="1"/>
  <c r="EO77" i="1"/>
  <c r="AW22" i="1"/>
  <c r="F83" i="1"/>
  <c r="AW109" i="1"/>
  <c r="CA22" i="1"/>
  <c r="AR77" i="1"/>
  <c r="DI18" i="1"/>
  <c r="P121" i="1"/>
  <c r="O22" i="1"/>
  <c r="F79" i="1"/>
  <c r="O109" i="1"/>
  <c r="DH22" i="1"/>
  <c r="DH109" i="1"/>
  <c r="P80" i="1"/>
  <c r="X22" i="1"/>
  <c r="X109" i="1"/>
  <c r="F102" i="1"/>
  <c r="T18" i="1"/>
  <c r="F130" i="1"/>
  <c r="J136" i="5" l="1"/>
  <c r="O18" i="1"/>
  <c r="F111" i="1"/>
  <c r="AV18" i="1"/>
  <c r="F114" i="1"/>
  <c r="AR22" i="1"/>
  <c r="AR109" i="1"/>
  <c r="F104" i="1"/>
  <c r="F105" i="1" s="1"/>
  <c r="DJ18" i="1"/>
  <c r="P123" i="1"/>
  <c r="I20" i="5" s="1"/>
  <c r="EN22" i="1"/>
  <c r="P82" i="1"/>
  <c r="EN109" i="1"/>
  <c r="EQ22" i="1"/>
  <c r="P85" i="1"/>
  <c r="EQ109" i="1"/>
  <c r="EK22" i="1"/>
  <c r="EK109" i="1"/>
  <c r="P94" i="1"/>
  <c r="T16" i="2" s="1"/>
  <c r="DG18" i="1"/>
  <c r="P111" i="1"/>
  <c r="AS22" i="1"/>
  <c r="F94" i="1"/>
  <c r="E16" i="2" s="1"/>
  <c r="AS109" i="1"/>
  <c r="DH18" i="1"/>
  <c r="P112" i="1"/>
  <c r="EO22" i="1"/>
  <c r="EO109" i="1"/>
  <c r="P83" i="1"/>
  <c r="DP22" i="1"/>
  <c r="DP109" i="1"/>
  <c r="P102" i="1"/>
  <c r="X18" i="1"/>
  <c r="F134" i="1"/>
  <c r="AW18" i="1"/>
  <c r="F115" i="1"/>
  <c r="AY18" i="1"/>
  <c r="F117" i="1"/>
  <c r="DN18" i="1"/>
  <c r="P132" i="1"/>
  <c r="I19" i="5" s="1"/>
  <c r="G19" i="5" s="1"/>
  <c r="EJ22" i="1"/>
  <c r="P104" i="1"/>
  <c r="P105" i="1" s="1"/>
  <c r="G220" i="6" s="1"/>
  <c r="EJ109" i="1"/>
  <c r="DQ22" i="1"/>
  <c r="P103" i="1"/>
  <c r="DQ109" i="1"/>
  <c r="EO18" i="1" l="1"/>
  <c r="P115" i="1"/>
  <c r="AS18" i="1"/>
  <c r="F126" i="1"/>
  <c r="EQ18" i="1"/>
  <c r="P117" i="1"/>
  <c r="F106" i="1"/>
  <c r="F107" i="1" s="1"/>
  <c r="EJ18" i="1"/>
  <c r="P136" i="1"/>
  <c r="P137" i="1" s="1"/>
  <c r="DP18" i="1"/>
  <c r="P134" i="1"/>
  <c r="E18" i="2"/>
  <c r="I16" i="2"/>
  <c r="I18" i="2" s="1"/>
  <c r="X16" i="2"/>
  <c r="X18" i="2" s="1"/>
  <c r="T18" i="2"/>
  <c r="AR18" i="1"/>
  <c r="F136" i="1"/>
  <c r="F137" i="1" s="1"/>
  <c r="DQ18" i="1"/>
  <c r="P135" i="1"/>
  <c r="P106" i="1"/>
  <c r="EK18" i="1"/>
  <c r="P126" i="1"/>
  <c r="I15" i="5" s="1"/>
  <c r="EN18" i="1"/>
  <c r="P114" i="1"/>
  <c r="P107" i="1" l="1"/>
  <c r="G222" i="6" s="1"/>
  <c r="G221" i="6"/>
  <c r="G226" i="6"/>
  <c r="J138" i="5"/>
  <c r="F138" i="1"/>
  <c r="F139" i="1" s="1"/>
  <c r="P138" i="1"/>
  <c r="P139" i="1" l="1"/>
  <c r="G227" i="6"/>
  <c r="J139" i="5"/>
  <c r="G228" i="6" l="1"/>
  <c r="J140" i="5"/>
  <c r="I14" i="5"/>
  <c r="F31" i="6"/>
</calcChain>
</file>

<file path=xl/sharedStrings.xml><?xml version="1.0" encoding="utf-8"?>
<sst xmlns="http://schemas.openxmlformats.org/spreadsheetml/2006/main" count="4438" uniqueCount="420">
  <si>
    <t>Smeta.RU  (495) 974-1589</t>
  </si>
  <si>
    <t>_PS_</t>
  </si>
  <si>
    <t>Smeta.RU</t>
  </si>
  <si>
    <t>НИЯУ МИФИ  Доп. раб. место  MCCS-0027251</t>
  </si>
  <si>
    <t/>
  </si>
  <si>
    <t>Капитальный ремонт помещения №36 ОТИ НИЯУ МИФИ</t>
  </si>
  <si>
    <t>Сметные нормы списания</t>
  </si>
  <si>
    <t>Коды ценников</t>
  </si>
  <si>
    <t>ФЕР-2017</t>
  </si>
  <si>
    <t>ТР для Версии 10: Центральные регионы (с учетом п-ма 2536-ИП/12/ГС от 22.03.2017 г</t>
  </si>
  <si>
    <t>Поправки  для ГСН 2017 от 31.03.2017 г</t>
  </si>
  <si>
    <t>Новая локальная смета</t>
  </si>
  <si>
    <t>1</t>
  </si>
  <si>
    <t>57-3-1</t>
  </si>
  <si>
    <t>Разборка плинтусов деревянных и из пластмассовых материалов</t>
  </si>
  <si>
    <t>100 м</t>
  </si>
  <si>
    <t>ФЕР-2001, 57-3-1, приказ Минстроя России №1039/пр от 30.12.2016г.</t>
  </si>
  <si>
    <t>Ремонтно-строительные работы</t>
  </si>
  <si>
    <t>Полы</t>
  </si>
  <si>
    <t>рФЕР-57</t>
  </si>
  <si>
    <t>2</t>
  </si>
  <si>
    <t>57-2-1</t>
  </si>
  <si>
    <t>Разборка покрытий полов из линолеума и релина</t>
  </si>
  <si>
    <t>100 м2</t>
  </si>
  <si>
    <t>ФЕР-2001, 57-2-1, приказ Минстроя России №1039/пр от 30.12.2016г.</t>
  </si>
  <si>
    <t>3</t>
  </si>
  <si>
    <t>11-01-011-08</t>
  </si>
  <si>
    <t>Устройство стяжек из выравнивающей смеси типа "Ветонит" 5000, толщиной 5 мм</t>
  </si>
  <si>
    <t>ФЕР-2001, 11-01-011-08, приказ Минстроя России №1039/пр от 30.12.2016г.</t>
  </si>
  <si>
    <t>)*1,25</t>
  </si>
  <si>
    <t>)*1,15</t>
  </si>
  <si>
    <t>Общестроительные работы</t>
  </si>
  <si>
    <t>ФЕР-11</t>
  </si>
  <si>
    <t>Поправка: МДС 81-35.2004, п.4.7</t>
  </si>
  <si>
    <t>*0,9</t>
  </si>
  <si>
    <t>*0,85</t>
  </si>
  <si>
    <t>4</t>
  </si>
  <si>
    <t>11-01-011-10</t>
  </si>
  <si>
    <t>Устройство стяжек на каждый последующий слой толщиной 1 мм добавлять к расценке 11-01-011-08</t>
  </si>
  <si>
    <t>ФЕР-2001, 11-01-011-10, приказ Минстроя России №1039/пр от 30.12.2016г.</t>
  </si>
  <si>
    <t>*5</t>
  </si>
  <si>
    <t>*5)*1,25</t>
  </si>
  <si>
    <t>*5)*1,15</t>
  </si>
  <si>
    <t>5</t>
  </si>
  <si>
    <t>11-01-036-01</t>
  </si>
  <si>
    <t>Устройство покрытий из линолеума на клее</t>
  </si>
  <si>
    <t>ФЕР-2001, 11-01-036-01, приказ Минстроя России №1039/пр от 30.12.2016г.</t>
  </si>
  <si>
    <t>5,1</t>
  </si>
  <si>
    <t>01.6.03.04</t>
  </si>
  <si>
    <t>Линолеум на теплозвукоизолирующей подоснове</t>
  </si>
  <si>
    <t>м2</t>
  </si>
  <si>
    <t>5,2</t>
  </si>
  <si>
    <t>01.6.03.04-0112</t>
  </si>
  <si>
    <t>Линолеум коммерческий гомогенный "ТАРКЕТТ iQ MONOLIT" (толщина 2 мм, класс 34/43, пож. безопасность Г1, В2, РП1, Д2, Т2)</t>
  </si>
  <si>
    <t>ФССЦ-2001, 01.6.03.04-0112, приказ Минстроя России №1039/пр от 30.12.2016г.</t>
  </si>
  <si>
    <t>5,3</t>
  </si>
  <si>
    <t>14.1.02.04-0101</t>
  </si>
  <si>
    <t>Клей «Бустилат»</t>
  </si>
  <si>
    <t>т</t>
  </si>
  <si>
    <t>ФССЦ-2001, 14.1.02.04-0101, приказ Минстроя России №1039/пр от 30.12.2016г.</t>
  </si>
  <si>
    <t>6</t>
  </si>
  <si>
    <t>11-01-040-03</t>
  </si>
  <si>
    <t>Устройство плинтусов поливинилхлоридных на винтах самонарезающих</t>
  </si>
  <si>
    <t>ФЕР-2001, 11-01-040-03, приказ Минстроя России №1039/пр от 30.12.2016г.</t>
  </si>
  <si>
    <t>6,1</t>
  </si>
  <si>
    <t>11.3.03.14-0002</t>
  </si>
  <si>
    <t>Заглушка торцевая для пластикового плинтуса левая, высота 49 мм</t>
  </si>
  <si>
    <t>100 шт.</t>
  </si>
  <si>
    <t>ФССЦ-2001, 11.3.03.14-0002, приказ Минстроя России №1039/пр от 30.12.2016г.</t>
  </si>
  <si>
    <t>6,2</t>
  </si>
  <si>
    <t>11.3.03.06-0001</t>
  </si>
  <si>
    <t>Плинтуса для полов пластиковые, 19х48 мм</t>
  </si>
  <si>
    <t>м</t>
  </si>
  <si>
    <t>ФССЦ-2001, 11.3.03.06-0001, приказ Минстроя России №1039/пр от 30.12.2016г.</t>
  </si>
  <si>
    <t>6,3</t>
  </si>
  <si>
    <t>11.3.03.14-0012</t>
  </si>
  <si>
    <t>Заглушки торцевая для пластикового плинтуса правая, высота 49 мм</t>
  </si>
  <si>
    <t>ФССЦ-2001, 11.3.03.14-0012, приказ Минстроя России №1039/пр от 30.12.2016г.</t>
  </si>
  <si>
    <t>6,4</t>
  </si>
  <si>
    <t>11.3.03.14-0022</t>
  </si>
  <si>
    <t>Соединитель для пластикового плинтуса, высота 49 мм</t>
  </si>
  <si>
    <t>ФССЦ-2001, 11.3.03.14-0022, приказ Минстроя России №1039/пр от 30.12.2016г.</t>
  </si>
  <si>
    <t>6,5</t>
  </si>
  <si>
    <t>11.3.03.14-0032</t>
  </si>
  <si>
    <t>Уголок внутренний для пластикового плинтуса, высота 49 мм</t>
  </si>
  <si>
    <t>ФССЦ-2001, 11.3.03.14-0032, приказ Минстроя России №1039/пр от 30.12.2016г.</t>
  </si>
  <si>
    <t>6,6</t>
  </si>
  <si>
    <t>11.3.03.14-0034</t>
  </si>
  <si>
    <t>Уголок наружный для пластикового плинтуса, высота 49 мм</t>
  </si>
  <si>
    <t>ФССЦ-2001, 11.3.03.14-0034, приказ Минстроя России №1039/пр от 30.12.2016г.</t>
  </si>
  <si>
    <t>7</t>
  </si>
  <si>
    <t>13-06-003-01</t>
  </si>
  <si>
    <t>Очистка поверхности щетками стен и потолка от красок</t>
  </si>
  <si>
    <t>ФЕР-2001, 13-06-003-01, приказ Минстроя России №1039/пр от 30.12.2016г.</t>
  </si>
  <si>
    <t>Защита строительных конструкций</t>
  </si>
  <si>
    <t>ФЕР-13</t>
  </si>
  <si>
    <t>8</t>
  </si>
  <si>
    <t>15-02-019-03</t>
  </si>
  <si>
    <t>Сплошное выравнивание внутренних поверхностей (однослойное оштукатуривание) из сухих растворных смесей толщиной до 10 мм стен</t>
  </si>
  <si>
    <t>ФЕР-2001, 15-02-019-03, приказ Минстроя России №1039/пр от 30.12.2016г.</t>
  </si>
  <si>
    <t>Отделочные работы</t>
  </si>
  <si>
    <t>ФЕР-15</t>
  </si>
  <si>
    <t>8,1</t>
  </si>
  <si>
    <t>04.3.02.09</t>
  </si>
  <si>
    <t>Смеси на цементной основе</t>
  </si>
  <si>
    <t>8,2</t>
  </si>
  <si>
    <t>04.3.02.12-0002</t>
  </si>
  <si>
    <t>Смесь сухая штукатурная цементно-известково-песчаная "БИРСС 15" (марка М100)</t>
  </si>
  <si>
    <t>ФССЦ-2001, 04.3.02.12-0002, приказ Минстроя России №1039/пр от 30.12.2016г.</t>
  </si>
  <si>
    <t>8,3</t>
  </si>
  <si>
    <t>14.3.01.02-0102</t>
  </si>
  <si>
    <t>Грунтовка: водно-дисперсионная "БИРСС Бетон-контакт"</t>
  </si>
  <si>
    <t>ФССЦ-2001, 14.3.01.02-0102, приказ Минстроя России №1039/пр от 30.12.2016г.</t>
  </si>
  <si>
    <t>9</t>
  </si>
  <si>
    <t>15-04-007-01</t>
  </si>
  <si>
    <t>Окраска водно-дисперсионными акриловыми составами улучшенная по штукатурке стен</t>
  </si>
  <si>
    <t>ФЕР-2001, 15-04-007-01, приказ Минстроя России №1039/пр от 30.12.2016г.</t>
  </si>
  <si>
    <t>9,1</t>
  </si>
  <si>
    <t>14.3.02.01-0014</t>
  </si>
  <si>
    <t>Краска акриловая Alpina RENOVA, CAPAROL водно-дисперсионная</t>
  </si>
  <si>
    <t>ФССЦ-2001, 14.3.02.01-0014, приказ Минстроя России №1039/пр от 30.12.2016г.</t>
  </si>
  <si>
    <t>9,2</t>
  </si>
  <si>
    <t>10</t>
  </si>
  <si>
    <t>15-04-007-02</t>
  </si>
  <si>
    <t>Окраска водно-дисперсионными акриловыми составами улучшенная по штукатурке потолков</t>
  </si>
  <si>
    <t>ФЕР-2001, 15-04-007-02, приказ Минстроя России №1039/пр от 30.12.2016г.</t>
  </si>
  <si>
    <t>10,1</t>
  </si>
  <si>
    <t>10,2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</si>
  <si>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</si>
  <si>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</si>
  <si>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</si>
  <si>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</si>
  <si>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</si>
  <si>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</si>
  <si>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</si>
  <si>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</si>
  <si>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</si>
  <si>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</si>
  <si>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</si>
  <si>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</si>
  <si>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</si>
  <si>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</si>
  <si>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</si>
  <si>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</si>
  <si>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</si>
  <si>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</si>
  <si>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</si>
  <si>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</si>
  <si>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</si>
  <si>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</si>
  <si>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</si>
  <si>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</si>
  <si>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</si>
  <si>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</si>
  <si>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</si>
  <si>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</si>
  <si>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</si>
  <si>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</si>
  <si>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</si>
  <si>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</si>
  <si>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</si>
  <si>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</si>
  <si>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</si>
  <si>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</si>
  <si>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</si>
  <si>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</si>
  <si>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</si>
  <si>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</si>
  <si>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</si>
  <si>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</si>
  <si>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</si>
  <si>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</si>
  <si>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</si>
  <si>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</si>
  <si>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</si>
  <si>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</si>
  <si>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</si>
  <si>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</si>
  <si>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</si>
  <si>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</si>
  <si>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Итого 1</t>
  </si>
  <si>
    <t>Итого2</t>
  </si>
  <si>
    <t>Итого НДС 18%</t>
  </si>
  <si>
    <t>Итого 3</t>
  </si>
  <si>
    <t>Всего по смете</t>
  </si>
  <si>
    <t>СТР_РЕК</t>
  </si>
  <si>
    <t>СТРОИТЕЛЬСТВО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</si>
  <si>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</si>
  <si>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</si>
  <si>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</si>
  <si>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ПУТЕПРОВОДОВ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</si>
  <si>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</si>
  <si>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</si>
  <si>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</si>
  <si>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</si>
  <si>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</si>
  <si>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</si>
  <si>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</si>
  <si>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</si>
  <si>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</si>
  <si>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М/Т/Я</t>
  </si>
  <si>
    <t>Работы по строительству мостов, тоннелей, метрополитенов, атомных станций, объектов с ядерным топливом и радиокативными отходами ( письмо Госстроя РФ № 2536-ИП/12/ГС от 27.11.12), коэффициенты к НР =0,85 и к СП-0,8 не назначаются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</si>
  <si>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</si>
  <si>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</si>
  <si>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</si>
  <si>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</si>
  <si>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</si>
  <si>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</si>
  <si>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</si>
  <si>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</si>
  <si>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</si>
  <si>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</si>
  <si>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</si>
  <si>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</si>
  <si>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Инд_исп.Сводный</t>
  </si>
  <si>
    <t>Используется Индекс "по сводному"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</si>
  <si>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</si>
  <si>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</si>
  <si>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</si>
  <si>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</si>
  <si>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</si>
  <si>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</si>
  <si>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</si>
  <si>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</si>
  <si>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</si>
  <si>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</si>
  <si>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</si>
  <si>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</si>
  <si>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</si>
  <si>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</si>
  <si>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</si>
  <si>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Корректировка НР с 03.12.12   если (М/Т/Я) = {выкл.}</t>
  </si>
  <si>
    <t>К_СП_12</t>
  </si>
  <si>
    <t>Корректировка СП с 03.12.12  в текущем уровне цен по письму  2536-ИП/12/ГС от 27.11.12  ( если (М/Т/Я)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</si>
  <si>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</si>
  <si>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</si>
  <si>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</si>
  <si>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</si>
  <si>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</si>
  <si>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способе производства работ   ( если {ХОЗ}= {вкл} )</t>
  </si>
  <si>
    <t>К_НР_СЛЖ</t>
  </si>
  <si>
    <t>Коэф.  при реконструкции сложных объектов  и  кап. ремонте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</si>
  <si>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</si>
  <si>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</si>
  <si>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К_НР_УПР_ПУ</t>
  </si>
  <si>
    <t>Коэф. к НР при упрощенном налогообложении ( если {УПР} = [вкл] ) для расценок на изготовление материалов, полуфабрикатов, а также металлических и трубопроводных заготовок, изготовляемых в построечных условиях</t>
  </si>
  <si>
    <t>Базовый</t>
  </si>
  <si>
    <t>Текущий уровень цен</t>
  </si>
  <si>
    <t>Индексы за итогом</t>
  </si>
  <si>
    <t>_OBSM_</t>
  </si>
  <si>
    <t>1-100-20</t>
  </si>
  <si>
    <t>Рабочий среднего разряда 2</t>
  </si>
  <si>
    <t>чел.-ч.</t>
  </si>
  <si>
    <t>4-100-00</t>
  </si>
  <si>
    <t>Затраты труда машинистов</t>
  </si>
  <si>
    <t>91.06.06-048</t>
  </si>
  <si>
    <t>ФСЭМ-2001, 91.06.06-048, приказ Минстроя России №1039/пр от 30.12.2016г.</t>
  </si>
  <si>
    <t>Подъемники одномачтовые, грузоподъемность до 500 кг, высота подъема 45 м</t>
  </si>
  <si>
    <t>маш.-ч</t>
  </si>
  <si>
    <t>1-100-30</t>
  </si>
  <si>
    <t>Рабочий среднего разряда 3</t>
  </si>
  <si>
    <t>91.06.06-046</t>
  </si>
  <si>
    <t>ФСЭМ-2001, 91.06.06-046, приказ Минстроя России №1039/пр от 30.12.2016г.</t>
  </si>
  <si>
    <t>Подъемники одномачтовые, грузоподъемность до 500 кг, высота подъема 25 м</t>
  </si>
  <si>
    <t>91.14.02-001</t>
  </si>
  <si>
    <t>ФСЭМ-2001, 91.14.02-001, приказ Минстроя России №1039/пр от 30.12.2016г.</t>
  </si>
  <si>
    <t>Автомобили бортовые, грузоподъемность до 5 т</t>
  </si>
  <si>
    <t>01.7.03.01-0001</t>
  </si>
  <si>
    <t>ФССЦ-2001, 01.7.03.01-0001, приказ Минстроя России №1039/пр от 30.12.2016г.</t>
  </si>
  <si>
    <t>Вода</t>
  </si>
  <si>
    <t>м3</t>
  </si>
  <si>
    <t>04.3.02.01-0415</t>
  </si>
  <si>
    <t>ФССЦ-2001, 04.3.02.01-0415, приказ Минстроя России №1039/пр от 30.12.2016г.</t>
  </si>
  <si>
    <t>Смеси сухие для наливных полов, марка «Ветонит» 5000</t>
  </si>
  <si>
    <t>14.4.01.02-0113</t>
  </si>
  <si>
    <t>ФССЦ-2001, 14.4.01.02-0113, приказ Минстроя России №1039/пр от 30.12.2016г.</t>
  </si>
  <si>
    <t>Грунтовка акриловая НОРТЕКС-ГРУНТ</t>
  </si>
  <si>
    <t>кг</t>
  </si>
  <si>
    <t>1-100-27</t>
  </si>
  <si>
    <t>Рабочий среднего разряда 2.7</t>
  </si>
  <si>
    <t>01.7.20.08-0051</t>
  </si>
  <si>
    <t>ФССЦ-2001, 01.7.20.08-0051, приказ Минстроя России №1039/пр от 30.12.2016г.</t>
  </si>
  <si>
    <t>Ветошь</t>
  </si>
  <si>
    <t>1-100-36</t>
  </si>
  <si>
    <t>Рабочий среднего разряда 3.6</t>
  </si>
  <si>
    <t>01.7.15.04-0048</t>
  </si>
  <si>
    <t>ФССЦ-2001, 01.7.15.04-0048, приказ Минстроя России №1039/пр от 30.12.2016г.</t>
  </si>
  <si>
    <t>Винты самонарезающие остроконечные длиной 35 мм</t>
  </si>
  <si>
    <t>01.7.15.07-0021</t>
  </si>
  <si>
    <t>ФССЦ-2001, 01.7.15.07-0021, приказ Минстроя России №1039/пр от 30.12.2016г.</t>
  </si>
  <si>
    <t>Дюбели распорные полиэтиленовые 6х30 мм</t>
  </si>
  <si>
    <t>1000 шт.</t>
  </si>
  <si>
    <t>91.06.05-011</t>
  </si>
  <si>
    <t>ФСЭМ-2001, 91.06.05-011, приказ Минстроя России №1039/пр от 30.12.2016г.</t>
  </si>
  <si>
    <t>Погрузчик, грузоподъемность 5 т</t>
  </si>
  <si>
    <t>91.07.08-024</t>
  </si>
  <si>
    <t>ФСЭМ-2001, 91.07.08-024, приказ Минстроя России №1039/пр от 30.12.2016г.</t>
  </si>
  <si>
    <t>Растворосмесители передвижные 65 л</t>
  </si>
  <si>
    <t>1-100-32</t>
  </si>
  <si>
    <t>Рабочий среднего разряда 3.2</t>
  </si>
  <si>
    <t>01.7.17.11-0011</t>
  </si>
  <si>
    <t>ФССЦ-2001, 01.7.17.11-0011, приказ Минстроя России №1039/пр от 30.12.2016г.</t>
  </si>
  <si>
    <t>Шкурка шлифовальная двухслойная с зернистостью 40-25</t>
  </si>
  <si>
    <t>14.5.11.02-0101</t>
  </si>
  <si>
    <t>ФССЦ-2001, 14.5.11.02-0101, приказ Минстроя России №1039/пр от 30.12.2016г.</t>
  </si>
  <si>
    <t>Шпатлевка водно-дисперсионная</t>
  </si>
  <si>
    <t>01.7.07.07</t>
  </si>
  <si>
    <t>Строительный мусор</t>
  </si>
  <si>
    <t>14.1.06.05</t>
  </si>
  <si>
    <t>Состав клеящий</t>
  </si>
  <si>
    <t>11.3.03.06</t>
  </si>
  <si>
    <t>Плинтуса для полов пластиковые</t>
  </si>
  <si>
    <t>11.3.03.14</t>
  </si>
  <si>
    <t>Уголок наружный для пластикового плинтуса</t>
  </si>
  <si>
    <t>шт.</t>
  </si>
  <si>
    <t>Уголок внутренний для пластикового плинтуса</t>
  </si>
  <si>
    <t>Соединитель для пластикового плинтуса</t>
  </si>
  <si>
    <t>Заглушка торцевая для пластикового плинтуса левая</t>
  </si>
  <si>
    <t>Заглушка торцевая для пластикового плинтуса правая</t>
  </si>
  <si>
    <t>14.4.01.21</t>
  </si>
  <si>
    <t>Грунтовка</t>
  </si>
  <si>
    <t>14.3.02.01</t>
  </si>
  <si>
    <t>Краска акриловая</t>
  </si>
  <si>
    <t>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</t>
  </si>
  <si>
    <t>базовая цена</t>
  </si>
  <si>
    <t>текущая цена</t>
  </si>
  <si>
    <t>Сметная стоимость</t>
  </si>
  <si>
    <t>тыс. руб.</t>
  </si>
  <si>
    <t xml:space="preserve">     Строительные работы</t>
  </si>
  <si>
    <t xml:space="preserve">     Монтажные работы</t>
  </si>
  <si>
    <t xml:space="preserve">     Оборудование</t>
  </si>
  <si>
    <t xml:space="preserve">     Прочие работы</t>
  </si>
  <si>
    <t>Нормативная трудоемкость</t>
  </si>
  <si>
    <t>чел. -ч.</t>
  </si>
  <si>
    <t>Средства на оплату труда</t>
  </si>
  <si>
    <t>№ п/п</t>
  </si>
  <si>
    <t>Шифр расценки и коды ресурсов</t>
  </si>
  <si>
    <t>Наименование работ и затрат</t>
  </si>
  <si>
    <t>Ед. изм.</t>
  </si>
  <si>
    <t>Кол-во единиц</t>
  </si>
  <si>
    <t>Цена на ед. изм.</t>
  </si>
  <si>
    <t>Попра-вочные коэфф.</t>
  </si>
  <si>
    <t>Стоимость в ценах 2001г.</t>
  </si>
  <si>
    <t>Пункт коэфф. пересчета</t>
  </si>
  <si>
    <t>Коэфф. пересчета</t>
  </si>
  <si>
    <t>Стоимость в текущих ценах</t>
  </si>
  <si>
    <t>ЗТР всего чел.-час</t>
  </si>
  <si>
    <t>Зарплата</t>
  </si>
  <si>
    <t>НР от ФОТ</t>
  </si>
  <si>
    <t>%</t>
  </si>
  <si>
    <t>СП от ФОТ</t>
  </si>
  <si>
    <t>Затраты труда</t>
  </si>
  <si>
    <t>чел-ч</t>
  </si>
  <si>
    <t>в т.ч. зарплата машинистов</t>
  </si>
  <si>
    <t>Материальные ресурсы</t>
  </si>
  <si>
    <t xml:space="preserve">   </t>
  </si>
  <si>
    <t>Унифицированная форма № КС-2</t>
  </si>
  <si>
    <t>Утверждена постановлением Госкомстата России</t>
  </si>
  <si>
    <t>от 11.11.99. № 100</t>
  </si>
  <si>
    <t>Код</t>
  </si>
  <si>
    <t>Форма по ОКУД</t>
  </si>
  <si>
    <t>0322005</t>
  </si>
  <si>
    <t>Инвестор</t>
  </si>
  <si>
    <t>по ОКПО</t>
  </si>
  <si>
    <t>организация, адрес, телефон, факс</t>
  </si>
  <si>
    <t>Заказчик</t>
  </si>
  <si>
    <t>Подрядчик</t>
  </si>
  <si>
    <t>Стройка</t>
  </si>
  <si>
    <t>наименование, адрес</t>
  </si>
  <si>
    <t>Объект</t>
  </si>
  <si>
    <t>наименование</t>
  </si>
  <si>
    <t xml:space="preserve">Вид деятельности по ОКДП  </t>
  </si>
  <si>
    <t xml:space="preserve">Договор подряда  </t>
  </si>
  <si>
    <t>номер</t>
  </si>
  <si>
    <t>дата</t>
  </si>
  <si>
    <t xml:space="preserve">Вид операции  </t>
  </si>
  <si>
    <t>Номер документа</t>
  </si>
  <si>
    <t>Дата составления</t>
  </si>
  <si>
    <t>Отчетный период</t>
  </si>
  <si>
    <t>с</t>
  </si>
  <si>
    <t>по</t>
  </si>
  <si>
    <t>AKT</t>
  </si>
  <si>
    <t>О ПРИЕМКЕ ВЫПОЛНЕННЫХ РАБОТ</t>
  </si>
  <si>
    <t>Сметная (договорная) стоимость в соответствии с договором подряда (субподряда)</t>
  </si>
  <si>
    <t xml:space="preserve"> тыс.руб</t>
  </si>
  <si>
    <t>Номер</t>
  </si>
  <si>
    <t>Наименование работ</t>
  </si>
  <si>
    <t>Номер единичной расценки</t>
  </si>
  <si>
    <t>Единица измерения</t>
  </si>
  <si>
    <t>Выполнено работ</t>
  </si>
  <si>
    <t>по порядку</t>
  </si>
  <si>
    <t>поз. по смете</t>
  </si>
  <si>
    <t>Количество</t>
  </si>
  <si>
    <t>цена за единицу, руб</t>
  </si>
  <si>
    <t>стоимость, руб</t>
  </si>
  <si>
    <t>Коэфф. к ОЗП</t>
  </si>
  <si>
    <t>Коэфф. к эксплуатации машин</t>
  </si>
  <si>
    <t>Коэфф. к материалам</t>
  </si>
  <si>
    <t>Коэфф. к ЗПМ</t>
  </si>
  <si>
    <t>% НР</t>
  </si>
  <si>
    <t>% СП</t>
  </si>
  <si>
    <t xml:space="preserve">Итого с НР и СП </t>
  </si>
  <si>
    <t xml:space="preserve">Эксплуатация машин </t>
  </si>
  <si>
    <t xml:space="preserve">Оплата труда машинистов </t>
  </si>
  <si>
    <t xml:space="preserve">Оплата труда рабочих </t>
  </si>
  <si>
    <t xml:space="preserve">Затраты труда рабочих </t>
  </si>
  <si>
    <t xml:space="preserve">Затраты труда машинистов </t>
  </si>
  <si>
    <t>% НР с поправкой</t>
  </si>
  <si>
    <t>СП с поправкой</t>
  </si>
  <si>
    <t xml:space="preserve">Стоимость материалов </t>
  </si>
  <si>
    <t xml:space="preserve">Сдал </t>
  </si>
  <si>
    <t>должность</t>
  </si>
  <si>
    <t>подпись</t>
  </si>
  <si>
    <t>расшифровка подпись</t>
  </si>
  <si>
    <t>М.П.</t>
  </si>
  <si>
    <t xml:space="preserve">Принял </t>
  </si>
  <si>
    <t>СМЕТА</t>
  </si>
  <si>
    <t>Составлена в ценахIV квартал 2017 года</t>
  </si>
  <si>
    <t>Капитальный ремонт помещения №36 лаборатории СХД 2-го этажа здания учебного корпуса Озерского технологического института-филиала НИЯУ МИФИ (ОТИ НИЯУ МИФИ)по адресу:  Челябинская обл., г. Озерск, пр-т Победы, д.48</t>
  </si>
  <si>
    <t>Приложение № 1 к Приложению № 5
к извещению о проведении
запроса котировок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</si>
</sst>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\-\ #,##0.00"/>
    <numFmt numFmtId="165" formatCode="#,##0.00####;[Red]\-\ #,##0.00####"/>
  </numFmts>
  <fonts count="23" x14ac:knownFonts="1">
    <font>
      <sz val="10"/>
      <name val="Arial"/>
      <charset val="204"/>
    </font>
    <font>
      <b/>
      <sz val="10"/>
      <color indexed="12"/>
      <name val="Arial"/>
      <charset val="204"/>
    </font>
    <font>
      <sz val="10"/>
      <color indexed="18"/>
      <name val="Arial"/>
      <charset val="204"/>
    </font>
    <font>
      <b/>
      <sz val="10"/>
      <color indexed="16"/>
      <name val="Arial"/>
      <charset val="204"/>
    </font>
    <font>
      <b/>
      <sz val="10"/>
      <color indexed="20"/>
      <name val="Arial"/>
      <charset val="204"/>
    </font>
    <font>
      <b/>
      <sz val="10"/>
      <color indexed="17"/>
      <name val="Arial"/>
      <charset val="204"/>
    </font>
    <font>
      <sz val="10"/>
      <color indexed="17"/>
      <name val="Arial"/>
      <charset val="204"/>
    </font>
    <font>
      <sz val="10"/>
      <color indexed="12"/>
      <name val="Arial"/>
      <charset val="204"/>
    </font>
    <font>
      <sz val="10"/>
      <color indexed="14"/>
      <name val="Arial"/>
      <charset val="204"/>
    </font>
    <font>
      <sz val="10"/>
      <color indexed="16"/>
      <name val="Arial"/>
      <charset val="204"/>
    </font>
    <font>
      <b/>
      <sz val="10"/>
      <color indexed="14"/>
      <name val="Arial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b/>
      <sz val="14"/>
      <name val="Arial"/>
      <family val="2"/>
      <charset val="204"/>
    </font>
    <font>
      <b/>
      <sz val="9"/>
      <name val="Arial"/>
      <family val="2"/>
      <charset val="204"/>
    </font>
    <font>
      <i/>
      <sz val="11"/>
      <name val="Arial"/>
      <family val="2"/>
      <charset val="204"/>
    </font>
    <font>
      <b/>
      <sz val="10"/>
      <name val="Arial"/>
      <family val="2"/>
      <charset val="204"/>
    </font>
    <font>
      <u/>
      <sz val="10"/>
      <name val="Arial"/>
      <family val="2"/>
      <charset val="204"/>
    </font>
    <font>
      <u/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2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 applyAlignment="1">
      <alignment horizontal="right"/>
    </xf>
    <xf numFmtId="0" fontId="13" fillId="0" borderId="0" xfId="0" applyFont="1"/>
    <xf numFmtId="0" fontId="14" fillId="0" borderId="0" xfId="0" applyFont="1" applyAlignment="1"/>
    <xf numFmtId="0" fontId="13" fillId="0" borderId="0" xfId="0" applyFont="1" applyAlignment="1"/>
    <xf numFmtId="0" fontId="13" fillId="0" borderId="0" xfId="0" applyFont="1" applyBorder="1" applyAlignment="1">
      <alignment horizontal="left"/>
    </xf>
    <xf numFmtId="0" fontId="13" fillId="0" borderId="0" xfId="0" applyFont="1" applyAlignment="1">
      <alignment horizontal="left"/>
    </xf>
    <xf numFmtId="0" fontId="13" fillId="0" borderId="0" xfId="0" applyFont="1" applyBorder="1" applyAlignment="1">
      <alignment wrapText="1"/>
    </xf>
    <xf numFmtId="0" fontId="16" fillId="0" borderId="0" xfId="0" applyFont="1" applyAlignment="1">
      <alignment vertical="center" wrapText="1"/>
    </xf>
    <xf numFmtId="0" fontId="15" fillId="0" borderId="0" xfId="0" applyFont="1" applyBorder="1" applyAlignment="1">
      <alignment horizontal="center" wrapText="1"/>
    </xf>
    <xf numFmtId="0" fontId="16" fillId="0" borderId="0" xfId="0" applyFont="1" applyBorder="1" applyAlignment="1">
      <alignment wrapText="1"/>
    </xf>
    <xf numFmtId="0" fontId="13" fillId="0" borderId="0" xfId="0" applyFont="1" applyAlignment="1">
      <alignment horizontal="center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165" fontId="13" fillId="0" borderId="0" xfId="0" applyNumberFormat="1" applyFont="1"/>
    <xf numFmtId="164" fontId="13" fillId="0" borderId="0" xfId="0" applyNumberFormat="1" applyFont="1"/>
    <xf numFmtId="0" fontId="11" fillId="0" borderId="0" xfId="0" applyFont="1" applyAlignment="1">
      <alignment wrapText="1"/>
    </xf>
    <xf numFmtId="164" fontId="0" fillId="0" borderId="0" xfId="0" applyNumberFormat="1"/>
    <xf numFmtId="0" fontId="13" fillId="0" borderId="0" xfId="0" applyFont="1" applyAlignment="1">
      <alignment vertical="center"/>
    </xf>
    <xf numFmtId="0" fontId="16" fillId="0" borderId="0" xfId="0" applyFont="1"/>
    <xf numFmtId="0" fontId="13" fillId="0" borderId="0" xfId="0" applyFont="1" applyAlignment="1">
      <alignment horizontal="left" wrapText="1"/>
    </xf>
    <xf numFmtId="0" fontId="13" fillId="0" borderId="2" xfId="0" applyFont="1" applyBorder="1" applyAlignment="1">
      <alignment horizontal="left" wrapText="1"/>
    </xf>
    <xf numFmtId="0" fontId="19" fillId="0" borderId="0" xfId="0" applyFont="1" applyAlignment="1">
      <alignment horizontal="right" wrapText="1"/>
    </xf>
    <xf numFmtId="165" fontId="13" fillId="0" borderId="0" xfId="0" applyNumberFormat="1" applyFont="1" applyAlignment="1">
      <alignment horizontal="right"/>
    </xf>
    <xf numFmtId="0" fontId="13" fillId="0" borderId="0" xfId="0" applyFont="1" applyAlignment="1">
      <alignment horizontal="right" wrapText="1"/>
    </xf>
    <xf numFmtId="164" fontId="13" fillId="0" borderId="0" xfId="0" applyNumberFormat="1" applyFont="1" applyAlignment="1">
      <alignment horizontal="right"/>
    </xf>
    <xf numFmtId="0" fontId="12" fillId="0" borderId="0" xfId="0" applyFont="1" applyAlignment="1">
      <alignment horizontal="right"/>
    </xf>
    <xf numFmtId="0" fontId="11" fillId="0" borderId="0" xfId="0" applyFont="1" applyAlignment="1">
      <alignment horizontal="right" wrapText="1"/>
    </xf>
    <xf numFmtId="0" fontId="19" fillId="0" borderId="2" xfId="0" applyFont="1" applyBorder="1" applyAlignment="1">
      <alignment horizontal="right" wrapText="1"/>
    </xf>
    <xf numFmtId="0" fontId="13" fillId="0" borderId="2" xfId="0" applyFont="1" applyBorder="1" applyAlignment="1">
      <alignment horizontal="right"/>
    </xf>
    <xf numFmtId="165" fontId="13" fillId="0" borderId="2" xfId="0" applyNumberFormat="1" applyFont="1" applyBorder="1" applyAlignment="1">
      <alignment horizontal="right"/>
    </xf>
    <xf numFmtId="0" fontId="13" fillId="0" borderId="2" xfId="0" applyFont="1" applyBorder="1" applyAlignment="1">
      <alignment horizontal="right" wrapText="1"/>
    </xf>
    <xf numFmtId="164" fontId="13" fillId="0" borderId="2" xfId="0" applyNumberFormat="1" applyFont="1" applyBorder="1" applyAlignment="1">
      <alignment horizontal="right"/>
    </xf>
    <xf numFmtId="164" fontId="12" fillId="0" borderId="2" xfId="0" applyNumberFormat="1" applyFont="1" applyBorder="1" applyAlignment="1">
      <alignment horizontal="right"/>
    </xf>
    <xf numFmtId="164" fontId="18" fillId="0" borderId="0" xfId="0" applyNumberFormat="1" applyFont="1" applyAlignment="1">
      <alignment horizontal="right"/>
    </xf>
    <xf numFmtId="164" fontId="19" fillId="0" borderId="0" xfId="0" applyNumberFormat="1" applyFont="1" applyAlignment="1">
      <alignment horizontal="right"/>
    </xf>
    <xf numFmtId="164" fontId="12" fillId="0" borderId="0" xfId="0" applyNumberFormat="1" applyFont="1" applyAlignment="1">
      <alignment horizontal="right"/>
    </xf>
    <xf numFmtId="0" fontId="13" fillId="0" borderId="0" xfId="0" quotePrefix="1" applyFont="1" applyAlignment="1">
      <alignment horizontal="right" wrapText="1"/>
    </xf>
    <xf numFmtId="0" fontId="13" fillId="0" borderId="2" xfId="0" quotePrefix="1" applyFont="1" applyBorder="1" applyAlignment="1">
      <alignment horizontal="right" wrapText="1"/>
    </xf>
    <xf numFmtId="0" fontId="12" fillId="0" borderId="2" xfId="0" applyFont="1" applyBorder="1" applyAlignment="1">
      <alignment horizontal="right"/>
    </xf>
    <xf numFmtId="0" fontId="13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 wrapText="1"/>
    </xf>
    <xf numFmtId="0" fontId="13" fillId="0" borderId="2" xfId="0" applyFont="1" applyBorder="1" applyAlignment="1">
      <alignment horizontal="left" vertical="top"/>
    </xf>
    <xf numFmtId="0" fontId="13" fillId="0" borderId="2" xfId="0" applyFont="1" applyBorder="1" applyAlignment="1">
      <alignment horizontal="left" vertical="top" wrapText="1"/>
    </xf>
    <xf numFmtId="165" fontId="11" fillId="0" borderId="0" xfId="0" applyNumberFormat="1" applyFont="1" applyAlignment="1">
      <alignment horizontal="left"/>
    </xf>
    <xf numFmtId="0" fontId="16" fillId="0" borderId="0" xfId="0" applyFont="1" applyAlignment="1">
      <alignment horizontal="left" wrapText="1"/>
    </xf>
    <xf numFmtId="0" fontId="13" fillId="0" borderId="5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/>
    </xf>
    <xf numFmtId="14" fontId="11" fillId="0" borderId="4" xfId="0" applyNumberFormat="1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165" fontId="11" fillId="0" borderId="0" xfId="0" applyNumberFormat="1" applyFont="1" applyAlignment="1">
      <alignment horizontal="right" wrapText="1"/>
    </xf>
    <xf numFmtId="164" fontId="11" fillId="0" borderId="0" xfId="0" applyNumberFormat="1" applyFont="1" applyAlignment="1">
      <alignment horizontal="right" wrapText="1"/>
    </xf>
    <xf numFmtId="0" fontId="16" fillId="0" borderId="0" xfId="0" applyFont="1" applyAlignment="1">
      <alignment horizontal="right"/>
    </xf>
    <xf numFmtId="164" fontId="16" fillId="0" borderId="0" xfId="0" applyNumberFormat="1" applyFont="1" applyAlignment="1">
      <alignment horizontal="right"/>
    </xf>
    <xf numFmtId="0" fontId="13" fillId="0" borderId="14" xfId="0" applyFont="1" applyBorder="1" applyAlignment="1">
      <alignment horizontal="left" vertical="center" shrinkToFit="1"/>
    </xf>
    <xf numFmtId="0" fontId="13" fillId="0" borderId="14" xfId="0" applyFont="1" applyBorder="1" applyAlignment="1">
      <alignment horizontal="center" vertical="center" shrinkToFit="1"/>
    </xf>
    <xf numFmtId="0" fontId="12" fillId="0" borderId="0" xfId="0" applyFont="1" applyAlignment="1">
      <alignment horizontal="center" vertical="top" shrinkToFit="1"/>
    </xf>
    <xf numFmtId="0" fontId="20" fillId="0" borderId="0" xfId="0" applyFont="1"/>
    <xf numFmtId="0" fontId="13" fillId="0" borderId="0" xfId="0" applyFont="1"/>
    <xf numFmtId="0" fontId="13" fillId="0" borderId="0" xfId="0" applyFont="1" applyAlignment="1">
      <alignment horizontal="right"/>
    </xf>
    <xf numFmtId="0" fontId="13" fillId="0" borderId="0" xfId="0" applyFont="1" applyBorder="1"/>
    <xf numFmtId="0" fontId="22" fillId="0" borderId="0" xfId="0" applyFont="1" applyBorder="1"/>
    <xf numFmtId="0" fontId="21" fillId="0" borderId="0" xfId="0" applyFont="1" applyBorder="1"/>
    <xf numFmtId="0" fontId="0" fillId="0" borderId="0" xfId="0" applyBorder="1"/>
    <xf numFmtId="0" fontId="12" fillId="0" borderId="0" xfId="0" applyFont="1" applyBorder="1"/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 wrapText="1"/>
    </xf>
    <xf numFmtId="164" fontId="16" fillId="0" borderId="1" xfId="0" applyNumberFormat="1" applyFont="1" applyBorder="1" applyAlignment="1">
      <alignment horizontal="right"/>
    </xf>
    <xf numFmtId="0" fontId="14" fillId="0" borderId="0" xfId="0" applyFont="1" applyAlignment="1">
      <alignment horizontal="center" wrapText="1"/>
    </xf>
    <xf numFmtId="164" fontId="16" fillId="0" borderId="0" xfId="0" applyNumberFormat="1" applyFont="1" applyAlignment="1">
      <alignment horizontal="right"/>
    </xf>
    <xf numFmtId="0" fontId="16" fillId="0" borderId="0" xfId="0" applyFont="1" applyAlignment="1">
      <alignment horizontal="left" wrapText="1"/>
    </xf>
    <xf numFmtId="0" fontId="12" fillId="0" borderId="0" xfId="0" applyFont="1" applyBorder="1" applyAlignment="1">
      <alignment horizontal="center" vertical="top"/>
    </xf>
    <xf numFmtId="0" fontId="16" fillId="0" borderId="0" xfId="0" applyFont="1" applyAlignment="1">
      <alignment horizontal="right"/>
    </xf>
    <xf numFmtId="164" fontId="13" fillId="0" borderId="0" xfId="0" applyNumberFormat="1" applyFont="1" applyAlignment="1">
      <alignment horizontal="right"/>
    </xf>
    <xf numFmtId="0" fontId="13" fillId="0" borderId="0" xfId="0" applyFont="1"/>
    <xf numFmtId="0" fontId="13" fillId="0" borderId="2" xfId="0" applyFont="1" applyBorder="1" applyAlignment="1">
      <alignment horizontal="left"/>
    </xf>
    <xf numFmtId="0" fontId="13" fillId="0" borderId="0" xfId="0" applyFont="1" applyAlignment="1">
      <alignment horizontal="right"/>
    </xf>
    <xf numFmtId="0" fontId="15" fillId="0" borderId="0" xfId="0" applyFont="1" applyBorder="1" applyAlignment="1">
      <alignment horizontal="center" wrapText="1"/>
    </xf>
    <xf numFmtId="0" fontId="17" fillId="0" borderId="0" xfId="0" applyFont="1" applyBorder="1" applyAlignment="1">
      <alignment horizontal="center" wrapText="1"/>
    </xf>
    <xf numFmtId="0" fontId="12" fillId="0" borderId="0" xfId="0" applyFont="1" applyBorder="1" applyAlignment="1">
      <alignment horizontal="center" vertical="top" wrapText="1"/>
    </xf>
    <xf numFmtId="0" fontId="13" fillId="0" borderId="0" xfId="0" applyFont="1" applyAlignment="1">
      <alignment horizontal="center" vertical="top"/>
    </xf>
    <xf numFmtId="0" fontId="15" fillId="0" borderId="0" xfId="0" applyFont="1" applyAlignment="1">
      <alignment horizontal="left"/>
    </xf>
    <xf numFmtId="0" fontId="13" fillId="0" borderId="0" xfId="0" applyFont="1" applyAlignment="1">
      <alignment horizontal="left" wrapText="1"/>
    </xf>
    <xf numFmtId="0" fontId="13" fillId="0" borderId="0" xfId="0" applyFont="1" applyAlignment="1">
      <alignment horizontal="right" vertical="center" shrinkToFit="1"/>
    </xf>
    <xf numFmtId="0" fontId="13" fillId="0" borderId="14" xfId="0" applyFont="1" applyBorder="1" applyAlignment="1">
      <alignment horizontal="left" vertical="center" shrinkToFit="1"/>
    </xf>
    <xf numFmtId="0" fontId="12" fillId="0" borderId="15" xfId="0" applyFont="1" applyBorder="1" applyAlignment="1">
      <alignment horizontal="center" vertical="top" shrinkToFit="1"/>
    </xf>
    <xf numFmtId="0" fontId="11" fillId="0" borderId="0" xfId="0" quotePrefix="1" applyFont="1" applyAlignment="1">
      <alignment wrapText="1"/>
    </xf>
    <xf numFmtId="164" fontId="16" fillId="0" borderId="2" xfId="0" applyNumberFormat="1" applyFont="1" applyBorder="1" applyAlignment="1">
      <alignment horizontal="right"/>
    </xf>
    <xf numFmtId="0" fontId="13" fillId="0" borderId="3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2" fillId="0" borderId="1" xfId="0" applyFont="1" applyBorder="1" applyAlignment="1">
      <alignment horizontal="center"/>
    </xf>
    <xf numFmtId="0" fontId="13" fillId="0" borderId="8" xfId="0" applyFont="1" applyBorder="1" applyAlignment="1">
      <alignment horizontal="right"/>
    </xf>
    <xf numFmtId="0" fontId="13" fillId="0" borderId="5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14" fontId="13" fillId="0" borderId="5" xfId="0" applyNumberFormat="1" applyFont="1" applyBorder="1" applyAlignment="1">
      <alignment horizontal="center"/>
    </xf>
    <xf numFmtId="14" fontId="13" fillId="0" borderId="6" xfId="0" applyNumberFormat="1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11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/>
    </xf>
    <xf numFmtId="0" fontId="13" fillId="0" borderId="8" xfId="0" applyFont="1" applyBorder="1" applyAlignment="1">
      <alignment horizontal="center"/>
    </xf>
    <xf numFmtId="0" fontId="13" fillId="0" borderId="2" xfId="0" applyFont="1" applyBorder="1" applyAlignment="1">
      <alignment horizontal="left" wrapText="1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12" fillId="0" borderId="0" xfId="0" applyFont="1" applyAlignment="1">
      <alignment horizontal="right"/>
    </xf>
    <xf numFmtId="0" fontId="13" fillId="0" borderId="5" xfId="0" quotePrefix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47"/>
  <sheetViews>
    <sheetView tabSelected="1" zoomScaleNormal="100" workbookViewId="0">
      <selection activeCell="AL16" sqref="AL16"/>
    </sheetView>
  </sheetViews>
  <sheetFormatPr defaultRowHeight="12.75" x14ac:dyDescent="0.2"/>
  <cols>
    <col min="1" max="1" width="5.7109375" customWidth="1"/>
    <col min="2" max="2" width="11.7109375" customWidth="1"/>
    <col min="3" max="3" width="40.7109375" customWidth="1"/>
    <col min="4" max="5" width="10.7109375" customWidth="1"/>
    <col min="6" max="8" width="12.7109375" customWidth="1"/>
    <col min="9" max="9" width="17.7109375" customWidth="1"/>
    <col min="10" max="10" width="8.7109375" customWidth="1"/>
    <col min="11" max="11" width="12.7109375" customWidth="1"/>
    <col min="12" max="12" width="8.7109375" customWidth="1"/>
    <col min="15" max="31" width="0" hidden="1" customWidth="1"/>
    <col min="32" max="32" width="91.7109375" hidden="1" customWidth="1"/>
    <col min="33" max="36" width="0" hidden="1" customWidth="1"/>
  </cols>
  <sheetData>
    <row r="1" spans="1:12" x14ac:dyDescent="0.2">
      <c r="A1" s="12" t="str">
        <f>Source!B1</f>
        <v>Smeta.RU  (495) 974-1589</v>
      </c>
    </row>
    <row r="2" spans="1:12" ht="14.25" x14ac:dyDescent="0.2">
      <c r="A2" s="13"/>
      <c r="B2" s="13"/>
      <c r="C2" s="13"/>
      <c r="D2" s="13"/>
      <c r="E2" s="13"/>
      <c r="F2" s="13"/>
      <c r="G2" s="13"/>
      <c r="H2" s="13"/>
      <c r="I2" s="13"/>
      <c r="J2" s="13"/>
      <c r="K2" s="14"/>
      <c r="L2" s="14"/>
    </row>
    <row r="3" spans="1:12" ht="16.5" x14ac:dyDescent="0.25">
      <c r="A3" s="15"/>
      <c r="B3" s="96"/>
      <c r="C3" s="96"/>
      <c r="D3" s="96"/>
      <c r="E3" s="96"/>
      <c r="F3" s="14"/>
      <c r="G3" s="14"/>
      <c r="H3" s="96"/>
      <c r="I3" s="96"/>
      <c r="J3" s="96"/>
      <c r="K3" s="96"/>
      <c r="L3" s="96"/>
    </row>
    <row r="4" spans="1:12" ht="47.25" customHeight="1" x14ac:dyDescent="0.2">
      <c r="A4" s="14"/>
      <c r="B4" s="80"/>
      <c r="C4" s="80"/>
      <c r="D4" s="80"/>
      <c r="E4" s="80"/>
      <c r="F4" s="14"/>
      <c r="G4" s="14"/>
      <c r="H4" s="97" t="s">
        <v>419</v>
      </c>
      <c r="I4" s="80"/>
      <c r="J4" s="80"/>
      <c r="K4" s="80"/>
      <c r="L4" s="80"/>
    </row>
    <row r="5" spans="1:12" ht="14.25" x14ac:dyDescent="0.2">
      <c r="A5" s="16"/>
      <c r="B5" s="16"/>
      <c r="C5" s="17"/>
      <c r="D5" s="17"/>
      <c r="E5" s="17"/>
      <c r="F5" s="14"/>
      <c r="G5" s="14"/>
      <c r="H5" s="18"/>
      <c r="I5" s="17"/>
      <c r="J5" s="17"/>
      <c r="K5" s="17"/>
      <c r="L5" s="18"/>
    </row>
    <row r="7" spans="1:12" ht="15.75" x14ac:dyDescent="0.25">
      <c r="A7" s="20"/>
      <c r="B7" s="92" t="s">
        <v>416</v>
      </c>
      <c r="C7" s="92"/>
      <c r="D7" s="92"/>
      <c r="E7" s="92"/>
      <c r="F7" s="92"/>
      <c r="G7" s="92"/>
      <c r="H7" s="92"/>
      <c r="I7" s="92"/>
      <c r="J7" s="92"/>
      <c r="K7" s="92"/>
      <c r="L7" s="20"/>
    </row>
    <row r="8" spans="1:12" ht="15.75" x14ac:dyDescent="0.25">
      <c r="A8" s="20"/>
      <c r="B8" s="21"/>
      <c r="C8" s="21"/>
      <c r="D8" s="21"/>
      <c r="E8" s="21"/>
      <c r="F8" s="21"/>
      <c r="G8" s="21"/>
      <c r="H8" s="21"/>
      <c r="I8" s="21"/>
      <c r="J8" s="21"/>
      <c r="K8" s="21"/>
      <c r="L8" s="20"/>
    </row>
    <row r="9" spans="1:12" ht="18" hidden="1" x14ac:dyDescent="0.25">
      <c r="A9" s="20"/>
      <c r="B9" s="93"/>
      <c r="C9" s="93"/>
      <c r="D9" s="93"/>
      <c r="E9" s="93"/>
      <c r="F9" s="93"/>
      <c r="G9" s="93"/>
      <c r="H9" s="93"/>
      <c r="I9" s="93"/>
      <c r="J9" s="93"/>
      <c r="K9" s="93"/>
      <c r="L9" s="20"/>
    </row>
    <row r="10" spans="1:12" ht="14.25" hidden="1" x14ac:dyDescent="0.2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</row>
    <row r="11" spans="1:12" ht="55.5" customHeight="1" x14ac:dyDescent="0.25">
      <c r="A11" s="14"/>
      <c r="B11" s="93" t="s">
        <v>418</v>
      </c>
      <c r="C11" s="93"/>
      <c r="D11" s="93"/>
      <c r="E11" s="93"/>
      <c r="F11" s="93"/>
      <c r="G11" s="93"/>
      <c r="H11" s="93"/>
      <c r="I11" s="93"/>
      <c r="J11" s="93"/>
      <c r="K11" s="93"/>
      <c r="L11" s="22"/>
    </row>
    <row r="12" spans="1:12" ht="14.25" x14ac:dyDescent="0.2">
      <c r="A12" s="14"/>
      <c r="B12" s="94"/>
      <c r="C12" s="94"/>
      <c r="D12" s="94"/>
      <c r="E12" s="94"/>
      <c r="F12" s="94"/>
      <c r="G12" s="94"/>
      <c r="H12" s="94"/>
      <c r="I12" s="94"/>
      <c r="J12" s="94"/>
      <c r="K12" s="94"/>
      <c r="L12" s="19"/>
    </row>
    <row r="13" spans="1:12" ht="14.25" x14ac:dyDescent="0.2">
      <c r="A13" s="14"/>
      <c r="B13" s="14"/>
      <c r="C13" s="14"/>
      <c r="D13" s="14"/>
      <c r="E13" s="23"/>
      <c r="F13" s="23"/>
      <c r="G13" s="95" t="s">
        <v>324</v>
      </c>
      <c r="H13" s="95"/>
      <c r="I13" s="95" t="s">
        <v>325</v>
      </c>
      <c r="J13" s="95"/>
      <c r="K13" s="14"/>
      <c r="L13" s="14"/>
    </row>
    <row r="14" spans="1:12" ht="15" x14ac:dyDescent="0.25">
      <c r="A14" s="14"/>
      <c r="B14" s="14"/>
      <c r="C14" s="87" t="s">
        <v>326</v>
      </c>
      <c r="D14" s="87"/>
      <c r="E14" s="87"/>
      <c r="F14" s="87"/>
      <c r="G14" s="88">
        <f>SUM(O1:O137)/1000</f>
        <v>18.669970000000003</v>
      </c>
      <c r="H14" s="88"/>
      <c r="I14" s="88">
        <f>(Source!P139/1000)</f>
        <v>134.04085999999998</v>
      </c>
      <c r="J14" s="88"/>
      <c r="K14" s="89" t="s">
        <v>327</v>
      </c>
      <c r="L14" s="89"/>
    </row>
    <row r="15" spans="1:12" ht="14.25" x14ac:dyDescent="0.2">
      <c r="A15" s="14"/>
      <c r="B15" s="14"/>
      <c r="C15" s="91" t="s">
        <v>328</v>
      </c>
      <c r="D15" s="91"/>
      <c r="E15" s="91"/>
      <c r="F15" s="91"/>
      <c r="G15" s="88">
        <f>SUM(W1:W137)/1000</f>
        <v>18.669969999999999</v>
      </c>
      <c r="H15" s="88"/>
      <c r="I15" s="88">
        <f>(Source!P126)/1000</f>
        <v>113.59394999999999</v>
      </c>
      <c r="J15" s="88"/>
      <c r="K15" s="89" t="s">
        <v>327</v>
      </c>
      <c r="L15" s="89"/>
    </row>
    <row r="16" spans="1:12" ht="14.25" x14ac:dyDescent="0.2">
      <c r="A16" s="14"/>
      <c r="B16" s="14"/>
      <c r="C16" s="91" t="s">
        <v>329</v>
      </c>
      <c r="D16" s="91"/>
      <c r="E16" s="91"/>
      <c r="F16" s="91"/>
      <c r="G16" s="88">
        <f>SUM(X1:X137)/1000</f>
        <v>0</v>
      </c>
      <c r="H16" s="88"/>
      <c r="I16" s="88">
        <f>(Source!P127)/1000</f>
        <v>0</v>
      </c>
      <c r="J16" s="88"/>
      <c r="K16" s="89" t="s">
        <v>327</v>
      </c>
      <c r="L16" s="89"/>
    </row>
    <row r="17" spans="1:22" ht="14.25" x14ac:dyDescent="0.2">
      <c r="A17" s="14"/>
      <c r="B17" s="14"/>
      <c r="C17" s="91" t="s">
        <v>330</v>
      </c>
      <c r="D17" s="91"/>
      <c r="E17" s="91"/>
      <c r="F17" s="91"/>
      <c r="G17" s="88">
        <f>SUM(Y1:Y137)/1000</f>
        <v>0</v>
      </c>
      <c r="H17" s="88"/>
      <c r="I17" s="88">
        <f>(Source!P118)/1000</f>
        <v>0</v>
      </c>
      <c r="J17" s="88"/>
      <c r="K17" s="89" t="s">
        <v>327</v>
      </c>
      <c r="L17" s="89"/>
    </row>
    <row r="18" spans="1:22" ht="14.25" x14ac:dyDescent="0.2">
      <c r="A18" s="14"/>
      <c r="B18" s="14"/>
      <c r="C18" s="91" t="s">
        <v>331</v>
      </c>
      <c r="D18" s="91"/>
      <c r="E18" s="91"/>
      <c r="F18" s="91"/>
      <c r="G18" s="88">
        <f>SUM(Z1:Z137)/1000</f>
        <v>0</v>
      </c>
      <c r="H18" s="88"/>
      <c r="I18" s="88">
        <f>(Source!P128+Source!P129)/1000</f>
        <v>0</v>
      </c>
      <c r="J18" s="88"/>
      <c r="K18" s="89" t="s">
        <v>327</v>
      </c>
      <c r="L18" s="89"/>
    </row>
    <row r="19" spans="1:22" ht="15" x14ac:dyDescent="0.25">
      <c r="A19" s="14"/>
      <c r="B19" s="14"/>
      <c r="C19" s="87" t="s">
        <v>332</v>
      </c>
      <c r="D19" s="87"/>
      <c r="E19" s="87"/>
      <c r="F19" s="87"/>
      <c r="G19" s="88">
        <f>I19</f>
        <v>260.21301799999998</v>
      </c>
      <c r="H19" s="88"/>
      <c r="I19" s="88">
        <f>(Source!P131+Source!P132)</f>
        <v>260.21301799999998</v>
      </c>
      <c r="J19" s="88"/>
      <c r="K19" s="89" t="s">
        <v>333</v>
      </c>
      <c r="L19" s="89"/>
    </row>
    <row r="20" spans="1:22" ht="15" x14ac:dyDescent="0.25">
      <c r="A20" s="14"/>
      <c r="B20" s="14"/>
      <c r="C20" s="87" t="s">
        <v>334</v>
      </c>
      <c r="D20" s="87"/>
      <c r="E20" s="87"/>
      <c r="F20" s="87"/>
      <c r="G20" s="88">
        <f>SUM(R1:R137)/1000</f>
        <v>2.2323999999999997</v>
      </c>
      <c r="H20" s="88"/>
      <c r="I20" s="88">
        <f>((Source!P124 + Source!P123)/1000)</f>
        <v>13.573079999999999</v>
      </c>
      <c r="J20" s="88"/>
      <c r="K20" s="89" t="s">
        <v>327</v>
      </c>
      <c r="L20" s="89"/>
    </row>
    <row r="21" spans="1:22" ht="14.25" x14ac:dyDescent="0.2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</row>
    <row r="22" spans="1:22" ht="14.25" x14ac:dyDescent="0.2">
      <c r="A22" s="90" t="s">
        <v>417</v>
      </c>
      <c r="B22" s="90"/>
      <c r="C22" s="90"/>
      <c r="D22" s="90"/>
      <c r="E22" s="90"/>
      <c r="F22" s="90"/>
      <c r="G22" s="90"/>
      <c r="H22" s="90"/>
      <c r="I22" s="90"/>
      <c r="J22" s="90"/>
      <c r="K22" s="90"/>
      <c r="L22" s="90"/>
    </row>
    <row r="23" spans="1:22" ht="57" x14ac:dyDescent="0.2">
      <c r="A23" s="24" t="s">
        <v>335</v>
      </c>
      <c r="B23" s="24" t="s">
        <v>336</v>
      </c>
      <c r="C23" s="24" t="s">
        <v>337</v>
      </c>
      <c r="D23" s="24" t="s">
        <v>338</v>
      </c>
      <c r="E23" s="24" t="s">
        <v>339</v>
      </c>
      <c r="F23" s="24" t="s">
        <v>340</v>
      </c>
      <c r="G23" s="24" t="s">
        <v>341</v>
      </c>
      <c r="H23" s="24" t="s">
        <v>342</v>
      </c>
      <c r="I23" s="24" t="s">
        <v>343</v>
      </c>
      <c r="J23" s="24" t="s">
        <v>344</v>
      </c>
      <c r="K23" s="24" t="s">
        <v>345</v>
      </c>
      <c r="L23" s="24" t="s">
        <v>346</v>
      </c>
    </row>
    <row r="24" spans="1:22" ht="14.25" x14ac:dyDescent="0.2">
      <c r="A24" s="25">
        <v>1</v>
      </c>
      <c r="B24" s="25">
        <v>2</v>
      </c>
      <c r="C24" s="25">
        <v>3</v>
      </c>
      <c r="D24" s="25">
        <v>4</v>
      </c>
      <c r="E24" s="25">
        <v>5</v>
      </c>
      <c r="F24" s="25">
        <v>6</v>
      </c>
      <c r="G24" s="25">
        <v>7</v>
      </c>
      <c r="H24" s="25">
        <v>8</v>
      </c>
      <c r="I24" s="25">
        <v>9</v>
      </c>
      <c r="J24" s="25">
        <v>10</v>
      </c>
      <c r="K24" s="25">
        <v>11</v>
      </c>
      <c r="L24" s="26">
        <v>12</v>
      </c>
    </row>
    <row r="26" spans="1:22" ht="16.5" x14ac:dyDescent="0.25">
      <c r="A26" s="83" t="str">
        <f>CONCATENATE("Локальная смета: ",IF(Source!G20&lt;&gt;"Новая локальная смета", Source!G20, ""))</f>
        <v xml:space="preserve">Локальная смета: </v>
      </c>
      <c r="B26" s="83"/>
      <c r="C26" s="83"/>
      <c r="D26" s="83"/>
      <c r="E26" s="83"/>
      <c r="F26" s="83"/>
      <c r="G26" s="83"/>
      <c r="H26" s="83"/>
      <c r="I26" s="83"/>
      <c r="J26" s="83"/>
      <c r="K26" s="83"/>
      <c r="L26" s="83"/>
    </row>
    <row r="27" spans="1:22" ht="28.5" x14ac:dyDescent="0.2">
      <c r="A27" s="53" t="str">
        <f>Source!E25</f>
        <v>1</v>
      </c>
      <c r="B27" s="54" t="str">
        <f>Source!F25</f>
        <v>57-3-1</v>
      </c>
      <c r="C27" s="54" t="str">
        <f>Source!G25</f>
        <v>Разборка плинтусов деревянных и из пластмассовых материалов</v>
      </c>
      <c r="D27" s="35" t="str">
        <f>Source!H25</f>
        <v>100 м</v>
      </c>
      <c r="E27" s="13">
        <f>Source!I25</f>
        <v>0.23200000000000001</v>
      </c>
      <c r="F27" s="36">
        <f>Source!AL25+Source!AM25+Source!AO25</f>
        <v>29.41</v>
      </c>
      <c r="G27" s="37"/>
      <c r="H27" s="38"/>
      <c r="I27" s="37" t="str">
        <f>Source!BO25</f>
        <v/>
      </c>
      <c r="J27" s="37"/>
      <c r="K27" s="38"/>
      <c r="L27" s="39"/>
      <c r="S27">
        <f>ROUND((Source!FX25/100)*((ROUND(Source!AF25*Source!I25, 2)+ROUND(Source!AE25*Source!I25, 2))), 2)</f>
        <v>5.46</v>
      </c>
      <c r="T27">
        <f>Source!X25</f>
        <v>33.18</v>
      </c>
      <c r="U27">
        <f>ROUND((Source!FY25/100)*((ROUND(Source!AF25*Source!I25, 2)+ROUND(Source!AE25*Source!I25, 2))), 2)</f>
        <v>4.6399999999999997</v>
      </c>
      <c r="V27">
        <f>Source!Y25</f>
        <v>28.21</v>
      </c>
    </row>
    <row r="28" spans="1:22" x14ac:dyDescent="0.2">
      <c r="C28" s="29" t="str">
        <f>"Объем: "&amp;Source!I25&amp;"=23,2/"&amp;"100"</f>
        <v>Объем: 0,232=23,2/100</v>
      </c>
    </row>
    <row r="29" spans="1:22" ht="14.25" x14ac:dyDescent="0.2">
      <c r="A29" s="53"/>
      <c r="B29" s="54"/>
      <c r="C29" s="54" t="s">
        <v>347</v>
      </c>
      <c r="D29" s="35"/>
      <c r="E29" s="13"/>
      <c r="F29" s="36">
        <f>Source!AO25</f>
        <v>29.41</v>
      </c>
      <c r="G29" s="37" t="str">
        <f>Source!DG25</f>
        <v/>
      </c>
      <c r="H29" s="38">
        <f>ROUND(Source!AF25*Source!I25, 2)</f>
        <v>6.82</v>
      </c>
      <c r="I29" s="37"/>
      <c r="J29" s="37">
        <f>IF(Source!BA25&lt;&gt; 0, Source!BA25, 1)</f>
        <v>6.08</v>
      </c>
      <c r="K29" s="38">
        <f>Source!S25</f>
        <v>41.48</v>
      </c>
      <c r="L29" s="39"/>
      <c r="R29">
        <f>H29</f>
        <v>6.82</v>
      </c>
    </row>
    <row r="30" spans="1:22" ht="14.25" x14ac:dyDescent="0.2">
      <c r="A30" s="53"/>
      <c r="B30" s="54"/>
      <c r="C30" s="54" t="s">
        <v>348</v>
      </c>
      <c r="D30" s="35" t="s">
        <v>349</v>
      </c>
      <c r="E30" s="13">
        <f>Source!BZ25</f>
        <v>80</v>
      </c>
      <c r="F30" s="57"/>
      <c r="G30" s="37"/>
      <c r="H30" s="38">
        <f>SUM(S27:S32)</f>
        <v>5.46</v>
      </c>
      <c r="I30" s="40"/>
      <c r="J30" s="33">
        <f>Source!AT25</f>
        <v>80</v>
      </c>
      <c r="K30" s="38">
        <f>SUM(T27:T32)</f>
        <v>33.18</v>
      </c>
      <c r="L30" s="39"/>
    </row>
    <row r="31" spans="1:22" ht="14.25" x14ac:dyDescent="0.2">
      <c r="A31" s="53"/>
      <c r="B31" s="54"/>
      <c r="C31" s="54" t="s">
        <v>350</v>
      </c>
      <c r="D31" s="35" t="s">
        <v>349</v>
      </c>
      <c r="E31" s="13">
        <f>Source!CA25</f>
        <v>68</v>
      </c>
      <c r="F31" s="57"/>
      <c r="G31" s="37"/>
      <c r="H31" s="38">
        <f>SUM(U27:U32)</f>
        <v>4.6399999999999997</v>
      </c>
      <c r="I31" s="40"/>
      <c r="J31" s="33">
        <f>Source!AU25</f>
        <v>68</v>
      </c>
      <c r="K31" s="38">
        <f>SUM(V27:V32)</f>
        <v>28.21</v>
      </c>
      <c r="L31" s="39"/>
    </row>
    <row r="32" spans="1:22" ht="14.25" x14ac:dyDescent="0.2">
      <c r="A32" s="55"/>
      <c r="B32" s="56"/>
      <c r="C32" s="56" t="s">
        <v>351</v>
      </c>
      <c r="D32" s="41" t="s">
        <v>352</v>
      </c>
      <c r="E32" s="42">
        <f>Source!AQ25</f>
        <v>3.77</v>
      </c>
      <c r="F32" s="43"/>
      <c r="G32" s="44" t="str">
        <f>Source!DI25</f>
        <v/>
      </c>
      <c r="H32" s="45"/>
      <c r="I32" s="44"/>
      <c r="J32" s="44"/>
      <c r="K32" s="45"/>
      <c r="L32" s="46">
        <f>Source!U25</f>
        <v>0.87464000000000008</v>
      </c>
    </row>
    <row r="33" spans="1:26" ht="15" x14ac:dyDescent="0.25">
      <c r="G33" s="82">
        <f>H29+H30+H31</f>
        <v>16.920000000000002</v>
      </c>
      <c r="H33" s="82"/>
      <c r="J33" s="82">
        <f>K29+K30+K31</f>
        <v>102.87</v>
      </c>
      <c r="K33" s="82"/>
      <c r="L33" s="47">
        <f>Source!U25</f>
        <v>0.87464000000000008</v>
      </c>
      <c r="O33" s="30">
        <f>G33</f>
        <v>16.920000000000002</v>
      </c>
      <c r="P33" s="30">
        <f>J33</f>
        <v>102.87</v>
      </c>
      <c r="Q33" s="30">
        <f>L33</f>
        <v>0.87464000000000008</v>
      </c>
      <c r="W33">
        <f>IF(Source!BI25&lt;=1,H29+H30+H31, 0)</f>
        <v>16.920000000000002</v>
      </c>
      <c r="X33">
        <f>IF(Source!BI25=2,H29+H30+H31, 0)</f>
        <v>0</v>
      </c>
      <c r="Y33">
        <f>IF(Source!BI25=3,H29+H30+H31, 0)</f>
        <v>0</v>
      </c>
      <c r="Z33">
        <f>IF(Source!BI25=4,H29+H30+H31, 0)</f>
        <v>0</v>
      </c>
    </row>
    <row r="34" spans="1:26" ht="28.5" x14ac:dyDescent="0.2">
      <c r="A34" s="53" t="str">
        <f>Source!E27</f>
        <v>2</v>
      </c>
      <c r="B34" s="54" t="str">
        <f>Source!F27</f>
        <v>57-2-1</v>
      </c>
      <c r="C34" s="54" t="str">
        <f>Source!G27</f>
        <v>Разборка покрытий полов из линолеума и релина</v>
      </c>
      <c r="D34" s="35" t="str">
        <f>Source!H27</f>
        <v>100 м2</v>
      </c>
      <c r="E34" s="13">
        <f>Source!I27</f>
        <v>0.36299999999999999</v>
      </c>
      <c r="F34" s="36">
        <f>Source!AL27+Source!AM27+Source!AO27</f>
        <v>92.9</v>
      </c>
      <c r="G34" s="37"/>
      <c r="H34" s="38"/>
      <c r="I34" s="37" t="str">
        <f>Source!BO27</f>
        <v/>
      </c>
      <c r="J34" s="37"/>
      <c r="K34" s="38"/>
      <c r="L34" s="39"/>
      <c r="S34">
        <f>ROUND((Source!FX27/100)*((ROUND(Source!AF27*Source!I27, 2)+ROUND(Source!AE27*Source!I27, 2))), 2)</f>
        <v>26.31</v>
      </c>
      <c r="T34">
        <f>Source!X27</f>
        <v>159.96</v>
      </c>
      <c r="U34">
        <f>ROUND((Source!FY27/100)*((ROUND(Source!AF27*Source!I27, 2)+ROUND(Source!AE27*Source!I27, 2))), 2)</f>
        <v>22.37</v>
      </c>
      <c r="V34">
        <f>Source!Y27</f>
        <v>135.97</v>
      </c>
    </row>
    <row r="35" spans="1:26" x14ac:dyDescent="0.2">
      <c r="C35" s="29" t="str">
        <f>"Объем: "&amp;Source!I27&amp;"=36,3/"&amp;"100"</f>
        <v>Объем: 0,363=36,3/100</v>
      </c>
    </row>
    <row r="36" spans="1:26" ht="14.25" x14ac:dyDescent="0.2">
      <c r="A36" s="53"/>
      <c r="B36" s="54"/>
      <c r="C36" s="54" t="s">
        <v>347</v>
      </c>
      <c r="D36" s="35"/>
      <c r="E36" s="13"/>
      <c r="F36" s="36">
        <f>Source!AO27</f>
        <v>88.84</v>
      </c>
      <c r="G36" s="37" t="str">
        <f>Source!DG27</f>
        <v/>
      </c>
      <c r="H36" s="38">
        <f>ROUND(Source!AF27*Source!I27, 2)</f>
        <v>32.25</v>
      </c>
      <c r="I36" s="37"/>
      <c r="J36" s="37">
        <f>IF(Source!BA27&lt;&gt; 0, Source!BA27, 1)</f>
        <v>6.08</v>
      </c>
      <c r="K36" s="38">
        <f>Source!S27</f>
        <v>196.07</v>
      </c>
      <c r="L36" s="39"/>
      <c r="R36">
        <f>H36</f>
        <v>32.25</v>
      </c>
    </row>
    <row r="37" spans="1:26" ht="14.25" x14ac:dyDescent="0.2">
      <c r="A37" s="53"/>
      <c r="B37" s="54"/>
      <c r="C37" s="54" t="s">
        <v>149</v>
      </c>
      <c r="D37" s="35"/>
      <c r="E37" s="13"/>
      <c r="F37" s="36">
        <f>Source!AM27</f>
        <v>4.0599999999999996</v>
      </c>
      <c r="G37" s="37" t="str">
        <f>Source!DE27</f>
        <v/>
      </c>
      <c r="H37" s="38">
        <f>ROUND(Source!AD27*Source!I27, 2)</f>
        <v>1.47</v>
      </c>
      <c r="I37" s="37"/>
      <c r="J37" s="37">
        <f>IF(Source!BB27&lt;&gt; 0, Source!BB27, 1)</f>
        <v>6.08</v>
      </c>
      <c r="K37" s="38">
        <f>Source!Q27</f>
        <v>8.9600000000000009</v>
      </c>
      <c r="L37" s="39"/>
    </row>
    <row r="38" spans="1:26" ht="14.25" x14ac:dyDescent="0.2">
      <c r="A38" s="53"/>
      <c r="B38" s="54"/>
      <c r="C38" s="54" t="s">
        <v>353</v>
      </c>
      <c r="D38" s="35"/>
      <c r="E38" s="13"/>
      <c r="F38" s="36">
        <f>Source!AN27</f>
        <v>1.76</v>
      </c>
      <c r="G38" s="37" t="str">
        <f>Source!DF27</f>
        <v/>
      </c>
      <c r="H38" s="48">
        <f>ROUND(Source!AE27*Source!I27, 2)</f>
        <v>0.64</v>
      </c>
      <c r="I38" s="37"/>
      <c r="J38" s="37">
        <f>IF(Source!BS27&lt;&gt; 0, Source!BS27, 1)</f>
        <v>6.08</v>
      </c>
      <c r="K38" s="48">
        <f>Source!R27</f>
        <v>3.88</v>
      </c>
      <c r="L38" s="39"/>
      <c r="R38">
        <f>H38</f>
        <v>0.64</v>
      </c>
    </row>
    <row r="39" spans="1:26" ht="14.25" x14ac:dyDescent="0.2">
      <c r="A39" s="53"/>
      <c r="B39" s="54"/>
      <c r="C39" s="54" t="s">
        <v>348</v>
      </c>
      <c r="D39" s="35" t="s">
        <v>349</v>
      </c>
      <c r="E39" s="13">
        <f>Source!BZ27</f>
        <v>80</v>
      </c>
      <c r="F39" s="57"/>
      <c r="G39" s="37"/>
      <c r="H39" s="38">
        <f>SUM(S34:S41)</f>
        <v>26.31</v>
      </c>
      <c r="I39" s="40"/>
      <c r="J39" s="33">
        <f>Source!AT27</f>
        <v>80</v>
      </c>
      <c r="K39" s="38">
        <f>SUM(T34:T41)</f>
        <v>159.96</v>
      </c>
      <c r="L39" s="39"/>
    </row>
    <row r="40" spans="1:26" ht="14.25" x14ac:dyDescent="0.2">
      <c r="A40" s="53"/>
      <c r="B40" s="54"/>
      <c r="C40" s="54" t="s">
        <v>350</v>
      </c>
      <c r="D40" s="35" t="s">
        <v>349</v>
      </c>
      <c r="E40" s="13">
        <f>Source!CA27</f>
        <v>68</v>
      </c>
      <c r="F40" s="57"/>
      <c r="G40" s="37"/>
      <c r="H40" s="38">
        <f>SUM(U34:U41)</f>
        <v>22.37</v>
      </c>
      <c r="I40" s="40"/>
      <c r="J40" s="33">
        <f>Source!AU27</f>
        <v>68</v>
      </c>
      <c r="K40" s="38">
        <f>SUM(V34:V41)</f>
        <v>135.97</v>
      </c>
      <c r="L40" s="39"/>
    </row>
    <row r="41" spans="1:26" ht="14.25" x14ac:dyDescent="0.2">
      <c r="A41" s="55"/>
      <c r="B41" s="56"/>
      <c r="C41" s="56" t="s">
        <v>351</v>
      </c>
      <c r="D41" s="41" t="s">
        <v>352</v>
      </c>
      <c r="E41" s="42">
        <f>Source!AQ27</f>
        <v>11.39</v>
      </c>
      <c r="F41" s="43"/>
      <c r="G41" s="44" t="str">
        <f>Source!DI27</f>
        <v/>
      </c>
      <c r="H41" s="45"/>
      <c r="I41" s="44"/>
      <c r="J41" s="44"/>
      <c r="K41" s="45"/>
      <c r="L41" s="46">
        <f>Source!U27</f>
        <v>4.1345700000000001</v>
      </c>
    </row>
    <row r="42" spans="1:26" ht="15" x14ac:dyDescent="0.25">
      <c r="G42" s="82">
        <f>H36+H37+H39+H40</f>
        <v>82.4</v>
      </c>
      <c r="H42" s="82"/>
      <c r="J42" s="82">
        <f>K36+K37+K39+K40</f>
        <v>500.96000000000004</v>
      </c>
      <c r="K42" s="82"/>
      <c r="L42" s="47">
        <f>Source!U27</f>
        <v>4.1345700000000001</v>
      </c>
      <c r="O42" s="30">
        <f>G42</f>
        <v>82.4</v>
      </c>
      <c r="P42" s="30">
        <f>J42</f>
        <v>500.96000000000004</v>
      </c>
      <c r="Q42" s="30">
        <f>L42</f>
        <v>4.1345700000000001</v>
      </c>
      <c r="W42">
        <f>IF(Source!BI27&lt;=1,H36+H37+H39+H40, 0)</f>
        <v>82.4</v>
      </c>
      <c r="X42">
        <f>IF(Source!BI27=2,H36+H37+H39+H40, 0)</f>
        <v>0</v>
      </c>
      <c r="Y42">
        <f>IF(Source!BI27=3,H36+H37+H39+H40, 0)</f>
        <v>0</v>
      </c>
      <c r="Z42">
        <f>IF(Source!BI27=4,H36+H37+H39+H40, 0)</f>
        <v>0</v>
      </c>
    </row>
    <row r="43" spans="1:26" ht="42.75" x14ac:dyDescent="0.2">
      <c r="A43" s="53" t="str">
        <f>Source!E29</f>
        <v>3</v>
      </c>
      <c r="B43" s="54" t="str">
        <f>Source!F29</f>
        <v>11-01-011-08</v>
      </c>
      <c r="C43" s="54" t="str">
        <f>Source!G29</f>
        <v>Устройство стяжек из выравнивающей смеси типа "Ветонит" 5000, толщиной 5 мм</v>
      </c>
      <c r="D43" s="35" t="str">
        <f>Source!H29</f>
        <v>100 м2</v>
      </c>
      <c r="E43" s="13">
        <f>Source!I29</f>
        <v>0.36299999999999999</v>
      </c>
      <c r="F43" s="36">
        <f>Source!AL29+Source!AM29+Source!AO29</f>
        <v>11028.89</v>
      </c>
      <c r="G43" s="37"/>
      <c r="H43" s="38"/>
      <c r="I43" s="37" t="str">
        <f>Source!BO29</f>
        <v/>
      </c>
      <c r="J43" s="37"/>
      <c r="K43" s="38"/>
      <c r="L43" s="39"/>
      <c r="S43">
        <f>ROUND((Source!FX29/100)*((ROUND(Source!AF29*Source!I29, 2)+ROUND(Source!AE29*Source!I29, 2))), 2)</f>
        <v>149.47999999999999</v>
      </c>
      <c r="T43">
        <f>Source!X29</f>
        <v>911.31</v>
      </c>
      <c r="U43">
        <f>ROUND((Source!FY29/100)*((ROUND(Source!AF29*Source!I29, 2)+ROUND(Source!AE29*Source!I29, 2))), 2)</f>
        <v>86.08</v>
      </c>
      <c r="V43">
        <f>Source!Y29</f>
        <v>525.44000000000005</v>
      </c>
    </row>
    <row r="44" spans="1:26" x14ac:dyDescent="0.2">
      <c r="C44" s="29" t="str">
        <f>"Объем: "&amp;Source!I29&amp;"=36,3/"&amp;"100"</f>
        <v>Объем: 0,363=36,3/100</v>
      </c>
    </row>
    <row r="45" spans="1:26" ht="14.25" x14ac:dyDescent="0.2">
      <c r="A45" s="53"/>
      <c r="B45" s="54"/>
      <c r="C45" s="54" t="s">
        <v>347</v>
      </c>
      <c r="D45" s="35"/>
      <c r="E45" s="13"/>
      <c r="F45" s="36">
        <f>Source!AO29</f>
        <v>321.33</v>
      </c>
      <c r="G45" s="37" t="str">
        <f>Source!DG29</f>
        <v>)*1,15</v>
      </c>
      <c r="H45" s="38">
        <f>ROUND(Source!AF29*Source!I29, 2)</f>
        <v>134.13999999999999</v>
      </c>
      <c r="I45" s="37"/>
      <c r="J45" s="37">
        <f>IF(Source!BA29&lt;&gt; 0, Source!BA29, 1)</f>
        <v>6.08</v>
      </c>
      <c r="K45" s="38">
        <f>Source!S29</f>
        <v>815.57</v>
      </c>
      <c r="L45" s="39"/>
      <c r="R45">
        <f>H45</f>
        <v>134.13999999999999</v>
      </c>
    </row>
    <row r="46" spans="1:26" ht="14.25" x14ac:dyDescent="0.2">
      <c r="A46" s="53"/>
      <c r="B46" s="54"/>
      <c r="C46" s="54" t="s">
        <v>149</v>
      </c>
      <c r="D46" s="35"/>
      <c r="E46" s="13"/>
      <c r="F46" s="36">
        <f>Source!AM29</f>
        <v>6.23</v>
      </c>
      <c r="G46" s="37" t="str">
        <f>Source!DE29</f>
        <v>)*1,25</v>
      </c>
      <c r="H46" s="38">
        <f>ROUND(Source!AD29*Source!I29, 2)</f>
        <v>2.83</v>
      </c>
      <c r="I46" s="37"/>
      <c r="J46" s="37">
        <f>IF(Source!BB29&lt;&gt; 0, Source!BB29, 1)</f>
        <v>6.08</v>
      </c>
      <c r="K46" s="38">
        <f>Source!Q29</f>
        <v>17.190000000000001</v>
      </c>
      <c r="L46" s="39"/>
    </row>
    <row r="47" spans="1:26" ht="14.25" x14ac:dyDescent="0.2">
      <c r="A47" s="53"/>
      <c r="B47" s="54"/>
      <c r="C47" s="54" t="s">
        <v>353</v>
      </c>
      <c r="D47" s="35"/>
      <c r="E47" s="13"/>
      <c r="F47" s="36">
        <f>Source!AN29</f>
        <v>1.97</v>
      </c>
      <c r="G47" s="37" t="str">
        <f>Source!DF29</f>
        <v>)*1,25</v>
      </c>
      <c r="H47" s="48">
        <f>ROUND(Source!AE29*Source!I29, 2)</f>
        <v>0.89</v>
      </c>
      <c r="I47" s="37"/>
      <c r="J47" s="37">
        <f>IF(Source!BS29&lt;&gt; 0, Source!BS29, 1)</f>
        <v>6.08</v>
      </c>
      <c r="K47" s="48">
        <f>Source!R29</f>
        <v>5.43</v>
      </c>
      <c r="L47" s="39"/>
      <c r="R47">
        <f>H47</f>
        <v>0.89</v>
      </c>
    </row>
    <row r="48" spans="1:26" ht="14.25" x14ac:dyDescent="0.2">
      <c r="A48" s="53"/>
      <c r="B48" s="54"/>
      <c r="C48" s="54" t="s">
        <v>354</v>
      </c>
      <c r="D48" s="35"/>
      <c r="E48" s="13"/>
      <c r="F48" s="36">
        <f>Source!AL29</f>
        <v>10701.33</v>
      </c>
      <c r="G48" s="37" t="str">
        <f>Source!DD29</f>
        <v/>
      </c>
      <c r="H48" s="38">
        <f>ROUND(Source!AC29*Source!I29, 2)</f>
        <v>3884.58</v>
      </c>
      <c r="I48" s="37"/>
      <c r="J48" s="37">
        <f>IF(Source!BC29&lt;&gt; 0, Source!BC29, 1)</f>
        <v>6.08</v>
      </c>
      <c r="K48" s="38">
        <f>Source!P29</f>
        <v>23618.26</v>
      </c>
      <c r="L48" s="39"/>
    </row>
    <row r="49" spans="1:26" ht="14.25" x14ac:dyDescent="0.2">
      <c r="A49" s="53"/>
      <c r="B49" s="54"/>
      <c r="C49" s="54" t="s">
        <v>348</v>
      </c>
      <c r="D49" s="35" t="s">
        <v>349</v>
      </c>
      <c r="E49" s="13">
        <f>Source!BZ29</f>
        <v>123</v>
      </c>
      <c r="F49" s="80" t="str">
        <f>CONCATENATE(" )", Source!DL29, Source!FT29, "=", Source!FX29)</f>
        <v xml:space="preserve"> )*0,9=110,7</v>
      </c>
      <c r="G49" s="81"/>
      <c r="H49" s="38">
        <f>SUM(S43:S51)</f>
        <v>149.47999999999999</v>
      </c>
      <c r="I49" s="40"/>
      <c r="J49" s="33">
        <f>Source!AT29</f>
        <v>111</v>
      </c>
      <c r="K49" s="38">
        <f>SUM(T43:T51)</f>
        <v>911.31</v>
      </c>
      <c r="L49" s="39"/>
    </row>
    <row r="50" spans="1:26" ht="14.25" x14ac:dyDescent="0.2">
      <c r="A50" s="53"/>
      <c r="B50" s="54"/>
      <c r="C50" s="54" t="s">
        <v>350</v>
      </c>
      <c r="D50" s="35" t="s">
        <v>349</v>
      </c>
      <c r="E50" s="13">
        <f>Source!CA29</f>
        <v>75</v>
      </c>
      <c r="F50" s="80" t="str">
        <f>CONCATENATE(" )", Source!DM29, Source!FU29, "=", Source!FY29)</f>
        <v xml:space="preserve"> )*0,85=63,75</v>
      </c>
      <c r="G50" s="81"/>
      <c r="H50" s="38">
        <f>SUM(U43:U51)</f>
        <v>86.08</v>
      </c>
      <c r="I50" s="40"/>
      <c r="J50" s="33">
        <f>Source!AU29</f>
        <v>64</v>
      </c>
      <c r="K50" s="38">
        <f>SUM(V43:V51)</f>
        <v>525.44000000000005</v>
      </c>
      <c r="L50" s="39"/>
    </row>
    <row r="51" spans="1:26" ht="14.25" x14ac:dyDescent="0.2">
      <c r="A51" s="55"/>
      <c r="B51" s="56"/>
      <c r="C51" s="56" t="s">
        <v>351</v>
      </c>
      <c r="D51" s="41" t="s">
        <v>352</v>
      </c>
      <c r="E51" s="42">
        <f>Source!AQ29</f>
        <v>37.67</v>
      </c>
      <c r="F51" s="43"/>
      <c r="G51" s="44" t="str">
        <f>Source!DI29</f>
        <v>)*1,15</v>
      </c>
      <c r="H51" s="45"/>
      <c r="I51" s="44"/>
      <c r="J51" s="44"/>
      <c r="K51" s="45"/>
      <c r="L51" s="46">
        <f>Source!U29</f>
        <v>15.725341499999997</v>
      </c>
    </row>
    <row r="52" spans="1:26" ht="15" x14ac:dyDescent="0.25">
      <c r="G52" s="82">
        <f>H45+H46+H48+H49+H50</f>
        <v>4257.1099999999997</v>
      </c>
      <c r="H52" s="82"/>
      <c r="J52" s="82">
        <f>K45+K46+K48+K49+K50</f>
        <v>25887.769999999997</v>
      </c>
      <c r="K52" s="82"/>
      <c r="L52" s="47">
        <f>Source!U29</f>
        <v>15.725341499999997</v>
      </c>
      <c r="O52" s="30">
        <f>G52</f>
        <v>4257.1099999999997</v>
      </c>
      <c r="P52" s="30">
        <f>J52</f>
        <v>25887.769999999997</v>
      </c>
      <c r="Q52" s="30">
        <f>L52</f>
        <v>15.725341499999997</v>
      </c>
      <c r="W52">
        <f>IF(Source!BI29&lt;=1,H45+H46+H48+H49+H50, 0)</f>
        <v>4257.1099999999997</v>
      </c>
      <c r="X52">
        <f>IF(Source!BI29=2,H45+H46+H48+H49+H50, 0)</f>
        <v>0</v>
      </c>
      <c r="Y52">
        <f>IF(Source!BI29=3,H45+H46+H48+H49+H50, 0)</f>
        <v>0</v>
      </c>
      <c r="Z52">
        <f>IF(Source!BI29=4,H45+H46+H48+H49+H50, 0)</f>
        <v>0</v>
      </c>
    </row>
    <row r="53" spans="1:26" ht="42.75" x14ac:dyDescent="0.2">
      <c r="A53" s="53" t="str">
        <f>Source!E31</f>
        <v>4</v>
      </c>
      <c r="B53" s="54" t="str">
        <f>Source!F31</f>
        <v>11-01-011-10</v>
      </c>
      <c r="C53" s="54" t="str">
        <f>Source!G31</f>
        <v>Устройство стяжек на каждый последующий слой толщиной 1 мм добавлять к расценке 11-01-011-08</v>
      </c>
      <c r="D53" s="35" t="str">
        <f>Source!H31</f>
        <v>100 м2</v>
      </c>
      <c r="E53" s="13">
        <f>Source!I31</f>
        <v>0.36299999999999999</v>
      </c>
      <c r="F53" s="36">
        <f>Source!AL31+Source!AM31+Source!AO31</f>
        <v>2070.6</v>
      </c>
      <c r="G53" s="37"/>
      <c r="H53" s="38"/>
      <c r="I53" s="37" t="str">
        <f>Source!BO31</f>
        <v/>
      </c>
      <c r="J53" s="37"/>
      <c r="K53" s="38"/>
      <c r="L53" s="39"/>
      <c r="S53">
        <f>ROUND((Source!FX31/100)*((ROUND(Source!AF31*Source!I31, 2)+ROUND(Source!AE31*Source!I31, 2))), 2)</f>
        <v>48.56</v>
      </c>
      <c r="T53">
        <f>Source!X31</f>
        <v>296.10000000000002</v>
      </c>
      <c r="U53">
        <f>ROUND((Source!FY31/100)*((ROUND(Source!AF31*Source!I31, 2)+ROUND(Source!AE31*Source!I31, 2))), 2)</f>
        <v>27.97</v>
      </c>
      <c r="V53">
        <f>Source!Y31</f>
        <v>170.73</v>
      </c>
    </row>
    <row r="54" spans="1:26" x14ac:dyDescent="0.2">
      <c r="C54" s="29" t="str">
        <f>"Объем: "&amp;Source!I31&amp;"=36,3/"&amp;"100"</f>
        <v>Объем: 0,363=36,3/100</v>
      </c>
    </row>
    <row r="55" spans="1:26" ht="14.25" x14ac:dyDescent="0.2">
      <c r="A55" s="53"/>
      <c r="B55" s="54"/>
      <c r="C55" s="54" t="s">
        <v>347</v>
      </c>
      <c r="D55" s="35"/>
      <c r="E55" s="13"/>
      <c r="F55" s="36">
        <f>Source!AO31</f>
        <v>20.64</v>
      </c>
      <c r="G55" s="37" t="str">
        <f>Source!DG31</f>
        <v>*5)*1,15</v>
      </c>
      <c r="H55" s="38">
        <f>ROUND(Source!AF31*Source!I31, 2)</f>
        <v>43.08</v>
      </c>
      <c r="I55" s="37"/>
      <c r="J55" s="37">
        <f>IF(Source!BA31&lt;&gt; 0, Source!BA31, 1)</f>
        <v>6.08</v>
      </c>
      <c r="K55" s="38">
        <f>Source!S31</f>
        <v>261.93</v>
      </c>
      <c r="L55" s="39"/>
      <c r="R55">
        <f>H55</f>
        <v>43.08</v>
      </c>
    </row>
    <row r="56" spans="1:26" ht="14.25" x14ac:dyDescent="0.2">
      <c r="A56" s="53"/>
      <c r="B56" s="54"/>
      <c r="C56" s="54" t="s">
        <v>149</v>
      </c>
      <c r="D56" s="35"/>
      <c r="E56" s="13"/>
      <c r="F56" s="36">
        <f>Source!AM31</f>
        <v>1.21</v>
      </c>
      <c r="G56" s="37" t="str">
        <f>Source!DE31</f>
        <v>*5)*1,25</v>
      </c>
      <c r="H56" s="38">
        <f>ROUND(Source!AD31*Source!I31, 2)</f>
        <v>2.75</v>
      </c>
      <c r="I56" s="37"/>
      <c r="J56" s="37">
        <f>IF(Source!BB31&lt;&gt; 0, Source!BB31, 1)</f>
        <v>6.08</v>
      </c>
      <c r="K56" s="38">
        <f>Source!Q31</f>
        <v>16.690000000000001</v>
      </c>
      <c r="L56" s="39"/>
    </row>
    <row r="57" spans="1:26" ht="14.25" x14ac:dyDescent="0.2">
      <c r="A57" s="53"/>
      <c r="B57" s="54"/>
      <c r="C57" s="54" t="s">
        <v>353</v>
      </c>
      <c r="D57" s="35"/>
      <c r="E57" s="13"/>
      <c r="F57" s="36">
        <f>Source!AN31</f>
        <v>0.35</v>
      </c>
      <c r="G57" s="37" t="str">
        <f>Source!DF31</f>
        <v>*5)*1,25</v>
      </c>
      <c r="H57" s="48">
        <f>ROUND(Source!AE31*Source!I31, 2)</f>
        <v>0.79</v>
      </c>
      <c r="I57" s="37"/>
      <c r="J57" s="37">
        <f>IF(Source!BS31&lt;&gt; 0, Source!BS31, 1)</f>
        <v>6.08</v>
      </c>
      <c r="K57" s="48">
        <f>Source!R31</f>
        <v>4.83</v>
      </c>
      <c r="L57" s="39"/>
      <c r="R57">
        <f>H57</f>
        <v>0.79</v>
      </c>
    </row>
    <row r="58" spans="1:26" ht="14.25" x14ac:dyDescent="0.2">
      <c r="A58" s="53"/>
      <c r="B58" s="54"/>
      <c r="C58" s="54" t="s">
        <v>354</v>
      </c>
      <c r="D58" s="35"/>
      <c r="E58" s="13"/>
      <c r="F58" s="36">
        <f>Source!AL31</f>
        <v>2048.75</v>
      </c>
      <c r="G58" s="37" t="str">
        <f>Source!DD31</f>
        <v>*5</v>
      </c>
      <c r="H58" s="38">
        <f>ROUND(Source!AC31*Source!I31, 2)</f>
        <v>3718.48</v>
      </c>
      <c r="I58" s="37"/>
      <c r="J58" s="37">
        <f>IF(Source!BC31&lt;&gt; 0, Source!BC31, 1)</f>
        <v>6.08</v>
      </c>
      <c r="K58" s="38">
        <f>Source!P31</f>
        <v>22608.37</v>
      </c>
      <c r="L58" s="39"/>
    </row>
    <row r="59" spans="1:26" ht="14.25" x14ac:dyDescent="0.2">
      <c r="A59" s="53"/>
      <c r="B59" s="54"/>
      <c r="C59" s="54" t="s">
        <v>348</v>
      </c>
      <c r="D59" s="35" t="s">
        <v>349</v>
      </c>
      <c r="E59" s="13">
        <f>Source!BZ31</f>
        <v>123</v>
      </c>
      <c r="F59" s="80" t="str">
        <f>CONCATENATE(" )", Source!DL31, Source!FT31, "=", Source!FX31)</f>
        <v xml:space="preserve"> )*0,9=110,7</v>
      </c>
      <c r="G59" s="81"/>
      <c r="H59" s="38">
        <f>SUM(S53:S61)</f>
        <v>48.56</v>
      </c>
      <c r="I59" s="40"/>
      <c r="J59" s="33">
        <f>Source!AT31</f>
        <v>111</v>
      </c>
      <c r="K59" s="38">
        <f>SUM(T53:T61)</f>
        <v>296.10000000000002</v>
      </c>
      <c r="L59" s="39"/>
    </row>
    <row r="60" spans="1:26" ht="14.25" x14ac:dyDescent="0.2">
      <c r="A60" s="53"/>
      <c r="B60" s="54"/>
      <c r="C60" s="54" t="s">
        <v>350</v>
      </c>
      <c r="D60" s="35" t="s">
        <v>349</v>
      </c>
      <c r="E60" s="13">
        <f>Source!CA31</f>
        <v>75</v>
      </c>
      <c r="F60" s="80" t="str">
        <f>CONCATENATE(" )", Source!DM31, Source!FU31, "=", Source!FY31)</f>
        <v xml:space="preserve"> )*0,85=63,75</v>
      </c>
      <c r="G60" s="81"/>
      <c r="H60" s="38">
        <f>SUM(U53:U61)</f>
        <v>27.97</v>
      </c>
      <c r="I60" s="40"/>
      <c r="J60" s="33">
        <f>Source!AU31</f>
        <v>64</v>
      </c>
      <c r="K60" s="38">
        <f>SUM(V53:V61)</f>
        <v>170.73</v>
      </c>
      <c r="L60" s="39"/>
    </row>
    <row r="61" spans="1:26" ht="14.25" x14ac:dyDescent="0.2">
      <c r="A61" s="55"/>
      <c r="B61" s="56"/>
      <c r="C61" s="56" t="s">
        <v>351</v>
      </c>
      <c r="D61" s="41" t="s">
        <v>352</v>
      </c>
      <c r="E61" s="42">
        <f>Source!AQ31</f>
        <v>2.42</v>
      </c>
      <c r="F61" s="43"/>
      <c r="G61" s="44" t="str">
        <f>Source!DI31</f>
        <v>*5)*1,15</v>
      </c>
      <c r="H61" s="45"/>
      <c r="I61" s="44"/>
      <c r="J61" s="44"/>
      <c r="K61" s="45"/>
      <c r="L61" s="46">
        <f>Source!U31</f>
        <v>5.0511449999999991</v>
      </c>
    </row>
    <row r="62" spans="1:26" ht="15" x14ac:dyDescent="0.25">
      <c r="G62" s="82">
        <f>H55+H56+H58+H59+H60</f>
        <v>3840.8399999999997</v>
      </c>
      <c r="H62" s="82"/>
      <c r="J62" s="82">
        <f>K55+K56+K58+K59+K60</f>
        <v>23353.819999999996</v>
      </c>
      <c r="K62" s="82"/>
      <c r="L62" s="47">
        <f>Source!U31</f>
        <v>5.0511449999999991</v>
      </c>
      <c r="O62" s="30">
        <f>G62</f>
        <v>3840.8399999999997</v>
      </c>
      <c r="P62" s="30">
        <f>J62</f>
        <v>23353.819999999996</v>
      </c>
      <c r="Q62" s="30">
        <f>L62</f>
        <v>5.0511449999999991</v>
      </c>
      <c r="W62">
        <f>IF(Source!BI31&lt;=1,H55+H56+H58+H59+H60, 0)</f>
        <v>3840.8399999999997</v>
      </c>
      <c r="X62">
        <f>IF(Source!BI31=2,H55+H56+H58+H59+H60, 0)</f>
        <v>0</v>
      </c>
      <c r="Y62">
        <f>IF(Source!BI31=3,H55+H56+H58+H59+H60, 0)</f>
        <v>0</v>
      </c>
      <c r="Z62">
        <f>IF(Source!BI31=4,H55+H56+H58+H59+H60, 0)</f>
        <v>0</v>
      </c>
    </row>
    <row r="63" spans="1:26" ht="28.5" x14ac:dyDescent="0.2">
      <c r="A63" s="53" t="str">
        <f>Source!E33</f>
        <v>5</v>
      </c>
      <c r="B63" s="54" t="str">
        <f>Source!F33</f>
        <v>11-01-036-01</v>
      </c>
      <c r="C63" s="54" t="str">
        <f>Source!G33</f>
        <v>Устройство покрытий из линолеума на клее</v>
      </c>
      <c r="D63" s="35" t="str">
        <f>Source!H33</f>
        <v>100 м2</v>
      </c>
      <c r="E63" s="13">
        <f>Source!I33</f>
        <v>0.36299999999999999</v>
      </c>
      <c r="F63" s="36">
        <f>Source!AL33+Source!AM33+Source!AO33</f>
        <v>397.04999999999995</v>
      </c>
      <c r="G63" s="37"/>
      <c r="H63" s="38"/>
      <c r="I63" s="37" t="str">
        <f>Source!BO33</f>
        <v/>
      </c>
      <c r="J63" s="37"/>
      <c r="K63" s="38"/>
      <c r="L63" s="39"/>
      <c r="S63">
        <f>ROUND((Source!FX33/100)*((ROUND(Source!AF33*Source!I33, 2)+ROUND(Source!AE33*Source!I33, 2))), 2)</f>
        <v>168.11</v>
      </c>
      <c r="T63">
        <f>Source!X33</f>
        <v>1024.8900000000001</v>
      </c>
      <c r="U63">
        <f>ROUND((Source!FY33/100)*((ROUND(Source!AF33*Source!I33, 2)+ROUND(Source!AE33*Source!I33, 2))), 2)</f>
        <v>96.81</v>
      </c>
      <c r="V63">
        <f>Source!Y33</f>
        <v>590.91999999999996</v>
      </c>
    </row>
    <row r="64" spans="1:26" x14ac:dyDescent="0.2">
      <c r="C64" s="29" t="str">
        <f>"Объем: "&amp;Source!I33&amp;"=36,3/"&amp;"100"</f>
        <v>Объем: 0,363=36,3/100</v>
      </c>
    </row>
    <row r="65" spans="1:26" ht="14.25" x14ac:dyDescent="0.2">
      <c r="A65" s="53"/>
      <c r="B65" s="54"/>
      <c r="C65" s="54" t="s">
        <v>347</v>
      </c>
      <c r="D65" s="35"/>
      <c r="E65" s="13"/>
      <c r="F65" s="36">
        <f>Source!AO33</f>
        <v>352.34</v>
      </c>
      <c r="G65" s="37" t="str">
        <f>Source!DG33</f>
        <v>)*1,15</v>
      </c>
      <c r="H65" s="38">
        <f>ROUND(Source!AF33*Source!I33, 2)</f>
        <v>147.08000000000001</v>
      </c>
      <c r="I65" s="37"/>
      <c r="J65" s="37">
        <f>IF(Source!BA33&lt;&gt; 0, Source!BA33, 1)</f>
        <v>6.08</v>
      </c>
      <c r="K65" s="38">
        <f>Source!S33</f>
        <v>894.27</v>
      </c>
      <c r="L65" s="39"/>
      <c r="R65">
        <f>H65</f>
        <v>147.08000000000001</v>
      </c>
    </row>
    <row r="66" spans="1:26" ht="14.25" x14ac:dyDescent="0.2">
      <c r="A66" s="53"/>
      <c r="B66" s="54"/>
      <c r="C66" s="54" t="s">
        <v>149</v>
      </c>
      <c r="D66" s="35"/>
      <c r="E66" s="13"/>
      <c r="F66" s="36">
        <f>Source!AM33</f>
        <v>43.8</v>
      </c>
      <c r="G66" s="37" t="str">
        <f>Source!DE33</f>
        <v>)*1,25</v>
      </c>
      <c r="H66" s="38">
        <f>ROUND(Source!AD33*Source!I33, 2)</f>
        <v>19.87</v>
      </c>
      <c r="I66" s="37"/>
      <c r="J66" s="37">
        <f>IF(Source!BB33&lt;&gt; 0, Source!BB33, 1)</f>
        <v>6.08</v>
      </c>
      <c r="K66" s="38">
        <f>Source!Q33</f>
        <v>120.84</v>
      </c>
      <c r="L66" s="39"/>
    </row>
    <row r="67" spans="1:26" ht="14.25" x14ac:dyDescent="0.2">
      <c r="A67" s="53"/>
      <c r="B67" s="54"/>
      <c r="C67" s="54" t="s">
        <v>353</v>
      </c>
      <c r="D67" s="35"/>
      <c r="E67" s="13"/>
      <c r="F67" s="36">
        <f>Source!AN33</f>
        <v>10.53</v>
      </c>
      <c r="G67" s="37" t="str">
        <f>Source!DF33</f>
        <v>)*1,25</v>
      </c>
      <c r="H67" s="48">
        <f>ROUND(Source!AE33*Source!I33, 2)</f>
        <v>4.78</v>
      </c>
      <c r="I67" s="37"/>
      <c r="J67" s="37">
        <f>IF(Source!BS33&lt;&gt; 0, Source!BS33, 1)</f>
        <v>6.08</v>
      </c>
      <c r="K67" s="48">
        <f>Source!R33</f>
        <v>29.05</v>
      </c>
      <c r="L67" s="39"/>
      <c r="R67">
        <f>H67</f>
        <v>4.78</v>
      </c>
    </row>
    <row r="68" spans="1:26" ht="14.25" x14ac:dyDescent="0.2">
      <c r="A68" s="53"/>
      <c r="B68" s="54"/>
      <c r="C68" s="54" t="s">
        <v>354</v>
      </c>
      <c r="D68" s="35"/>
      <c r="E68" s="13"/>
      <c r="F68" s="36">
        <f>Source!AL33</f>
        <v>0.91</v>
      </c>
      <c r="G68" s="37" t="str">
        <f>Source!DD33</f>
        <v/>
      </c>
      <c r="H68" s="38">
        <f>ROUND(Source!AC33*Source!I33, 2)</f>
        <v>0.33</v>
      </c>
      <c r="I68" s="37"/>
      <c r="J68" s="37">
        <f>IF(Source!BC33&lt;&gt; 0, Source!BC33, 1)</f>
        <v>6.08</v>
      </c>
      <c r="K68" s="38">
        <f>Source!P33</f>
        <v>2.0099999999999998</v>
      </c>
      <c r="L68" s="39"/>
    </row>
    <row r="69" spans="1:26" ht="14.25" x14ac:dyDescent="0.2">
      <c r="A69" s="53"/>
      <c r="B69" s="54"/>
      <c r="C69" s="54" t="s">
        <v>348</v>
      </c>
      <c r="D69" s="35" t="s">
        <v>349</v>
      </c>
      <c r="E69" s="13">
        <f>Source!BZ33</f>
        <v>123</v>
      </c>
      <c r="F69" s="80" t="str">
        <f>CONCATENATE(" )", Source!DL33, Source!FT33, "=", Source!FX33)</f>
        <v xml:space="preserve"> )*0,9=110,7</v>
      </c>
      <c r="G69" s="81"/>
      <c r="H69" s="38">
        <f>SUM(S63:S74)</f>
        <v>168.11</v>
      </c>
      <c r="I69" s="40"/>
      <c r="J69" s="33">
        <f>Source!AT33</f>
        <v>111</v>
      </c>
      <c r="K69" s="38">
        <f>SUM(T63:T74)</f>
        <v>1024.8900000000001</v>
      </c>
      <c r="L69" s="39"/>
    </row>
    <row r="70" spans="1:26" ht="14.25" x14ac:dyDescent="0.2">
      <c r="A70" s="53"/>
      <c r="B70" s="54"/>
      <c r="C70" s="54" t="s">
        <v>350</v>
      </c>
      <c r="D70" s="35" t="s">
        <v>349</v>
      </c>
      <c r="E70" s="13">
        <f>Source!CA33</f>
        <v>75</v>
      </c>
      <c r="F70" s="80" t="str">
        <f>CONCATENATE(" )", Source!DM33, Source!FU33, "=", Source!FY33)</f>
        <v xml:space="preserve"> )*0,85=63,75</v>
      </c>
      <c r="G70" s="81"/>
      <c r="H70" s="38">
        <f>SUM(U63:U74)</f>
        <v>96.81</v>
      </c>
      <c r="I70" s="40"/>
      <c r="J70" s="33">
        <f>Source!AU33</f>
        <v>64</v>
      </c>
      <c r="K70" s="38">
        <f>SUM(V63:V74)</f>
        <v>590.91999999999996</v>
      </c>
      <c r="L70" s="39"/>
    </row>
    <row r="71" spans="1:26" ht="14.25" x14ac:dyDescent="0.2">
      <c r="A71" s="53"/>
      <c r="B71" s="54"/>
      <c r="C71" s="54" t="s">
        <v>351</v>
      </c>
      <c r="D71" s="35" t="s">
        <v>352</v>
      </c>
      <c r="E71" s="13">
        <f>Source!AQ33</f>
        <v>42.4</v>
      </c>
      <c r="F71" s="36"/>
      <c r="G71" s="37" t="str">
        <f>Source!DI33</f>
        <v>)*1,15</v>
      </c>
      <c r="H71" s="38"/>
      <c r="I71" s="37"/>
      <c r="J71" s="37"/>
      <c r="K71" s="38"/>
      <c r="L71" s="49">
        <f>Source!U33</f>
        <v>17.69988</v>
      </c>
    </row>
    <row r="72" spans="1:26" ht="28.5" x14ac:dyDescent="0.2">
      <c r="A72" s="53" t="str">
        <f>Source!E35</f>
        <v>5,1</v>
      </c>
      <c r="B72" s="54" t="str">
        <f>Source!F35</f>
        <v>01.6.03.04</v>
      </c>
      <c r="C72" s="54" t="str">
        <f>Source!G35</f>
        <v>Линолеум на теплозвукоизолирующей подоснове</v>
      </c>
      <c r="D72" s="35" t="str">
        <f>Source!H35</f>
        <v>м2</v>
      </c>
      <c r="E72" s="13">
        <f>Source!I35</f>
        <v>37.026000000000003</v>
      </c>
      <c r="F72" s="36">
        <f>Source!AL35+Source!AM35+Source!AO35</f>
        <v>0</v>
      </c>
      <c r="G72" s="50" t="s">
        <v>4</v>
      </c>
      <c r="H72" s="38">
        <f>ROUND(Source!AC35*Source!I35, 2)+ROUND(Source!AD35*Source!I35, 2)+ROUND(Source!AF35*Source!I35, 2)</f>
        <v>0</v>
      </c>
      <c r="I72" s="37"/>
      <c r="J72" s="37">
        <f>IF(Source!BC35&lt;&gt; 0, Source!BC35, 1)</f>
        <v>6.08</v>
      </c>
      <c r="K72" s="38">
        <f>Source!O35</f>
        <v>0</v>
      </c>
      <c r="L72" s="39"/>
      <c r="S72">
        <f>ROUND((Source!FX35/100)*((ROUND(Source!AF35*Source!I35, 2)+ROUND(Source!AE35*Source!I35, 2))), 2)</f>
        <v>0</v>
      </c>
      <c r="T72">
        <f>Source!X35</f>
        <v>0</v>
      </c>
      <c r="U72">
        <f>ROUND((Source!FY35/100)*((ROUND(Source!AF35*Source!I35, 2)+ROUND(Source!AE35*Source!I35, 2))), 2)</f>
        <v>0</v>
      </c>
      <c r="V72">
        <f>Source!Y35</f>
        <v>0</v>
      </c>
      <c r="W72">
        <f>IF(Source!BI35&lt;=1,H72, 0)</f>
        <v>0</v>
      </c>
      <c r="X72">
        <f>IF(Source!BI35=2,H72, 0)</f>
        <v>0</v>
      </c>
      <c r="Y72">
        <f>IF(Source!BI35=3,H72, 0)</f>
        <v>0</v>
      </c>
      <c r="Z72">
        <f>IF(Source!BI35=4,H72, 0)</f>
        <v>0</v>
      </c>
    </row>
    <row r="73" spans="1:26" ht="57" x14ac:dyDescent="0.2">
      <c r="A73" s="53" t="str">
        <f>Source!E37</f>
        <v>5,2</v>
      </c>
      <c r="B73" s="54" t="str">
        <f>Source!F37</f>
        <v>01.6.03.04-0112</v>
      </c>
      <c r="C73" s="54" t="str">
        <f>Source!G37</f>
        <v>Линолеум коммерческий гомогенный "ТАРКЕТТ iQ MONOLIT" (толщина 2 мм, класс 34/43, пож. безопасность Г1, В2, РП1, Д2, Т2)</v>
      </c>
      <c r="D73" s="35" t="str">
        <f>Source!H37</f>
        <v>м2</v>
      </c>
      <c r="E73" s="13">
        <f>Source!I37</f>
        <v>37.026000000000003</v>
      </c>
      <c r="F73" s="36">
        <f>Source!AL37+Source!AM37+Source!AO37</f>
        <v>71.47</v>
      </c>
      <c r="G73" s="50" t="s">
        <v>4</v>
      </c>
      <c r="H73" s="38">
        <f>ROUND(Source!AC37*Source!I37, 2)+ROUND(Source!AD37*Source!I37, 2)+ROUND(Source!AF37*Source!I37, 2)</f>
        <v>2646.25</v>
      </c>
      <c r="I73" s="37"/>
      <c r="J73" s="37">
        <f>IF(Source!BC37&lt;&gt; 0, Source!BC37, 1)</f>
        <v>6.08</v>
      </c>
      <c r="K73" s="38">
        <f>Source!O37</f>
        <v>16089.19</v>
      </c>
      <c r="L73" s="39"/>
      <c r="S73">
        <f>ROUND((Source!FX37/100)*((ROUND(Source!AF37*Source!I37, 2)+ROUND(Source!AE37*Source!I37, 2))), 2)</f>
        <v>0</v>
      </c>
      <c r="T73">
        <f>Source!X37</f>
        <v>0</v>
      </c>
      <c r="U73">
        <f>ROUND((Source!FY37/100)*((ROUND(Source!AF37*Source!I37, 2)+ROUND(Source!AE37*Source!I37, 2))), 2)</f>
        <v>0</v>
      </c>
      <c r="V73">
        <f>Source!Y37</f>
        <v>0</v>
      </c>
      <c r="W73">
        <f>IF(Source!BI37&lt;=1,H73, 0)</f>
        <v>2646.25</v>
      </c>
      <c r="X73">
        <f>IF(Source!BI37=2,H73, 0)</f>
        <v>0</v>
      </c>
      <c r="Y73">
        <f>IF(Source!BI37=3,H73, 0)</f>
        <v>0</v>
      </c>
      <c r="Z73">
        <f>IF(Source!BI37=4,H73, 0)</f>
        <v>0</v>
      </c>
    </row>
    <row r="74" spans="1:26" ht="28.5" x14ac:dyDescent="0.2">
      <c r="A74" s="55" t="str">
        <f>Source!E39</f>
        <v>5,3</v>
      </c>
      <c r="B74" s="56" t="str">
        <f>Source!F39</f>
        <v>14.1.02.04-0101</v>
      </c>
      <c r="C74" s="56" t="str">
        <f>Source!G39</f>
        <v>Клей «Бустилат»</v>
      </c>
      <c r="D74" s="41" t="str">
        <f>Source!H39</f>
        <v>т</v>
      </c>
      <c r="E74" s="42">
        <f>Source!I39</f>
        <v>1.8149999999999999E-2</v>
      </c>
      <c r="F74" s="43">
        <f>Source!AL39+Source!AM39+Source!AO39</f>
        <v>11300</v>
      </c>
      <c r="G74" s="51" t="s">
        <v>4</v>
      </c>
      <c r="H74" s="45">
        <f>ROUND(Source!AC39*Source!I39, 2)+ROUND(Source!AD39*Source!I39, 2)+ROUND(Source!AF39*Source!I39, 2)</f>
        <v>205.1</v>
      </c>
      <c r="I74" s="44"/>
      <c r="J74" s="44">
        <f>IF(Source!BC39&lt;&gt; 0, Source!BC39, 1)</f>
        <v>6.08</v>
      </c>
      <c r="K74" s="45">
        <f>Source!O39</f>
        <v>1246.98</v>
      </c>
      <c r="L74" s="52"/>
      <c r="S74">
        <f>ROUND((Source!FX39/100)*((ROUND(Source!AF39*Source!I39, 2)+ROUND(Source!AE39*Source!I39, 2))), 2)</f>
        <v>0</v>
      </c>
      <c r="T74">
        <f>Source!X39</f>
        <v>0</v>
      </c>
      <c r="U74">
        <f>ROUND((Source!FY39/100)*((ROUND(Source!AF39*Source!I39, 2)+ROUND(Source!AE39*Source!I39, 2))), 2)</f>
        <v>0</v>
      </c>
      <c r="V74">
        <f>Source!Y39</f>
        <v>0</v>
      </c>
      <c r="W74">
        <f>IF(Source!BI39&lt;=1,H74, 0)</f>
        <v>205.1</v>
      </c>
      <c r="X74">
        <f>IF(Source!BI39=2,H74, 0)</f>
        <v>0</v>
      </c>
      <c r="Y74">
        <f>IF(Source!BI39=3,H74, 0)</f>
        <v>0</v>
      </c>
      <c r="Z74">
        <f>IF(Source!BI39=4,H74, 0)</f>
        <v>0</v>
      </c>
    </row>
    <row r="75" spans="1:26" ht="15" x14ac:dyDescent="0.25">
      <c r="G75" s="82">
        <f>H65+H66+H68+H69+H70+SUM(H72:H74)</f>
        <v>3283.55</v>
      </c>
      <c r="H75" s="82"/>
      <c r="J75" s="82">
        <f>K65+K66+K68+K69+K70+SUM(K72:K74)</f>
        <v>19969.100000000002</v>
      </c>
      <c r="K75" s="82"/>
      <c r="L75" s="47">
        <f>Source!U33</f>
        <v>17.69988</v>
      </c>
      <c r="O75" s="30">
        <f>G75</f>
        <v>3283.55</v>
      </c>
      <c r="P75" s="30">
        <f>J75</f>
        <v>19969.100000000002</v>
      </c>
      <c r="Q75" s="30">
        <f>L75</f>
        <v>17.69988</v>
      </c>
      <c r="W75">
        <f>IF(Source!BI33&lt;=1,H65+H66+H68+H69+H70, 0)</f>
        <v>432.20000000000005</v>
      </c>
      <c r="X75">
        <f>IF(Source!BI33=2,H65+H66+H68+H69+H70, 0)</f>
        <v>0</v>
      </c>
      <c r="Y75">
        <f>IF(Source!BI33=3,H65+H66+H68+H69+H70, 0)</f>
        <v>0</v>
      </c>
      <c r="Z75">
        <f>IF(Source!BI33=4,H65+H66+H68+H69+H70, 0)</f>
        <v>0</v>
      </c>
    </row>
    <row r="76" spans="1:26" ht="42.75" x14ac:dyDescent="0.2">
      <c r="A76" s="53" t="str">
        <f>Source!E41</f>
        <v>6</v>
      </c>
      <c r="B76" s="54" t="str">
        <f>Source!F41</f>
        <v>11-01-040-03</v>
      </c>
      <c r="C76" s="54" t="str">
        <f>Source!G41</f>
        <v>Устройство плинтусов поливинилхлоридных на винтах самонарезающих</v>
      </c>
      <c r="D76" s="35" t="str">
        <f>Source!H41</f>
        <v>100 м</v>
      </c>
      <c r="E76" s="13">
        <f>Source!I41</f>
        <v>0.23200000000000001</v>
      </c>
      <c r="F76" s="36">
        <f>Source!AL41+Source!AM41+Source!AO41</f>
        <v>137.09</v>
      </c>
      <c r="G76" s="37"/>
      <c r="H76" s="38"/>
      <c r="I76" s="37" t="str">
        <f>Source!BO41</f>
        <v/>
      </c>
      <c r="J76" s="37"/>
      <c r="K76" s="38"/>
      <c r="L76" s="39"/>
      <c r="S76">
        <f>ROUND((Source!FX41/100)*((ROUND(Source!AF41*Source!I41, 2)+ROUND(Source!AE41*Source!I41, 2))), 2)</f>
        <v>18.239999999999998</v>
      </c>
      <c r="T76">
        <f>Source!X41</f>
        <v>111.23</v>
      </c>
      <c r="U76">
        <f>ROUND((Source!FY41/100)*((ROUND(Source!AF41*Source!I41, 2)+ROUND(Source!AE41*Source!I41, 2))), 2)</f>
        <v>10.51</v>
      </c>
      <c r="V76">
        <f>Source!Y41</f>
        <v>64.13</v>
      </c>
    </row>
    <row r="77" spans="1:26" x14ac:dyDescent="0.2">
      <c r="C77" s="29" t="str">
        <f>"Объем: "&amp;Source!I41&amp;"=23,2/"&amp;"100"</f>
        <v>Объем: 0,232=23,2/100</v>
      </c>
    </row>
    <row r="78" spans="1:26" ht="14.25" x14ac:dyDescent="0.2">
      <c r="A78" s="53"/>
      <c r="B78" s="54"/>
      <c r="C78" s="54" t="s">
        <v>347</v>
      </c>
      <c r="D78" s="35"/>
      <c r="E78" s="13"/>
      <c r="F78" s="36">
        <f>Source!AO41</f>
        <v>61.32</v>
      </c>
      <c r="G78" s="37" t="str">
        <f>Source!DG41</f>
        <v>)*1,15</v>
      </c>
      <c r="H78" s="38">
        <f>ROUND(Source!AF41*Source!I41, 2)</f>
        <v>16.36</v>
      </c>
      <c r="I78" s="37"/>
      <c r="J78" s="37">
        <f>IF(Source!BA41&lt;&gt; 0, Source!BA41, 1)</f>
        <v>6.08</v>
      </c>
      <c r="K78" s="38">
        <f>Source!S41</f>
        <v>99.47</v>
      </c>
      <c r="L78" s="39"/>
      <c r="R78">
        <f>H78</f>
        <v>16.36</v>
      </c>
    </row>
    <row r="79" spans="1:26" ht="14.25" x14ac:dyDescent="0.2">
      <c r="A79" s="53"/>
      <c r="B79" s="54"/>
      <c r="C79" s="54" t="s">
        <v>149</v>
      </c>
      <c r="D79" s="35"/>
      <c r="E79" s="13"/>
      <c r="F79" s="36">
        <f>Source!AM41</f>
        <v>2.13</v>
      </c>
      <c r="G79" s="37" t="str">
        <f>Source!DE41</f>
        <v>)*1,25</v>
      </c>
      <c r="H79" s="38">
        <f>ROUND(Source!AD41*Source!I41, 2)</f>
        <v>0.62</v>
      </c>
      <c r="I79" s="37"/>
      <c r="J79" s="37">
        <f>IF(Source!BB41&lt;&gt; 0, Source!BB41, 1)</f>
        <v>6.08</v>
      </c>
      <c r="K79" s="38">
        <f>Source!Q41</f>
        <v>3.76</v>
      </c>
      <c r="L79" s="39"/>
    </row>
    <row r="80" spans="1:26" ht="14.25" x14ac:dyDescent="0.2">
      <c r="A80" s="53"/>
      <c r="B80" s="54"/>
      <c r="C80" s="54" t="s">
        <v>353</v>
      </c>
      <c r="D80" s="35"/>
      <c r="E80" s="13"/>
      <c r="F80" s="36">
        <f>Source!AN41</f>
        <v>0.42</v>
      </c>
      <c r="G80" s="37" t="str">
        <f>Source!DF41</f>
        <v>)*1,25</v>
      </c>
      <c r="H80" s="48">
        <f>ROUND(Source!AE41*Source!I41, 2)</f>
        <v>0.12</v>
      </c>
      <c r="I80" s="37"/>
      <c r="J80" s="37">
        <f>IF(Source!BS41&lt;&gt; 0, Source!BS41, 1)</f>
        <v>6.08</v>
      </c>
      <c r="K80" s="48">
        <f>Source!R41</f>
        <v>0.74</v>
      </c>
      <c r="L80" s="39"/>
      <c r="R80">
        <f>H80</f>
        <v>0.12</v>
      </c>
    </row>
    <row r="81" spans="1:26" ht="14.25" x14ac:dyDescent="0.2">
      <c r="A81" s="53"/>
      <c r="B81" s="54"/>
      <c r="C81" s="54" t="s">
        <v>354</v>
      </c>
      <c r="D81" s="35"/>
      <c r="E81" s="13"/>
      <c r="F81" s="36">
        <f>Source!AL41</f>
        <v>73.64</v>
      </c>
      <c r="G81" s="37" t="str">
        <f>Source!DD41</f>
        <v/>
      </c>
      <c r="H81" s="38">
        <f>ROUND(Source!AC41*Source!I41, 2)</f>
        <v>17.079999999999998</v>
      </c>
      <c r="I81" s="37"/>
      <c r="J81" s="37">
        <f>IF(Source!BC41&lt;&gt; 0, Source!BC41, 1)</f>
        <v>6.08</v>
      </c>
      <c r="K81" s="38">
        <f>Source!P41</f>
        <v>103.87</v>
      </c>
      <c r="L81" s="39"/>
    </row>
    <row r="82" spans="1:26" ht="14.25" x14ac:dyDescent="0.2">
      <c r="A82" s="53"/>
      <c r="B82" s="54"/>
      <c r="C82" s="54" t="s">
        <v>348</v>
      </c>
      <c r="D82" s="35" t="s">
        <v>349</v>
      </c>
      <c r="E82" s="13">
        <f>Source!BZ41</f>
        <v>123</v>
      </c>
      <c r="F82" s="80" t="str">
        <f>CONCATENATE(" )", Source!DL41, Source!FT41, "=", Source!FX41)</f>
        <v xml:space="preserve"> )*0,9=110,7</v>
      </c>
      <c r="G82" s="81"/>
      <c r="H82" s="38">
        <f>SUM(S76:S90)</f>
        <v>18.239999999999998</v>
      </c>
      <c r="I82" s="40"/>
      <c r="J82" s="33">
        <f>Source!AT41</f>
        <v>111</v>
      </c>
      <c r="K82" s="38">
        <f>SUM(T76:T90)</f>
        <v>111.23</v>
      </c>
      <c r="L82" s="39"/>
    </row>
    <row r="83" spans="1:26" ht="14.25" x14ac:dyDescent="0.2">
      <c r="A83" s="53"/>
      <c r="B83" s="54"/>
      <c r="C83" s="54" t="s">
        <v>350</v>
      </c>
      <c r="D83" s="35" t="s">
        <v>349</v>
      </c>
      <c r="E83" s="13">
        <f>Source!CA41</f>
        <v>75</v>
      </c>
      <c r="F83" s="80" t="str">
        <f>CONCATENATE(" )", Source!DM41, Source!FU41, "=", Source!FY41)</f>
        <v xml:space="preserve"> )*0,85=63,75</v>
      </c>
      <c r="G83" s="81"/>
      <c r="H83" s="38">
        <f>SUM(U76:U90)</f>
        <v>10.51</v>
      </c>
      <c r="I83" s="40"/>
      <c r="J83" s="33">
        <f>Source!AU41</f>
        <v>64</v>
      </c>
      <c r="K83" s="38">
        <f>SUM(V76:V90)</f>
        <v>64.13</v>
      </c>
      <c r="L83" s="39"/>
    </row>
    <row r="84" spans="1:26" ht="14.25" x14ac:dyDescent="0.2">
      <c r="A84" s="53"/>
      <c r="B84" s="54"/>
      <c r="C84" s="54" t="s">
        <v>351</v>
      </c>
      <c r="D84" s="35" t="s">
        <v>352</v>
      </c>
      <c r="E84" s="13">
        <f>Source!AQ41</f>
        <v>6.68</v>
      </c>
      <c r="F84" s="36"/>
      <c r="G84" s="37" t="str">
        <f>Source!DI41</f>
        <v>)*1,15</v>
      </c>
      <c r="H84" s="38"/>
      <c r="I84" s="37"/>
      <c r="J84" s="37"/>
      <c r="K84" s="38"/>
      <c r="L84" s="49">
        <f>Source!U41</f>
        <v>1.782224</v>
      </c>
    </row>
    <row r="85" spans="1:26" ht="28.5" x14ac:dyDescent="0.2">
      <c r="A85" s="53" t="str">
        <f>Source!E43</f>
        <v>6,1</v>
      </c>
      <c r="B85" s="54" t="str">
        <f>Source!F43</f>
        <v>11.3.03.14-0002</v>
      </c>
      <c r="C85" s="54" t="str">
        <f>Source!G43</f>
        <v>Заглушка торцевая для пластикового плинтуса левая, высота 49 мм</v>
      </c>
      <c r="D85" s="35" t="str">
        <f>Source!H43</f>
        <v>100 шт.</v>
      </c>
      <c r="E85" s="13">
        <f>Source!I43</f>
        <v>0.02</v>
      </c>
      <c r="F85" s="36">
        <f>Source!AL43+Source!AM43+Source!AO43</f>
        <v>101</v>
      </c>
      <c r="G85" s="50" t="s">
        <v>4</v>
      </c>
      <c r="H85" s="38">
        <f>ROUND(Source!AC43*Source!I43, 2)+ROUND(Source!AD43*Source!I43, 2)+ROUND(Source!AF43*Source!I43, 2)</f>
        <v>2.02</v>
      </c>
      <c r="I85" s="37"/>
      <c r="J85" s="37">
        <f>IF(Source!BC43&lt;&gt; 0, Source!BC43, 1)</f>
        <v>6.08</v>
      </c>
      <c r="K85" s="38">
        <f>Source!O43</f>
        <v>12.28</v>
      </c>
      <c r="L85" s="39"/>
      <c r="S85">
        <f>ROUND((Source!FX43/100)*((ROUND(Source!AF43*Source!I43, 2)+ROUND(Source!AE43*Source!I43, 2))), 2)</f>
        <v>0</v>
      </c>
      <c r="T85">
        <f>Source!X43</f>
        <v>0</v>
      </c>
      <c r="U85">
        <f>ROUND((Source!FY43/100)*((ROUND(Source!AF43*Source!I43, 2)+ROUND(Source!AE43*Source!I43, 2))), 2)</f>
        <v>0</v>
      </c>
      <c r="V85">
        <f>Source!Y43</f>
        <v>0</v>
      </c>
      <c r="W85">
        <f>IF(Source!BI43&lt;=1,H85, 0)</f>
        <v>2.02</v>
      </c>
      <c r="X85">
        <f>IF(Source!BI43=2,H85, 0)</f>
        <v>0</v>
      </c>
      <c r="Y85">
        <f>IF(Source!BI43=3,H85, 0)</f>
        <v>0</v>
      </c>
      <c r="Z85">
        <f>IF(Source!BI43=4,H85, 0)</f>
        <v>0</v>
      </c>
    </row>
    <row r="86" spans="1:26" ht="28.5" x14ac:dyDescent="0.2">
      <c r="A86" s="53" t="str">
        <f>Source!E45</f>
        <v>6,2</v>
      </c>
      <c r="B86" s="54" t="str">
        <f>Source!F45</f>
        <v>11.3.03.06-0001</v>
      </c>
      <c r="C86" s="54" t="str">
        <f>Source!G45</f>
        <v>Плинтуса для полов пластиковые, 19х48 мм</v>
      </c>
      <c r="D86" s="35" t="str">
        <f>Source!H45</f>
        <v>м</v>
      </c>
      <c r="E86" s="13">
        <f>Source!I45</f>
        <v>23.431999999999999</v>
      </c>
      <c r="F86" s="36">
        <f>Source!AL45+Source!AM45+Source!AO45</f>
        <v>12.3</v>
      </c>
      <c r="G86" s="50" t="s">
        <v>4</v>
      </c>
      <c r="H86" s="38">
        <f>ROUND(Source!AC45*Source!I45, 2)+ROUND(Source!AD45*Source!I45, 2)+ROUND(Source!AF45*Source!I45, 2)</f>
        <v>288.20999999999998</v>
      </c>
      <c r="I86" s="37"/>
      <c r="J86" s="37">
        <f>IF(Source!BC45&lt;&gt; 0, Source!BC45, 1)</f>
        <v>6.08</v>
      </c>
      <c r="K86" s="38">
        <f>Source!O45</f>
        <v>1752.34</v>
      </c>
      <c r="L86" s="39"/>
      <c r="S86">
        <f>ROUND((Source!FX45/100)*((ROUND(Source!AF45*Source!I45, 2)+ROUND(Source!AE45*Source!I45, 2))), 2)</f>
        <v>0</v>
      </c>
      <c r="T86">
        <f>Source!X45</f>
        <v>0</v>
      </c>
      <c r="U86">
        <f>ROUND((Source!FY45/100)*((ROUND(Source!AF45*Source!I45, 2)+ROUND(Source!AE45*Source!I45, 2))), 2)</f>
        <v>0</v>
      </c>
      <c r="V86">
        <f>Source!Y45</f>
        <v>0</v>
      </c>
      <c r="W86">
        <f>IF(Source!BI45&lt;=1,H86, 0)</f>
        <v>288.20999999999998</v>
      </c>
      <c r="X86">
        <f>IF(Source!BI45=2,H86, 0)</f>
        <v>0</v>
      </c>
      <c r="Y86">
        <f>IF(Source!BI45=3,H86, 0)</f>
        <v>0</v>
      </c>
      <c r="Z86">
        <f>IF(Source!BI45=4,H86, 0)</f>
        <v>0</v>
      </c>
    </row>
    <row r="87" spans="1:26" ht="28.5" x14ac:dyDescent="0.2">
      <c r="A87" s="53" t="str">
        <f>Source!E47</f>
        <v>6,3</v>
      </c>
      <c r="B87" s="54" t="str">
        <f>Source!F47</f>
        <v>11.3.03.14-0012</v>
      </c>
      <c r="C87" s="54" t="str">
        <f>Source!G47</f>
        <v>Заглушки торцевая для пластикового плинтуса правая, высота 49 мм</v>
      </c>
      <c r="D87" s="35" t="str">
        <f>Source!H47</f>
        <v>100 шт.</v>
      </c>
      <c r="E87" s="13">
        <f>Source!I47</f>
        <v>0.02</v>
      </c>
      <c r="F87" s="36">
        <f>Source!AL47+Source!AM47+Source!AO47</f>
        <v>101</v>
      </c>
      <c r="G87" s="50" t="s">
        <v>4</v>
      </c>
      <c r="H87" s="38">
        <f>ROUND(Source!AC47*Source!I47, 2)+ROUND(Source!AD47*Source!I47, 2)+ROUND(Source!AF47*Source!I47, 2)</f>
        <v>2.02</v>
      </c>
      <c r="I87" s="37"/>
      <c r="J87" s="37">
        <f>IF(Source!BC47&lt;&gt; 0, Source!BC47, 1)</f>
        <v>6.08</v>
      </c>
      <c r="K87" s="38">
        <f>Source!O47</f>
        <v>12.28</v>
      </c>
      <c r="L87" s="39"/>
      <c r="S87">
        <f>ROUND((Source!FX47/100)*((ROUND(Source!AF47*Source!I47, 2)+ROUND(Source!AE47*Source!I47, 2))), 2)</f>
        <v>0</v>
      </c>
      <c r="T87">
        <f>Source!X47</f>
        <v>0</v>
      </c>
      <c r="U87">
        <f>ROUND((Source!FY47/100)*((ROUND(Source!AF47*Source!I47, 2)+ROUND(Source!AE47*Source!I47, 2))), 2)</f>
        <v>0</v>
      </c>
      <c r="V87">
        <f>Source!Y47</f>
        <v>0</v>
      </c>
      <c r="W87">
        <f>IF(Source!BI47&lt;=1,H87, 0)</f>
        <v>2.02</v>
      </c>
      <c r="X87">
        <f>IF(Source!BI47=2,H87, 0)</f>
        <v>0</v>
      </c>
      <c r="Y87">
        <f>IF(Source!BI47=3,H87, 0)</f>
        <v>0</v>
      </c>
      <c r="Z87">
        <f>IF(Source!BI47=4,H87, 0)</f>
        <v>0</v>
      </c>
    </row>
    <row r="88" spans="1:26" ht="28.5" x14ac:dyDescent="0.2">
      <c r="A88" s="53" t="str">
        <f>Source!E49</f>
        <v>6,4</v>
      </c>
      <c r="B88" s="54" t="str">
        <f>Source!F49</f>
        <v>11.3.03.14-0022</v>
      </c>
      <c r="C88" s="54" t="str">
        <f>Source!G49</f>
        <v>Соединитель для пластикового плинтуса, высота 49 мм</v>
      </c>
      <c r="D88" s="35" t="str">
        <f>Source!H49</f>
        <v>100 шт.</v>
      </c>
      <c r="E88" s="13">
        <f>Source!I49</f>
        <v>0.01</v>
      </c>
      <c r="F88" s="36">
        <f>Source!AL49+Source!AM49+Source!AO49</f>
        <v>128</v>
      </c>
      <c r="G88" s="50" t="s">
        <v>4</v>
      </c>
      <c r="H88" s="38">
        <f>ROUND(Source!AC49*Source!I49, 2)+ROUND(Source!AD49*Source!I49, 2)+ROUND(Source!AF49*Source!I49, 2)</f>
        <v>1.28</v>
      </c>
      <c r="I88" s="37"/>
      <c r="J88" s="37">
        <f>IF(Source!BC49&lt;&gt; 0, Source!BC49, 1)</f>
        <v>6.08</v>
      </c>
      <c r="K88" s="38">
        <f>Source!O49</f>
        <v>7.78</v>
      </c>
      <c r="L88" s="39"/>
      <c r="S88">
        <f>ROUND((Source!FX49/100)*((ROUND(Source!AF49*Source!I49, 2)+ROUND(Source!AE49*Source!I49, 2))), 2)</f>
        <v>0</v>
      </c>
      <c r="T88">
        <f>Source!X49</f>
        <v>0</v>
      </c>
      <c r="U88">
        <f>ROUND((Source!FY49/100)*((ROUND(Source!AF49*Source!I49, 2)+ROUND(Source!AE49*Source!I49, 2))), 2)</f>
        <v>0</v>
      </c>
      <c r="V88">
        <f>Source!Y49</f>
        <v>0</v>
      </c>
      <c r="W88">
        <f>IF(Source!BI49&lt;=1,H88, 0)</f>
        <v>1.28</v>
      </c>
      <c r="X88">
        <f>IF(Source!BI49=2,H88, 0)</f>
        <v>0</v>
      </c>
      <c r="Y88">
        <f>IF(Source!BI49=3,H88, 0)</f>
        <v>0</v>
      </c>
      <c r="Z88">
        <f>IF(Source!BI49=4,H88, 0)</f>
        <v>0</v>
      </c>
    </row>
    <row r="89" spans="1:26" ht="28.5" x14ac:dyDescent="0.2">
      <c r="A89" s="53" t="str">
        <f>Source!E51</f>
        <v>6,5</v>
      </c>
      <c r="B89" s="54" t="str">
        <f>Source!F51</f>
        <v>11.3.03.14-0032</v>
      </c>
      <c r="C89" s="54" t="str">
        <f>Source!G51</f>
        <v>Уголок внутренний для пластикового плинтуса, высота 49 мм</v>
      </c>
      <c r="D89" s="35" t="str">
        <f>Source!H51</f>
        <v>100 шт.</v>
      </c>
      <c r="E89" s="13">
        <f>Source!I51</f>
        <v>0.02</v>
      </c>
      <c r="F89" s="36">
        <f>Source!AL51+Source!AM51+Source!AO51</f>
        <v>128</v>
      </c>
      <c r="G89" s="50" t="s">
        <v>4</v>
      </c>
      <c r="H89" s="38">
        <f>ROUND(Source!AC51*Source!I51, 2)+ROUND(Source!AD51*Source!I51, 2)+ROUND(Source!AF51*Source!I51, 2)</f>
        <v>2.56</v>
      </c>
      <c r="I89" s="37"/>
      <c r="J89" s="37">
        <f>IF(Source!BC51&lt;&gt; 0, Source!BC51, 1)</f>
        <v>6.08</v>
      </c>
      <c r="K89" s="38">
        <f>Source!O51</f>
        <v>15.56</v>
      </c>
      <c r="L89" s="39"/>
      <c r="S89">
        <f>ROUND((Source!FX51/100)*((ROUND(Source!AF51*Source!I51, 2)+ROUND(Source!AE51*Source!I51, 2))), 2)</f>
        <v>0</v>
      </c>
      <c r="T89">
        <f>Source!X51</f>
        <v>0</v>
      </c>
      <c r="U89">
        <f>ROUND((Source!FY51/100)*((ROUND(Source!AF51*Source!I51, 2)+ROUND(Source!AE51*Source!I51, 2))), 2)</f>
        <v>0</v>
      </c>
      <c r="V89">
        <f>Source!Y51</f>
        <v>0</v>
      </c>
      <c r="W89">
        <f>IF(Source!BI51&lt;=1,H89, 0)</f>
        <v>2.56</v>
      </c>
      <c r="X89">
        <f>IF(Source!BI51=2,H89, 0)</f>
        <v>0</v>
      </c>
      <c r="Y89">
        <f>IF(Source!BI51=3,H89, 0)</f>
        <v>0</v>
      </c>
      <c r="Z89">
        <f>IF(Source!BI51=4,H89, 0)</f>
        <v>0</v>
      </c>
    </row>
    <row r="90" spans="1:26" ht="28.5" x14ac:dyDescent="0.2">
      <c r="A90" s="55" t="str">
        <f>Source!E53</f>
        <v>6,6</v>
      </c>
      <c r="B90" s="56" t="str">
        <f>Source!F53</f>
        <v>11.3.03.14-0034</v>
      </c>
      <c r="C90" s="56" t="str">
        <f>Source!G53</f>
        <v>Уголок наружный для пластикового плинтуса, высота 49 мм</v>
      </c>
      <c r="D90" s="41" t="str">
        <f>Source!H53</f>
        <v>100 шт.</v>
      </c>
      <c r="E90" s="42">
        <f>Source!I53</f>
        <v>0.02</v>
      </c>
      <c r="F90" s="43">
        <f>Source!AL53+Source!AM53+Source!AO53</f>
        <v>128</v>
      </c>
      <c r="G90" s="51" t="s">
        <v>4</v>
      </c>
      <c r="H90" s="45">
        <f>ROUND(Source!AC53*Source!I53, 2)+ROUND(Source!AD53*Source!I53, 2)+ROUND(Source!AF53*Source!I53, 2)</f>
        <v>2.56</v>
      </c>
      <c r="I90" s="44"/>
      <c r="J90" s="44">
        <f>IF(Source!BC53&lt;&gt; 0, Source!BC53, 1)</f>
        <v>6.08</v>
      </c>
      <c r="K90" s="45">
        <f>Source!O53</f>
        <v>15.56</v>
      </c>
      <c r="L90" s="52"/>
      <c r="S90">
        <f>ROUND((Source!FX53/100)*((ROUND(Source!AF53*Source!I53, 2)+ROUND(Source!AE53*Source!I53, 2))), 2)</f>
        <v>0</v>
      </c>
      <c r="T90">
        <f>Source!X53</f>
        <v>0</v>
      </c>
      <c r="U90">
        <f>ROUND((Source!FY53/100)*((ROUND(Source!AF53*Source!I53, 2)+ROUND(Source!AE53*Source!I53, 2))), 2)</f>
        <v>0</v>
      </c>
      <c r="V90">
        <f>Source!Y53</f>
        <v>0</v>
      </c>
      <c r="W90">
        <f>IF(Source!BI53&lt;=1,H90, 0)</f>
        <v>2.56</v>
      </c>
      <c r="X90">
        <f>IF(Source!BI53=2,H90, 0)</f>
        <v>0</v>
      </c>
      <c r="Y90">
        <f>IF(Source!BI53=3,H90, 0)</f>
        <v>0</v>
      </c>
      <c r="Z90">
        <f>IF(Source!BI53=4,H90, 0)</f>
        <v>0</v>
      </c>
    </row>
    <row r="91" spans="1:26" ht="15" x14ac:dyDescent="0.25">
      <c r="G91" s="82">
        <f>H78+H79+H81+H82+H83+SUM(H85:H90)</f>
        <v>361.45999999999992</v>
      </c>
      <c r="H91" s="82"/>
      <c r="J91" s="82">
        <f>K78+K79+K81+K82+K83+SUM(K85:K90)</f>
        <v>2198.2599999999998</v>
      </c>
      <c r="K91" s="82"/>
      <c r="L91" s="47">
        <f>Source!U41</f>
        <v>1.782224</v>
      </c>
      <c r="O91" s="30">
        <f>G91</f>
        <v>361.45999999999992</v>
      </c>
      <c r="P91" s="30">
        <f>J91</f>
        <v>2198.2599999999998</v>
      </c>
      <c r="Q91" s="30">
        <f>L91</f>
        <v>1.782224</v>
      </c>
      <c r="W91">
        <f>IF(Source!BI41&lt;=1,H78+H79+H81+H82+H83, 0)</f>
        <v>62.809999999999995</v>
      </c>
      <c r="X91">
        <f>IF(Source!BI41=2,H78+H79+H81+H82+H83, 0)</f>
        <v>0</v>
      </c>
      <c r="Y91">
        <f>IF(Source!BI41=3,H78+H79+H81+H82+H83, 0)</f>
        <v>0</v>
      </c>
      <c r="Z91">
        <f>IF(Source!BI41=4,H78+H79+H81+H82+H83, 0)</f>
        <v>0</v>
      </c>
    </row>
    <row r="92" spans="1:26" ht="28.5" x14ac:dyDescent="0.2">
      <c r="A92" s="53" t="str">
        <f>Source!E55</f>
        <v>7</v>
      </c>
      <c r="B92" s="54" t="str">
        <f>Source!F55</f>
        <v>13-06-003-01</v>
      </c>
      <c r="C92" s="54" t="str">
        <f>Source!G55</f>
        <v>Очистка поверхности щетками стен и потолка от красок</v>
      </c>
      <c r="D92" s="35" t="str">
        <f>Source!H55</f>
        <v>м2</v>
      </c>
      <c r="E92" s="13">
        <f>Source!I55</f>
        <v>114.5</v>
      </c>
      <c r="F92" s="36">
        <f>Source!AL55+Source!AM55+Source!AO55</f>
        <v>7.68</v>
      </c>
      <c r="G92" s="37"/>
      <c r="H92" s="38"/>
      <c r="I92" s="37" t="str">
        <f>Source!BO55</f>
        <v/>
      </c>
      <c r="J92" s="37"/>
      <c r="K92" s="38"/>
      <c r="L92" s="39"/>
      <c r="S92">
        <f>ROUND((Source!FX55/100)*((ROUND(Source!AF55*Source!I55, 2)+ROUND(Source!AE55*Source!I55, 2))), 2)</f>
        <v>819.12</v>
      </c>
      <c r="T92">
        <f>Source!X55</f>
        <v>4980.28</v>
      </c>
      <c r="U92">
        <f>ROUND((Source!FY55/100)*((ROUND(Source!AF55*Source!I55, 2)+ROUND(Source!AE55*Source!I55, 2))), 2)</f>
        <v>601.70000000000005</v>
      </c>
      <c r="V92">
        <f>Source!Y55</f>
        <v>3689.09</v>
      </c>
    </row>
    <row r="93" spans="1:26" ht="14.25" x14ac:dyDescent="0.2">
      <c r="A93" s="53"/>
      <c r="B93" s="54"/>
      <c r="C93" s="54" t="s">
        <v>347</v>
      </c>
      <c r="D93" s="35"/>
      <c r="E93" s="13"/>
      <c r="F93" s="36">
        <f>Source!AO55</f>
        <v>7.68</v>
      </c>
      <c r="G93" s="37" t="str">
        <f>Source!DG55</f>
        <v>)*1,15</v>
      </c>
      <c r="H93" s="38">
        <f>ROUND(Source!AF55*Source!I55, 2)</f>
        <v>1011.26</v>
      </c>
      <c r="I93" s="37"/>
      <c r="J93" s="37">
        <f>IF(Source!BA55&lt;&gt; 0, Source!BA55, 1)</f>
        <v>6.08</v>
      </c>
      <c r="K93" s="38">
        <f>Source!S55</f>
        <v>6148.49</v>
      </c>
      <c r="L93" s="39"/>
      <c r="R93">
        <f>H93</f>
        <v>1011.26</v>
      </c>
    </row>
    <row r="94" spans="1:26" ht="14.25" x14ac:dyDescent="0.2">
      <c r="A94" s="53"/>
      <c r="B94" s="54"/>
      <c r="C94" s="54" t="s">
        <v>348</v>
      </c>
      <c r="D94" s="35" t="s">
        <v>349</v>
      </c>
      <c r="E94" s="13">
        <f>Source!BZ55</f>
        <v>90</v>
      </c>
      <c r="F94" s="80" t="str">
        <f>CONCATENATE(" )", Source!DL55, Source!FT55, "=", Source!FX55)</f>
        <v xml:space="preserve"> )*0,9=81</v>
      </c>
      <c r="G94" s="81"/>
      <c r="H94" s="38">
        <f>SUM(S92:S96)</f>
        <v>819.12</v>
      </c>
      <c r="I94" s="40"/>
      <c r="J94" s="33">
        <f>Source!AT55</f>
        <v>81</v>
      </c>
      <c r="K94" s="38">
        <f>SUM(T92:T96)</f>
        <v>4980.28</v>
      </c>
      <c r="L94" s="39"/>
    </row>
    <row r="95" spans="1:26" ht="14.25" x14ac:dyDescent="0.2">
      <c r="A95" s="53"/>
      <c r="B95" s="54"/>
      <c r="C95" s="54" t="s">
        <v>350</v>
      </c>
      <c r="D95" s="35" t="s">
        <v>349</v>
      </c>
      <c r="E95" s="13">
        <f>Source!CA55</f>
        <v>70</v>
      </c>
      <c r="F95" s="80" t="str">
        <f>CONCATENATE(" )", Source!DM55, Source!FU55, "=", Source!FY55)</f>
        <v xml:space="preserve"> )*0,85=59,5</v>
      </c>
      <c r="G95" s="81"/>
      <c r="H95" s="38">
        <f>SUM(U92:U96)</f>
        <v>601.70000000000005</v>
      </c>
      <c r="I95" s="40"/>
      <c r="J95" s="33">
        <f>Source!AU55</f>
        <v>60</v>
      </c>
      <c r="K95" s="38">
        <f>SUM(V92:V96)</f>
        <v>3689.09</v>
      </c>
      <c r="L95" s="39"/>
    </row>
    <row r="96" spans="1:26" ht="14.25" x14ac:dyDescent="0.2">
      <c r="A96" s="55"/>
      <c r="B96" s="56"/>
      <c r="C96" s="56" t="s">
        <v>351</v>
      </c>
      <c r="D96" s="41" t="s">
        <v>352</v>
      </c>
      <c r="E96" s="42">
        <f>Source!AQ55</f>
        <v>0.9</v>
      </c>
      <c r="F96" s="43"/>
      <c r="G96" s="44" t="str">
        <f>Source!DI55</f>
        <v>)*1,15</v>
      </c>
      <c r="H96" s="45"/>
      <c r="I96" s="44"/>
      <c r="J96" s="44"/>
      <c r="K96" s="45"/>
      <c r="L96" s="46">
        <f>Source!U55</f>
        <v>118.50749999999999</v>
      </c>
    </row>
    <row r="97" spans="1:26" ht="15" x14ac:dyDescent="0.25">
      <c r="G97" s="82">
        <f>H93+H94+H95</f>
        <v>2432.08</v>
      </c>
      <c r="H97" s="82"/>
      <c r="J97" s="82">
        <f>K93+K94+K95</f>
        <v>14817.86</v>
      </c>
      <c r="K97" s="82"/>
      <c r="L97" s="47">
        <f>Source!U55</f>
        <v>118.50749999999999</v>
      </c>
      <c r="O97" s="30">
        <f>G97</f>
        <v>2432.08</v>
      </c>
      <c r="P97" s="30">
        <f>J97</f>
        <v>14817.86</v>
      </c>
      <c r="Q97" s="30">
        <f>L97</f>
        <v>118.50749999999999</v>
      </c>
      <c r="W97">
        <f>IF(Source!BI55&lt;=1,H93+H94+H95, 0)</f>
        <v>2432.08</v>
      </c>
      <c r="X97">
        <f>IF(Source!BI55=2,H93+H94+H95, 0)</f>
        <v>0</v>
      </c>
      <c r="Y97">
        <f>IF(Source!BI55=3,H93+H94+H95, 0)</f>
        <v>0</v>
      </c>
      <c r="Z97">
        <f>IF(Source!BI55=4,H93+H94+H95, 0)</f>
        <v>0</v>
      </c>
    </row>
    <row r="98" spans="1:26" ht="57" x14ac:dyDescent="0.2">
      <c r="A98" s="53" t="str">
        <f>Source!E57</f>
        <v>8</v>
      </c>
      <c r="B98" s="54" t="str">
        <f>Source!F57</f>
        <v>15-02-019-03</v>
      </c>
      <c r="C98" s="54" t="str">
        <f>Source!G57</f>
        <v>Сплошное выравнивание внутренних поверхностей (однослойное оштукатуривание) из сухих растворных смесей толщиной до 10 мм стен</v>
      </c>
      <c r="D98" s="35" t="str">
        <f>Source!H57</f>
        <v>100 м2</v>
      </c>
      <c r="E98" s="13">
        <f>Source!I57</f>
        <v>0.78200000000000003</v>
      </c>
      <c r="F98" s="36">
        <f>Source!AL57+Source!AM57+Source!AO57</f>
        <v>295.40999999999997</v>
      </c>
      <c r="G98" s="37"/>
      <c r="H98" s="38"/>
      <c r="I98" s="37" t="str">
        <f>Source!BO57</f>
        <v/>
      </c>
      <c r="J98" s="37"/>
      <c r="K98" s="38"/>
      <c r="L98" s="39"/>
      <c r="S98">
        <f>ROUND((Source!FX57/100)*((ROUND(Source!AF57*Source!I57, 2)+ROUND(Source!AE57*Source!I57, 2))), 2)</f>
        <v>244.83</v>
      </c>
      <c r="T98">
        <f>Source!X57</f>
        <v>1496.48</v>
      </c>
      <c r="U98">
        <f>ROUND((Source!FY57/100)*((ROUND(Source!AF57*Source!I57, 2)+ROUND(Source!AE57*Source!I57, 2))), 2)</f>
        <v>121.12</v>
      </c>
      <c r="V98">
        <f>Source!Y57</f>
        <v>740.36</v>
      </c>
    </row>
    <row r="99" spans="1:26" x14ac:dyDescent="0.2">
      <c r="C99" s="29" t="str">
        <f>"Объем: "&amp;Source!I57&amp;"=78,2/"&amp;"100"</f>
        <v>Объем: 0,782=78,2/100</v>
      </c>
    </row>
    <row r="100" spans="1:26" ht="14.25" x14ac:dyDescent="0.2">
      <c r="A100" s="53"/>
      <c r="B100" s="54"/>
      <c r="C100" s="54" t="s">
        <v>347</v>
      </c>
      <c r="D100" s="35"/>
      <c r="E100" s="13"/>
      <c r="F100" s="36">
        <f>Source!AO57</f>
        <v>277.14</v>
      </c>
      <c r="G100" s="37" t="str">
        <f>Source!DG57</f>
        <v>)*1,15</v>
      </c>
      <c r="H100" s="38">
        <f>ROUND(Source!AF57*Source!I57, 2)</f>
        <v>249.23</v>
      </c>
      <c r="I100" s="37"/>
      <c r="J100" s="37">
        <f>IF(Source!BA57&lt;&gt; 0, Source!BA57, 1)</f>
        <v>6.08</v>
      </c>
      <c r="K100" s="38">
        <f>Source!S57</f>
        <v>1515.33</v>
      </c>
      <c r="L100" s="39"/>
      <c r="R100">
        <f>H100</f>
        <v>249.23</v>
      </c>
    </row>
    <row r="101" spans="1:26" ht="14.25" x14ac:dyDescent="0.2">
      <c r="A101" s="53"/>
      <c r="B101" s="54"/>
      <c r="C101" s="54" t="s">
        <v>149</v>
      </c>
      <c r="D101" s="35"/>
      <c r="E101" s="13"/>
      <c r="F101" s="36">
        <f>Source!AM57</f>
        <v>17.03</v>
      </c>
      <c r="G101" s="37" t="str">
        <f>Source!DE57</f>
        <v>)*1,25</v>
      </c>
      <c r="H101" s="38">
        <f>ROUND(Source!AD57*Source!I57, 2)</f>
        <v>16.649999999999999</v>
      </c>
      <c r="I101" s="37"/>
      <c r="J101" s="37">
        <f>IF(Source!BB57&lt;&gt; 0, Source!BB57, 1)</f>
        <v>6.08</v>
      </c>
      <c r="K101" s="38">
        <f>Source!Q57</f>
        <v>101.21</v>
      </c>
      <c r="L101" s="39"/>
    </row>
    <row r="102" spans="1:26" ht="14.25" x14ac:dyDescent="0.2">
      <c r="A102" s="53"/>
      <c r="B102" s="54"/>
      <c r="C102" s="54" t="s">
        <v>353</v>
      </c>
      <c r="D102" s="35"/>
      <c r="E102" s="13"/>
      <c r="F102" s="36">
        <f>Source!AN57</f>
        <v>10.08</v>
      </c>
      <c r="G102" s="37" t="str">
        <f>Source!DF57</f>
        <v>)*1,25</v>
      </c>
      <c r="H102" s="48">
        <f>ROUND(Source!AE57*Source!I57, 2)</f>
        <v>9.85</v>
      </c>
      <c r="I102" s="37"/>
      <c r="J102" s="37">
        <f>IF(Source!BS57&lt;&gt; 0, Source!BS57, 1)</f>
        <v>6.08</v>
      </c>
      <c r="K102" s="48">
        <f>Source!R57</f>
        <v>59.91</v>
      </c>
      <c r="L102" s="39"/>
      <c r="R102">
        <f>H102</f>
        <v>9.85</v>
      </c>
    </row>
    <row r="103" spans="1:26" ht="14.25" x14ac:dyDescent="0.2">
      <c r="A103" s="53"/>
      <c r="B103" s="54"/>
      <c r="C103" s="54" t="s">
        <v>354</v>
      </c>
      <c r="D103" s="35"/>
      <c r="E103" s="13"/>
      <c r="F103" s="36">
        <f>Source!AL57</f>
        <v>1.24</v>
      </c>
      <c r="G103" s="37" t="str">
        <f>Source!DD57</f>
        <v/>
      </c>
      <c r="H103" s="38">
        <f>ROUND(Source!AC57*Source!I57, 2)</f>
        <v>0.97</v>
      </c>
      <c r="I103" s="37"/>
      <c r="J103" s="37">
        <f>IF(Source!BC57&lt;&gt; 0, Source!BC57, 1)</f>
        <v>6.08</v>
      </c>
      <c r="K103" s="38">
        <f>Source!P57</f>
        <v>5.9</v>
      </c>
      <c r="L103" s="39"/>
    </row>
    <row r="104" spans="1:26" ht="14.25" x14ac:dyDescent="0.2">
      <c r="A104" s="53"/>
      <c r="B104" s="54"/>
      <c r="C104" s="54" t="s">
        <v>348</v>
      </c>
      <c r="D104" s="35" t="s">
        <v>349</v>
      </c>
      <c r="E104" s="13">
        <f>Source!BZ57</f>
        <v>105</v>
      </c>
      <c r="F104" s="80" t="str">
        <f>CONCATENATE(" )", Source!DL57, Source!FT57, "=", Source!FX57)</f>
        <v xml:space="preserve"> )*0,9=94,5</v>
      </c>
      <c r="G104" s="81"/>
      <c r="H104" s="38">
        <f>SUM(S98:S109)</f>
        <v>244.83</v>
      </c>
      <c r="I104" s="40"/>
      <c r="J104" s="33">
        <f>Source!AT57</f>
        <v>95</v>
      </c>
      <c r="K104" s="38">
        <f>SUM(T98:T109)</f>
        <v>1496.48</v>
      </c>
      <c r="L104" s="39"/>
    </row>
    <row r="105" spans="1:26" ht="14.25" x14ac:dyDescent="0.2">
      <c r="A105" s="53"/>
      <c r="B105" s="54"/>
      <c r="C105" s="54" t="s">
        <v>350</v>
      </c>
      <c r="D105" s="35" t="s">
        <v>349</v>
      </c>
      <c r="E105" s="13">
        <f>Source!CA57</f>
        <v>55</v>
      </c>
      <c r="F105" s="80" t="str">
        <f>CONCATENATE(" )", Source!DM57, Source!FU57, "=", Source!FY57)</f>
        <v xml:space="preserve"> )*0,85=46,75</v>
      </c>
      <c r="G105" s="81"/>
      <c r="H105" s="38">
        <f>SUM(U98:U109)</f>
        <v>121.12</v>
      </c>
      <c r="I105" s="40"/>
      <c r="J105" s="33">
        <f>Source!AU57</f>
        <v>47</v>
      </c>
      <c r="K105" s="38">
        <f>SUM(V98:V109)</f>
        <v>740.36</v>
      </c>
      <c r="L105" s="39"/>
    </row>
    <row r="106" spans="1:26" ht="14.25" x14ac:dyDescent="0.2">
      <c r="A106" s="53"/>
      <c r="B106" s="54"/>
      <c r="C106" s="54" t="s">
        <v>351</v>
      </c>
      <c r="D106" s="35" t="s">
        <v>352</v>
      </c>
      <c r="E106" s="13">
        <f>Source!AQ57</f>
        <v>32.49</v>
      </c>
      <c r="F106" s="36"/>
      <c r="G106" s="37" t="str">
        <f>Source!DI57</f>
        <v>)*1,15</v>
      </c>
      <c r="H106" s="38"/>
      <c r="I106" s="37"/>
      <c r="J106" s="37"/>
      <c r="K106" s="38"/>
      <c r="L106" s="49">
        <f>Source!U57</f>
        <v>29.218257000000001</v>
      </c>
    </row>
    <row r="107" spans="1:26" ht="14.25" x14ac:dyDescent="0.2">
      <c r="A107" s="53" t="str">
        <f>Source!E59</f>
        <v>8,1</v>
      </c>
      <c r="B107" s="54" t="str">
        <f>Source!F59</f>
        <v>04.3.02.09</v>
      </c>
      <c r="C107" s="54" t="str">
        <f>Source!G59</f>
        <v>Смеси на цементной основе</v>
      </c>
      <c r="D107" s="35" t="str">
        <f>Source!H59</f>
        <v>т</v>
      </c>
      <c r="E107" s="13">
        <f>Source!I59</f>
        <v>0.66469999999999996</v>
      </c>
      <c r="F107" s="36">
        <f>Source!AL59+Source!AM59+Source!AO59</f>
        <v>0</v>
      </c>
      <c r="G107" s="50" t="s">
        <v>4</v>
      </c>
      <c r="H107" s="38">
        <f>ROUND(Source!AC59*Source!I59, 2)+ROUND(Source!AD59*Source!I59, 2)+ROUND(Source!AF59*Source!I59, 2)</f>
        <v>0</v>
      </c>
      <c r="I107" s="37"/>
      <c r="J107" s="37">
        <f>IF(Source!BC59&lt;&gt; 0, Source!BC59, 1)</f>
        <v>6.08</v>
      </c>
      <c r="K107" s="38">
        <f>Source!O59</f>
        <v>0</v>
      </c>
      <c r="L107" s="39"/>
      <c r="S107">
        <f>ROUND((Source!FX59/100)*((ROUND(Source!AF59*Source!I59, 2)+ROUND(Source!AE59*Source!I59, 2))), 2)</f>
        <v>0</v>
      </c>
      <c r="T107">
        <f>Source!X59</f>
        <v>0</v>
      </c>
      <c r="U107">
        <f>ROUND((Source!FY59/100)*((ROUND(Source!AF59*Source!I59, 2)+ROUND(Source!AE59*Source!I59, 2))), 2)</f>
        <v>0</v>
      </c>
      <c r="V107">
        <f>Source!Y59</f>
        <v>0</v>
      </c>
      <c r="W107">
        <f>IF(Source!BI59&lt;=1,H107, 0)</f>
        <v>0</v>
      </c>
      <c r="X107">
        <f>IF(Source!BI59=2,H107, 0)</f>
        <v>0</v>
      </c>
      <c r="Y107">
        <f>IF(Source!BI59=3,H107, 0)</f>
        <v>0</v>
      </c>
      <c r="Z107">
        <f>IF(Source!BI59=4,H107, 0)</f>
        <v>0</v>
      </c>
    </row>
    <row r="108" spans="1:26" ht="42.75" x14ac:dyDescent="0.2">
      <c r="A108" s="53" t="str">
        <f>Source!E61</f>
        <v>8,2</v>
      </c>
      <c r="B108" s="54" t="str">
        <f>Source!F61</f>
        <v>04.3.02.12-0002</v>
      </c>
      <c r="C108" s="54" t="str">
        <f>Source!G61</f>
        <v>Смесь сухая штукатурная цементно-известково-песчаная "БИРСС 15" (марка М100)</v>
      </c>
      <c r="D108" s="35" t="str">
        <f>Source!H61</f>
        <v>т</v>
      </c>
      <c r="E108" s="13">
        <f>Source!I61</f>
        <v>0.66469999999999996</v>
      </c>
      <c r="F108" s="36">
        <f>Source!AL61+Source!AM61+Source!AO61</f>
        <v>931.37</v>
      </c>
      <c r="G108" s="50" t="s">
        <v>4</v>
      </c>
      <c r="H108" s="38">
        <f>ROUND(Source!AC61*Source!I61, 2)+ROUND(Source!AD61*Source!I61, 2)+ROUND(Source!AF61*Source!I61, 2)</f>
        <v>619.08000000000004</v>
      </c>
      <c r="I108" s="37"/>
      <c r="J108" s="37">
        <f>IF(Source!BC61&lt;&gt; 0, Source!BC61, 1)</f>
        <v>6.08</v>
      </c>
      <c r="K108" s="38">
        <f>Source!O61</f>
        <v>3764.02</v>
      </c>
      <c r="L108" s="39"/>
      <c r="S108">
        <f>ROUND((Source!FX61/100)*((ROUND(Source!AF61*Source!I61, 2)+ROUND(Source!AE61*Source!I61, 2))), 2)</f>
        <v>0</v>
      </c>
      <c r="T108">
        <f>Source!X61</f>
        <v>0</v>
      </c>
      <c r="U108">
        <f>ROUND((Source!FY61/100)*((ROUND(Source!AF61*Source!I61, 2)+ROUND(Source!AE61*Source!I61, 2))), 2)</f>
        <v>0</v>
      </c>
      <c r="V108">
        <f>Source!Y61</f>
        <v>0</v>
      </c>
      <c r="W108">
        <f>IF(Source!BI61&lt;=1,H108, 0)</f>
        <v>619.08000000000004</v>
      </c>
      <c r="X108">
        <f>IF(Source!BI61=2,H108, 0)</f>
        <v>0</v>
      </c>
      <c r="Y108">
        <f>IF(Source!BI61=3,H108, 0)</f>
        <v>0</v>
      </c>
      <c r="Z108">
        <f>IF(Source!BI61=4,H108, 0)</f>
        <v>0</v>
      </c>
    </row>
    <row r="109" spans="1:26" ht="28.5" x14ac:dyDescent="0.2">
      <c r="A109" s="55" t="str">
        <f>Source!E63</f>
        <v>8,3</v>
      </c>
      <c r="B109" s="56" t="str">
        <f>Source!F63</f>
        <v>14.3.01.02-0102</v>
      </c>
      <c r="C109" s="56" t="str">
        <f>Source!G63</f>
        <v>Грунтовка: водно-дисперсионная "БИРСС Бетон-контакт"</v>
      </c>
      <c r="D109" s="41" t="str">
        <f>Source!H63</f>
        <v>т</v>
      </c>
      <c r="E109" s="42">
        <f>Source!I63</f>
        <v>1.5599999999999999E-2</v>
      </c>
      <c r="F109" s="43">
        <f>Source!AL63+Source!AM63+Source!AO63</f>
        <v>18390.16</v>
      </c>
      <c r="G109" s="51" t="s">
        <v>4</v>
      </c>
      <c r="H109" s="45">
        <f>ROUND(Source!AC63*Source!I63, 2)+ROUND(Source!AD63*Source!I63, 2)+ROUND(Source!AF63*Source!I63, 2)</f>
        <v>286.89</v>
      </c>
      <c r="I109" s="44"/>
      <c r="J109" s="44">
        <f>IF(Source!BC63&lt;&gt; 0, Source!BC63, 1)</f>
        <v>6.08</v>
      </c>
      <c r="K109" s="45">
        <f>Source!O63</f>
        <v>1744.27</v>
      </c>
      <c r="L109" s="52"/>
      <c r="S109">
        <f>ROUND((Source!FX63/100)*((ROUND(Source!AF63*Source!I63, 2)+ROUND(Source!AE63*Source!I63, 2))), 2)</f>
        <v>0</v>
      </c>
      <c r="T109">
        <f>Source!X63</f>
        <v>0</v>
      </c>
      <c r="U109">
        <f>ROUND((Source!FY63/100)*((ROUND(Source!AF63*Source!I63, 2)+ROUND(Source!AE63*Source!I63, 2))), 2)</f>
        <v>0</v>
      </c>
      <c r="V109">
        <f>Source!Y63</f>
        <v>0</v>
      </c>
      <c r="W109">
        <f>IF(Source!BI63&lt;=1,H109, 0)</f>
        <v>286.89</v>
      </c>
      <c r="X109">
        <f>IF(Source!BI63=2,H109, 0)</f>
        <v>0</v>
      </c>
      <c r="Y109">
        <f>IF(Source!BI63=3,H109, 0)</f>
        <v>0</v>
      </c>
      <c r="Z109">
        <f>IF(Source!BI63=4,H109, 0)</f>
        <v>0</v>
      </c>
    </row>
    <row r="110" spans="1:26" ht="15" x14ac:dyDescent="0.25">
      <c r="G110" s="82">
        <f>H100+H101+H103+H104+H105+SUM(H107:H109)</f>
        <v>1538.77</v>
      </c>
      <c r="H110" s="82"/>
      <c r="J110" s="82">
        <f>K100+K101+K103+K104+K105+SUM(K107:K109)</f>
        <v>9367.57</v>
      </c>
      <c r="K110" s="82"/>
      <c r="L110" s="47">
        <f>Source!U57</f>
        <v>29.218257000000001</v>
      </c>
      <c r="O110" s="30">
        <f>G110</f>
        <v>1538.77</v>
      </c>
      <c r="P110" s="30">
        <f>J110</f>
        <v>9367.57</v>
      </c>
      <c r="Q110" s="30">
        <f>L110</f>
        <v>29.218257000000001</v>
      </c>
      <c r="W110">
        <f>IF(Source!BI57&lt;=1,H100+H101+H103+H104+H105, 0)</f>
        <v>632.80000000000007</v>
      </c>
      <c r="X110">
        <f>IF(Source!BI57=2,H100+H101+H103+H104+H105, 0)</f>
        <v>0</v>
      </c>
      <c r="Y110">
        <f>IF(Source!BI57=3,H100+H101+H103+H104+H105, 0)</f>
        <v>0</v>
      </c>
      <c r="Z110">
        <f>IF(Source!BI57=4,H100+H101+H103+H104+H105, 0)</f>
        <v>0</v>
      </c>
    </row>
    <row r="111" spans="1:26" ht="42.75" x14ac:dyDescent="0.2">
      <c r="A111" s="53" t="str">
        <f>Source!E65</f>
        <v>9</v>
      </c>
      <c r="B111" s="54" t="str">
        <f>Source!F65</f>
        <v>15-04-007-01</v>
      </c>
      <c r="C111" s="54" t="str">
        <f>Source!G65</f>
        <v>Окраска водно-дисперсионными акриловыми составами улучшенная по штукатурке стен</v>
      </c>
      <c r="D111" s="35" t="str">
        <f>Source!H65</f>
        <v>100 м2</v>
      </c>
      <c r="E111" s="13">
        <f>Source!I65</f>
        <v>0.78200000000000003</v>
      </c>
      <c r="F111" s="36">
        <f>Source!AL65+Source!AM65+Source!AO65</f>
        <v>1033.6799999999998</v>
      </c>
      <c r="G111" s="37"/>
      <c r="H111" s="38"/>
      <c r="I111" s="37" t="str">
        <f>Source!BO65</f>
        <v/>
      </c>
      <c r="J111" s="37"/>
      <c r="K111" s="38"/>
      <c r="L111" s="39"/>
      <c r="S111">
        <f>ROUND((Source!FX65/100)*((ROUND(Source!AF65*Source!I65, 2)+ROUND(Source!AE65*Source!I65, 2))), 2)</f>
        <v>325.36</v>
      </c>
      <c r="T111">
        <f>Source!X65</f>
        <v>1988.66</v>
      </c>
      <c r="U111">
        <f>ROUND((Source!FY65/100)*((ROUND(Source!AF65*Source!I65, 2)+ROUND(Source!AE65*Source!I65, 2))), 2)</f>
        <v>160.96</v>
      </c>
      <c r="V111">
        <f>Source!Y65</f>
        <v>983.87</v>
      </c>
    </row>
    <row r="112" spans="1:26" x14ac:dyDescent="0.2">
      <c r="C112" s="29" t="str">
        <f>"Объем: "&amp;Source!I65&amp;"=78,2/"&amp;"100"</f>
        <v>Объем: 0,782=78,2/100</v>
      </c>
    </row>
    <row r="113" spans="1:26" ht="14.25" x14ac:dyDescent="0.2">
      <c r="A113" s="53"/>
      <c r="B113" s="54"/>
      <c r="C113" s="54" t="s">
        <v>347</v>
      </c>
      <c r="D113" s="35"/>
      <c r="E113" s="13"/>
      <c r="F113" s="36">
        <f>Source!AO65</f>
        <v>380.71</v>
      </c>
      <c r="G113" s="37" t="str">
        <f>Source!DG65</f>
        <v>)*1,15</v>
      </c>
      <c r="H113" s="38">
        <f>ROUND(Source!AF65*Source!I65, 2)</f>
        <v>342.37</v>
      </c>
      <c r="I113" s="37"/>
      <c r="J113" s="37">
        <f>IF(Source!BA65&lt;&gt; 0, Source!BA65, 1)</f>
        <v>6.08</v>
      </c>
      <c r="K113" s="38">
        <f>Source!S65</f>
        <v>2081.62</v>
      </c>
      <c r="L113" s="39"/>
      <c r="R113">
        <f>H113</f>
        <v>342.37</v>
      </c>
    </row>
    <row r="114" spans="1:26" ht="14.25" x14ac:dyDescent="0.2">
      <c r="A114" s="53"/>
      <c r="B114" s="54"/>
      <c r="C114" s="54" t="s">
        <v>149</v>
      </c>
      <c r="D114" s="35"/>
      <c r="E114" s="13"/>
      <c r="F114" s="36">
        <f>Source!AM65</f>
        <v>10.41</v>
      </c>
      <c r="G114" s="37" t="str">
        <f>Source!DE65</f>
        <v>)*1,25</v>
      </c>
      <c r="H114" s="38">
        <f>ROUND(Source!AD65*Source!I65, 2)</f>
        <v>10.18</v>
      </c>
      <c r="I114" s="37"/>
      <c r="J114" s="37">
        <f>IF(Source!BB65&lt;&gt; 0, Source!BB65, 1)</f>
        <v>6.08</v>
      </c>
      <c r="K114" s="38">
        <f>Source!Q65</f>
        <v>61.87</v>
      </c>
      <c r="L114" s="39"/>
    </row>
    <row r="115" spans="1:26" ht="14.25" x14ac:dyDescent="0.2">
      <c r="A115" s="53"/>
      <c r="B115" s="54"/>
      <c r="C115" s="54" t="s">
        <v>353</v>
      </c>
      <c r="D115" s="35"/>
      <c r="E115" s="13"/>
      <c r="F115" s="36">
        <f>Source!AN65</f>
        <v>1.97</v>
      </c>
      <c r="G115" s="37" t="str">
        <f>Source!DF65</f>
        <v>)*1,25</v>
      </c>
      <c r="H115" s="48">
        <f>ROUND(Source!AE65*Source!I65, 2)</f>
        <v>1.93</v>
      </c>
      <c r="I115" s="37"/>
      <c r="J115" s="37">
        <f>IF(Source!BS65&lt;&gt; 0, Source!BS65, 1)</f>
        <v>6.08</v>
      </c>
      <c r="K115" s="48">
        <f>Source!R65</f>
        <v>11.71</v>
      </c>
      <c r="L115" s="39"/>
      <c r="R115">
        <f>H115</f>
        <v>1.93</v>
      </c>
    </row>
    <row r="116" spans="1:26" ht="14.25" x14ac:dyDescent="0.2">
      <c r="A116" s="53"/>
      <c r="B116" s="54"/>
      <c r="C116" s="54" t="s">
        <v>354</v>
      </c>
      <c r="D116" s="35"/>
      <c r="E116" s="13"/>
      <c r="F116" s="36">
        <f>Source!AL65</f>
        <v>642.55999999999995</v>
      </c>
      <c r="G116" s="37" t="str">
        <f>Source!DD65</f>
        <v/>
      </c>
      <c r="H116" s="38">
        <f>ROUND(Source!AC65*Source!I65, 2)</f>
        <v>502.48</v>
      </c>
      <c r="I116" s="37"/>
      <c r="J116" s="37">
        <f>IF(Source!BC65&lt;&gt; 0, Source!BC65, 1)</f>
        <v>6.08</v>
      </c>
      <c r="K116" s="38">
        <f>Source!P65</f>
        <v>3055.09</v>
      </c>
      <c r="L116" s="39"/>
    </row>
    <row r="117" spans="1:26" ht="14.25" x14ac:dyDescent="0.2">
      <c r="A117" s="53"/>
      <c r="B117" s="54"/>
      <c r="C117" s="54" t="s">
        <v>348</v>
      </c>
      <c r="D117" s="35" t="s">
        <v>349</v>
      </c>
      <c r="E117" s="13">
        <f>Source!BZ65</f>
        <v>105</v>
      </c>
      <c r="F117" s="80" t="str">
        <f>CONCATENATE(" )", Source!DL65, Source!FT65, "=", Source!FX65)</f>
        <v xml:space="preserve"> )*0,9=94,5</v>
      </c>
      <c r="G117" s="81"/>
      <c r="H117" s="38">
        <f>SUM(S111:S121)</f>
        <v>325.36</v>
      </c>
      <c r="I117" s="40"/>
      <c r="J117" s="33">
        <f>Source!AT65</f>
        <v>95</v>
      </c>
      <c r="K117" s="38">
        <f>SUM(T111:T121)</f>
        <v>1988.66</v>
      </c>
      <c r="L117" s="39"/>
    </row>
    <row r="118" spans="1:26" ht="14.25" x14ac:dyDescent="0.2">
      <c r="A118" s="53"/>
      <c r="B118" s="54"/>
      <c r="C118" s="54" t="s">
        <v>350</v>
      </c>
      <c r="D118" s="35" t="s">
        <v>349</v>
      </c>
      <c r="E118" s="13">
        <f>Source!CA65</f>
        <v>55</v>
      </c>
      <c r="F118" s="80" t="str">
        <f>CONCATENATE(" )", Source!DM65, Source!FU65, "=", Source!FY65)</f>
        <v xml:space="preserve"> )*0,85=46,75</v>
      </c>
      <c r="G118" s="81"/>
      <c r="H118" s="38">
        <f>SUM(U111:U121)</f>
        <v>160.96</v>
      </c>
      <c r="I118" s="40"/>
      <c r="J118" s="33">
        <f>Source!AU65</f>
        <v>47</v>
      </c>
      <c r="K118" s="38">
        <f>SUM(V111:V121)</f>
        <v>983.87</v>
      </c>
      <c r="L118" s="39"/>
    </row>
    <row r="119" spans="1:26" ht="14.25" x14ac:dyDescent="0.2">
      <c r="A119" s="53"/>
      <c r="B119" s="54"/>
      <c r="C119" s="54" t="s">
        <v>351</v>
      </c>
      <c r="D119" s="35" t="s">
        <v>352</v>
      </c>
      <c r="E119" s="13">
        <f>Source!AQ65</f>
        <v>43.56</v>
      </c>
      <c r="F119" s="36"/>
      <c r="G119" s="37" t="str">
        <f>Source!DI65</f>
        <v>)*1,15</v>
      </c>
      <c r="H119" s="38"/>
      <c r="I119" s="37"/>
      <c r="J119" s="37"/>
      <c r="K119" s="38"/>
      <c r="L119" s="49">
        <f>Source!U65</f>
        <v>39.173508000000005</v>
      </c>
    </row>
    <row r="120" spans="1:26" ht="28.5" x14ac:dyDescent="0.2">
      <c r="A120" s="53" t="str">
        <f>Source!E67</f>
        <v>9,1</v>
      </c>
      <c r="B120" s="54" t="str">
        <f>Source!F67</f>
        <v>14.3.02.01-0014</v>
      </c>
      <c r="C120" s="54" t="str">
        <f>Source!G67</f>
        <v>Краска акриловая Alpina RENOVA, CAPAROL водно-дисперсионная</v>
      </c>
      <c r="D120" s="35" t="str">
        <f>Source!H67</f>
        <v>т</v>
      </c>
      <c r="E120" s="13">
        <f>Source!I67</f>
        <v>2.3460000000000002E-2</v>
      </c>
      <c r="F120" s="36">
        <f>Source!AL67+Source!AM67+Source!AO67</f>
        <v>7627.37</v>
      </c>
      <c r="G120" s="50" t="s">
        <v>4</v>
      </c>
      <c r="H120" s="38">
        <f>ROUND(Source!AC67*Source!I67, 2)+ROUND(Source!AD67*Source!I67, 2)+ROUND(Source!AF67*Source!I67, 2)</f>
        <v>178.94</v>
      </c>
      <c r="I120" s="37"/>
      <c r="J120" s="37">
        <f>IF(Source!BC67&lt;&gt; 0, Source!BC67, 1)</f>
        <v>6.08</v>
      </c>
      <c r="K120" s="38">
        <f>Source!O67</f>
        <v>1087.94</v>
      </c>
      <c r="L120" s="39"/>
      <c r="S120">
        <f>ROUND((Source!FX67/100)*((ROUND(Source!AF67*Source!I67, 2)+ROUND(Source!AE67*Source!I67, 2))), 2)</f>
        <v>0</v>
      </c>
      <c r="T120">
        <f>Source!X67</f>
        <v>0</v>
      </c>
      <c r="U120">
        <f>ROUND((Source!FY67/100)*((ROUND(Source!AF67*Source!I67, 2)+ROUND(Source!AE67*Source!I67, 2))), 2)</f>
        <v>0</v>
      </c>
      <c r="V120">
        <f>Source!Y67</f>
        <v>0</v>
      </c>
      <c r="W120">
        <f>IF(Source!BI67&lt;=1,H120, 0)</f>
        <v>178.94</v>
      </c>
      <c r="X120">
        <f>IF(Source!BI67=2,H120, 0)</f>
        <v>0</v>
      </c>
      <c r="Y120">
        <f>IF(Source!BI67=3,H120, 0)</f>
        <v>0</v>
      </c>
      <c r="Z120">
        <f>IF(Source!BI67=4,H120, 0)</f>
        <v>0</v>
      </c>
    </row>
    <row r="121" spans="1:26" ht="28.5" x14ac:dyDescent="0.2">
      <c r="A121" s="55" t="str">
        <f>Source!E69</f>
        <v>9,2</v>
      </c>
      <c r="B121" s="56" t="str">
        <f>Source!F69</f>
        <v>14.3.01.02-0102</v>
      </c>
      <c r="C121" s="56" t="str">
        <f>Source!G69</f>
        <v>Грунтовка: водно-дисперсионная "БИРСС Бетон-контакт"</v>
      </c>
      <c r="D121" s="41" t="str">
        <f>Source!H69</f>
        <v>т</v>
      </c>
      <c r="E121" s="42">
        <f>Source!I69</f>
        <v>1.5640000000000001E-2</v>
      </c>
      <c r="F121" s="43">
        <f>Source!AL69+Source!AM69+Source!AO69</f>
        <v>18390.16</v>
      </c>
      <c r="G121" s="51" t="s">
        <v>4</v>
      </c>
      <c r="H121" s="45">
        <f>ROUND(Source!AC69*Source!I69, 2)+ROUND(Source!AD69*Source!I69, 2)+ROUND(Source!AF69*Source!I69, 2)</f>
        <v>287.62</v>
      </c>
      <c r="I121" s="44"/>
      <c r="J121" s="44">
        <f>IF(Source!BC69&lt;&gt; 0, Source!BC69, 1)</f>
        <v>6.08</v>
      </c>
      <c r="K121" s="45">
        <f>Source!O69</f>
        <v>1748.74</v>
      </c>
      <c r="L121" s="52"/>
      <c r="S121">
        <f>ROUND((Source!FX69/100)*((ROUND(Source!AF69*Source!I69, 2)+ROUND(Source!AE69*Source!I69, 2))), 2)</f>
        <v>0</v>
      </c>
      <c r="T121">
        <f>Source!X69</f>
        <v>0</v>
      </c>
      <c r="U121">
        <f>ROUND((Source!FY69/100)*((ROUND(Source!AF69*Source!I69, 2)+ROUND(Source!AE69*Source!I69, 2))), 2)</f>
        <v>0</v>
      </c>
      <c r="V121">
        <f>Source!Y69</f>
        <v>0</v>
      </c>
      <c r="W121">
        <f>IF(Source!BI69&lt;=1,H121, 0)</f>
        <v>287.62</v>
      </c>
      <c r="X121">
        <f>IF(Source!BI69=2,H121, 0)</f>
        <v>0</v>
      </c>
      <c r="Y121">
        <f>IF(Source!BI69=3,H121, 0)</f>
        <v>0</v>
      </c>
      <c r="Z121">
        <f>IF(Source!BI69=4,H121, 0)</f>
        <v>0</v>
      </c>
    </row>
    <row r="122" spans="1:26" ht="15" x14ac:dyDescent="0.25">
      <c r="G122" s="82">
        <f>H113+H114+H116+H117+H118+SUM(H120:H121)</f>
        <v>1807.9099999999999</v>
      </c>
      <c r="H122" s="82"/>
      <c r="J122" s="82">
        <f>K113+K114+K116+K117+K118+SUM(K120:K121)</f>
        <v>11007.79</v>
      </c>
      <c r="K122" s="82"/>
      <c r="L122" s="47">
        <f>Source!U65</f>
        <v>39.173508000000005</v>
      </c>
      <c r="O122" s="30">
        <f>G122</f>
        <v>1807.9099999999999</v>
      </c>
      <c r="P122" s="30">
        <f>J122</f>
        <v>11007.79</v>
      </c>
      <c r="Q122" s="30">
        <f>L122</f>
        <v>39.173508000000005</v>
      </c>
      <c r="W122">
        <f>IF(Source!BI65&lt;=1,H113+H114+H116+H117+H118, 0)</f>
        <v>1341.35</v>
      </c>
      <c r="X122">
        <f>IF(Source!BI65=2,H113+H114+H116+H117+H118, 0)</f>
        <v>0</v>
      </c>
      <c r="Y122">
        <f>IF(Source!BI65=3,H113+H114+H116+H117+H118, 0)</f>
        <v>0</v>
      </c>
      <c r="Z122">
        <f>IF(Source!BI65=4,H113+H114+H116+H117+H118, 0)</f>
        <v>0</v>
      </c>
    </row>
    <row r="123" spans="1:26" ht="42.75" x14ac:dyDescent="0.2">
      <c r="A123" s="53" t="str">
        <f>Source!E71</f>
        <v>10</v>
      </c>
      <c r="B123" s="54" t="str">
        <f>Source!F71</f>
        <v>15-04-007-02</v>
      </c>
      <c r="C123" s="54" t="str">
        <f>Source!G71</f>
        <v>Окраска водно-дисперсионными акриловыми составами улучшенная по штукатурке потолков</v>
      </c>
      <c r="D123" s="35" t="str">
        <f>Source!H71</f>
        <v>100 м2</v>
      </c>
      <c r="E123" s="13">
        <f>Source!I71</f>
        <v>0.36299999999999999</v>
      </c>
      <c r="F123" s="36">
        <f>Source!AL71+Source!AM71+Source!AO71</f>
        <v>1249.83</v>
      </c>
      <c r="G123" s="37"/>
      <c r="H123" s="38"/>
      <c r="I123" s="37" t="str">
        <f>Source!BO71</f>
        <v/>
      </c>
      <c r="J123" s="37"/>
      <c r="K123" s="38"/>
      <c r="L123" s="39"/>
      <c r="S123">
        <f>ROUND((Source!FX71/100)*((ROUND(Source!AF71*Source!I71, 2)+ROUND(Source!AE71*Source!I71, 2))), 2)</f>
        <v>218.12</v>
      </c>
      <c r="T123">
        <f>Source!X71</f>
        <v>1333.14</v>
      </c>
      <c r="U123">
        <f>ROUND((Source!FY71/100)*((ROUND(Source!AF71*Source!I71, 2)+ROUND(Source!AE71*Source!I71, 2))), 2)</f>
        <v>107.9</v>
      </c>
      <c r="V123">
        <f>Source!Y71</f>
        <v>659.55</v>
      </c>
    </row>
    <row r="124" spans="1:26" x14ac:dyDescent="0.2">
      <c r="C124" s="29" t="str">
        <f>"Объем: "&amp;Source!I71&amp;"=36,3/"&amp;"100"</f>
        <v>Объем: 0,363=36,3/100</v>
      </c>
    </row>
    <row r="125" spans="1:26" ht="14.25" x14ac:dyDescent="0.2">
      <c r="A125" s="53"/>
      <c r="B125" s="54"/>
      <c r="C125" s="54" t="s">
        <v>347</v>
      </c>
      <c r="D125" s="35"/>
      <c r="E125" s="13"/>
      <c r="F125" s="36">
        <f>Source!AO71</f>
        <v>550.62</v>
      </c>
      <c r="G125" s="37" t="str">
        <f>Source!DG71</f>
        <v>)*1,15</v>
      </c>
      <c r="H125" s="38">
        <f>ROUND(Source!AF71*Source!I71, 2)</f>
        <v>229.86</v>
      </c>
      <c r="I125" s="37"/>
      <c r="J125" s="37">
        <f>IF(Source!BA71&lt;&gt; 0, Source!BA71, 1)</f>
        <v>6.08</v>
      </c>
      <c r="K125" s="38">
        <f>Source!S71</f>
        <v>1397.53</v>
      </c>
      <c r="L125" s="39"/>
      <c r="R125">
        <f>H125</f>
        <v>229.86</v>
      </c>
    </row>
    <row r="126" spans="1:26" ht="14.25" x14ac:dyDescent="0.2">
      <c r="A126" s="53"/>
      <c r="B126" s="54"/>
      <c r="C126" s="54" t="s">
        <v>149</v>
      </c>
      <c r="D126" s="35"/>
      <c r="E126" s="13"/>
      <c r="F126" s="36">
        <f>Source!AM71</f>
        <v>11.06</v>
      </c>
      <c r="G126" s="37" t="str">
        <f>Source!DE71</f>
        <v>)*1,25</v>
      </c>
      <c r="H126" s="38">
        <f>ROUND(Source!AD71*Source!I71, 2)</f>
        <v>5.0199999999999996</v>
      </c>
      <c r="I126" s="37"/>
      <c r="J126" s="37">
        <f>IF(Source!BB71&lt;&gt; 0, Source!BB71, 1)</f>
        <v>6.08</v>
      </c>
      <c r="K126" s="38">
        <f>Source!Q71</f>
        <v>30.51</v>
      </c>
      <c r="L126" s="39"/>
    </row>
    <row r="127" spans="1:26" ht="14.25" x14ac:dyDescent="0.2">
      <c r="A127" s="53"/>
      <c r="B127" s="54"/>
      <c r="C127" s="54" t="s">
        <v>353</v>
      </c>
      <c r="D127" s="35"/>
      <c r="E127" s="13"/>
      <c r="F127" s="36">
        <f>Source!AN71</f>
        <v>2.09</v>
      </c>
      <c r="G127" s="37" t="str">
        <f>Source!DF71</f>
        <v>)*1,25</v>
      </c>
      <c r="H127" s="48">
        <f>ROUND(Source!AE71*Source!I71, 2)</f>
        <v>0.95</v>
      </c>
      <c r="I127" s="37"/>
      <c r="J127" s="37">
        <f>IF(Source!BS71&lt;&gt; 0, Source!BS71, 1)</f>
        <v>6.08</v>
      </c>
      <c r="K127" s="48">
        <f>Source!R71</f>
        <v>5.77</v>
      </c>
      <c r="L127" s="39"/>
      <c r="R127">
        <f>H127</f>
        <v>0.95</v>
      </c>
    </row>
    <row r="128" spans="1:26" ht="14.25" x14ac:dyDescent="0.2">
      <c r="A128" s="53"/>
      <c r="B128" s="54"/>
      <c r="C128" s="54" t="s">
        <v>354</v>
      </c>
      <c r="D128" s="35"/>
      <c r="E128" s="13"/>
      <c r="F128" s="36">
        <f>Source!AL71</f>
        <v>688.15</v>
      </c>
      <c r="G128" s="37" t="str">
        <f>Source!DD71</f>
        <v/>
      </c>
      <c r="H128" s="38">
        <f>ROUND(Source!AC71*Source!I71, 2)</f>
        <v>249.8</v>
      </c>
      <c r="I128" s="37"/>
      <c r="J128" s="37">
        <f>IF(Source!BC71&lt;&gt; 0, Source!BC71, 1)</f>
        <v>6.08</v>
      </c>
      <c r="K128" s="38">
        <f>Source!P71</f>
        <v>1518.77</v>
      </c>
      <c r="L128" s="39"/>
    </row>
    <row r="129" spans="1:26" ht="14.25" x14ac:dyDescent="0.2">
      <c r="A129" s="53"/>
      <c r="B129" s="54"/>
      <c r="C129" s="54" t="s">
        <v>348</v>
      </c>
      <c r="D129" s="35" t="s">
        <v>349</v>
      </c>
      <c r="E129" s="13">
        <f>Source!BZ71</f>
        <v>105</v>
      </c>
      <c r="F129" s="80" t="str">
        <f>CONCATENATE(" )", Source!DL71, Source!FT71, "=", Source!FX71)</f>
        <v xml:space="preserve"> )*0,9=94,5</v>
      </c>
      <c r="G129" s="81"/>
      <c r="H129" s="38">
        <f>SUM(S123:S133)</f>
        <v>218.12</v>
      </c>
      <c r="I129" s="40"/>
      <c r="J129" s="33">
        <f>Source!AT71</f>
        <v>95</v>
      </c>
      <c r="K129" s="38">
        <f>SUM(T123:T133)</f>
        <v>1333.14</v>
      </c>
      <c r="L129" s="39"/>
    </row>
    <row r="130" spans="1:26" ht="14.25" x14ac:dyDescent="0.2">
      <c r="A130" s="53"/>
      <c r="B130" s="54"/>
      <c r="C130" s="54" t="s">
        <v>350</v>
      </c>
      <c r="D130" s="35" t="s">
        <v>349</v>
      </c>
      <c r="E130" s="13">
        <f>Source!CA71</f>
        <v>55</v>
      </c>
      <c r="F130" s="80" t="str">
        <f>CONCATENATE(" )", Source!DM71, Source!FU71, "=", Source!FY71)</f>
        <v xml:space="preserve"> )*0,85=46,75</v>
      </c>
      <c r="G130" s="81"/>
      <c r="H130" s="38">
        <f>SUM(U123:U133)</f>
        <v>107.9</v>
      </c>
      <c r="I130" s="40"/>
      <c r="J130" s="33">
        <f>Source!AU71</f>
        <v>47</v>
      </c>
      <c r="K130" s="38">
        <f>SUM(V123:V133)</f>
        <v>659.55</v>
      </c>
      <c r="L130" s="39"/>
    </row>
    <row r="131" spans="1:26" ht="14.25" x14ac:dyDescent="0.2">
      <c r="A131" s="53"/>
      <c r="B131" s="54"/>
      <c r="C131" s="54" t="s">
        <v>351</v>
      </c>
      <c r="D131" s="35" t="s">
        <v>352</v>
      </c>
      <c r="E131" s="13">
        <f>Source!AQ71</f>
        <v>63</v>
      </c>
      <c r="F131" s="36"/>
      <c r="G131" s="37" t="str">
        <f>Source!DI71</f>
        <v>)*1,15</v>
      </c>
      <c r="H131" s="38"/>
      <c r="I131" s="37"/>
      <c r="J131" s="37"/>
      <c r="K131" s="38"/>
      <c r="L131" s="49">
        <f>Source!U71</f>
        <v>26.299349999999993</v>
      </c>
    </row>
    <row r="132" spans="1:26" ht="28.5" x14ac:dyDescent="0.2">
      <c r="A132" s="53" t="str">
        <f>Source!E73</f>
        <v>10,1</v>
      </c>
      <c r="B132" s="54" t="str">
        <f>Source!F73</f>
        <v>14.3.02.01-0014</v>
      </c>
      <c r="C132" s="54" t="str">
        <f>Source!G73</f>
        <v>Краска акриловая Alpina RENOVA, CAPAROL водно-дисперсионная</v>
      </c>
      <c r="D132" s="35" t="str">
        <f>Source!H73</f>
        <v>т</v>
      </c>
      <c r="E132" s="13">
        <f>Source!I73</f>
        <v>1.1979E-2</v>
      </c>
      <c r="F132" s="36">
        <f>Source!AL73+Source!AM73+Source!AO73</f>
        <v>7627.37</v>
      </c>
      <c r="G132" s="50" t="s">
        <v>4</v>
      </c>
      <c r="H132" s="38">
        <f>ROUND(Source!AC73*Source!I73, 2)+ROUND(Source!AD73*Source!I73, 2)+ROUND(Source!AF73*Source!I73, 2)</f>
        <v>91.37</v>
      </c>
      <c r="I132" s="37"/>
      <c r="J132" s="37">
        <f>IF(Source!BC73&lt;&gt; 0, Source!BC73, 1)</f>
        <v>6.08</v>
      </c>
      <c r="K132" s="38">
        <f>Source!O73</f>
        <v>555.52</v>
      </c>
      <c r="L132" s="39"/>
      <c r="S132">
        <f>ROUND((Source!FX73/100)*((ROUND(Source!AF73*Source!I73, 2)+ROUND(Source!AE73*Source!I73, 2))), 2)</f>
        <v>0</v>
      </c>
      <c r="T132">
        <f>Source!X73</f>
        <v>0</v>
      </c>
      <c r="U132">
        <f>ROUND((Source!FY73/100)*((ROUND(Source!AF73*Source!I73, 2)+ROUND(Source!AE73*Source!I73, 2))), 2)</f>
        <v>0</v>
      </c>
      <c r="V132">
        <f>Source!Y73</f>
        <v>0</v>
      </c>
      <c r="W132">
        <f>IF(Source!BI73&lt;=1,H132, 0)</f>
        <v>91.37</v>
      </c>
      <c r="X132">
        <f>IF(Source!BI73=2,H132, 0)</f>
        <v>0</v>
      </c>
      <c r="Y132">
        <f>IF(Source!BI73=3,H132, 0)</f>
        <v>0</v>
      </c>
      <c r="Z132">
        <f>IF(Source!BI73=4,H132, 0)</f>
        <v>0</v>
      </c>
    </row>
    <row r="133" spans="1:26" ht="28.5" x14ac:dyDescent="0.2">
      <c r="A133" s="55" t="str">
        <f>Source!E75</f>
        <v>10,2</v>
      </c>
      <c r="B133" s="56" t="str">
        <f>Source!F75</f>
        <v>14.3.01.02-0102</v>
      </c>
      <c r="C133" s="56" t="str">
        <f>Source!G75</f>
        <v>Грунтовка: водно-дисперсионная "БИРСС Бетон-контакт"</v>
      </c>
      <c r="D133" s="41" t="str">
        <f>Source!H75</f>
        <v>т</v>
      </c>
      <c r="E133" s="42">
        <f>Source!I75</f>
        <v>7.986E-3</v>
      </c>
      <c r="F133" s="43">
        <f>Source!AL75+Source!AM75+Source!AO75</f>
        <v>18390.16</v>
      </c>
      <c r="G133" s="51" t="s">
        <v>4</v>
      </c>
      <c r="H133" s="45">
        <f>ROUND(Source!AC75*Source!I75, 2)+ROUND(Source!AD75*Source!I75, 2)+ROUND(Source!AF75*Source!I75, 2)</f>
        <v>146.86000000000001</v>
      </c>
      <c r="I133" s="44"/>
      <c r="J133" s="44">
        <f>IF(Source!BC75&lt;&gt; 0, Source!BC75, 1)</f>
        <v>6.08</v>
      </c>
      <c r="K133" s="45">
        <f>Source!O75</f>
        <v>892.93</v>
      </c>
      <c r="L133" s="52"/>
      <c r="S133">
        <f>ROUND((Source!FX75/100)*((ROUND(Source!AF75*Source!I75, 2)+ROUND(Source!AE75*Source!I75, 2))), 2)</f>
        <v>0</v>
      </c>
      <c r="T133">
        <f>Source!X75</f>
        <v>0</v>
      </c>
      <c r="U133">
        <f>ROUND((Source!FY75/100)*((ROUND(Source!AF75*Source!I75, 2)+ROUND(Source!AE75*Source!I75, 2))), 2)</f>
        <v>0</v>
      </c>
      <c r="V133">
        <f>Source!Y75</f>
        <v>0</v>
      </c>
      <c r="W133">
        <f>IF(Source!BI75&lt;=1,H133, 0)</f>
        <v>146.86000000000001</v>
      </c>
      <c r="X133">
        <f>IF(Source!BI75=2,H133, 0)</f>
        <v>0</v>
      </c>
      <c r="Y133">
        <f>IF(Source!BI75=3,H133, 0)</f>
        <v>0</v>
      </c>
      <c r="Z133">
        <f>IF(Source!BI75=4,H133, 0)</f>
        <v>0</v>
      </c>
    </row>
    <row r="134" spans="1:26" ht="15" x14ac:dyDescent="0.25">
      <c r="G134" s="82">
        <f>H125+H126+H128+H129+H130+SUM(H132:H133)</f>
        <v>1048.93</v>
      </c>
      <c r="H134" s="82"/>
      <c r="J134" s="82">
        <f>K125+K126+K128+K129+K130+SUM(K132:K133)</f>
        <v>6387.95</v>
      </c>
      <c r="K134" s="82"/>
      <c r="L134" s="47">
        <f>Source!U71</f>
        <v>26.299349999999993</v>
      </c>
      <c r="O134" s="30">
        <f>G134</f>
        <v>1048.93</v>
      </c>
      <c r="P134" s="30">
        <f>J134</f>
        <v>6387.95</v>
      </c>
      <c r="Q134" s="30">
        <f>L134</f>
        <v>26.299349999999993</v>
      </c>
      <c r="W134">
        <f>IF(Source!BI71&lt;=1,H125+H126+H128+H129+H130, 0)</f>
        <v>810.7</v>
      </c>
      <c r="X134">
        <f>IF(Source!BI71=2,H125+H126+H128+H129+H130, 0)</f>
        <v>0</v>
      </c>
      <c r="Y134">
        <f>IF(Source!BI71=3,H125+H126+H128+H129+H130, 0)</f>
        <v>0</v>
      </c>
      <c r="Z134">
        <f>IF(Source!BI71=4,H125+H126+H128+H129+H130, 0)</f>
        <v>0</v>
      </c>
    </row>
    <row r="136" spans="1:26" ht="15" x14ac:dyDescent="0.25">
      <c r="A136" s="85" t="str">
        <f>CONCATENATE("Итого по локальной смете: ",IF(Source!G77&lt;&gt;"Новая локальная смета", Source!G77, ""))</f>
        <v xml:space="preserve">Итого по локальной смете: </v>
      </c>
      <c r="B136" s="85"/>
      <c r="C136" s="85"/>
      <c r="D136" s="85"/>
      <c r="E136" s="85"/>
      <c r="F136" s="85"/>
      <c r="G136" s="84">
        <f>SUM(O26:O135)</f>
        <v>18669.97</v>
      </c>
      <c r="H136" s="84"/>
      <c r="I136" s="32"/>
      <c r="J136" s="84">
        <f>SUM(P26:P135)</f>
        <v>113593.95</v>
      </c>
      <c r="K136" s="84"/>
      <c r="L136" s="47">
        <f>SUM(Q26:Q135)</f>
        <v>258.46641549999998</v>
      </c>
    </row>
    <row r="137" spans="1:26" x14ac:dyDescent="0.2">
      <c r="C137" s="72"/>
      <c r="D137" s="72"/>
      <c r="E137" s="72"/>
      <c r="F137" s="72"/>
      <c r="G137" s="72"/>
      <c r="H137" s="72"/>
      <c r="I137" s="72"/>
      <c r="J137" s="72"/>
      <c r="K137" s="72"/>
    </row>
    <row r="138" spans="1:26" ht="15" x14ac:dyDescent="0.25">
      <c r="C138" s="85" t="str">
        <f>Source!H137</f>
        <v>Всего</v>
      </c>
      <c r="D138" s="85"/>
      <c r="E138" s="85"/>
      <c r="F138" s="85"/>
      <c r="G138" s="85"/>
      <c r="H138" s="85"/>
      <c r="I138" s="85"/>
      <c r="J138" s="84">
        <f>IF(Source!P137=0, "", Source!P137)</f>
        <v>113593.95</v>
      </c>
      <c r="K138" s="84"/>
    </row>
    <row r="139" spans="1:26" ht="15" x14ac:dyDescent="0.25">
      <c r="C139" s="85" t="str">
        <f>Source!H138</f>
        <v>Итого НДС 18%</v>
      </c>
      <c r="D139" s="85"/>
      <c r="E139" s="85"/>
      <c r="F139" s="85"/>
      <c r="G139" s="85"/>
      <c r="H139" s="85"/>
      <c r="I139" s="85"/>
      <c r="J139" s="84">
        <f>IF(Source!P138=0, "", Source!P138)</f>
        <v>20446.91</v>
      </c>
      <c r="K139" s="84"/>
    </row>
    <row r="140" spans="1:26" ht="15" x14ac:dyDescent="0.25">
      <c r="C140" s="85" t="str">
        <f>Source!H139</f>
        <v>Всего по смете</v>
      </c>
      <c r="D140" s="85"/>
      <c r="E140" s="85"/>
      <c r="F140" s="85"/>
      <c r="G140" s="85"/>
      <c r="H140" s="85"/>
      <c r="I140" s="85"/>
      <c r="J140" s="84">
        <f>IF(Source!P139=0, "", Source!P139)</f>
        <v>134040.85999999999</v>
      </c>
      <c r="K140" s="84"/>
    </row>
    <row r="141" spans="1:26" x14ac:dyDescent="0.2">
      <c r="C141" s="72"/>
      <c r="D141" s="72"/>
      <c r="E141" s="72"/>
      <c r="F141" s="72"/>
      <c r="G141" s="72"/>
      <c r="H141" s="72"/>
      <c r="I141" s="72"/>
      <c r="J141" s="72"/>
      <c r="K141" s="72"/>
    </row>
    <row r="142" spans="1:26" ht="14.25" x14ac:dyDescent="0.2">
      <c r="C142" s="74"/>
      <c r="D142" s="77"/>
      <c r="E142" s="78"/>
      <c r="F142" s="77"/>
      <c r="G142" s="78"/>
    </row>
    <row r="143" spans="1:26" ht="14.25" x14ac:dyDescent="0.2">
      <c r="A143" s="31" t="s">
        <v>355</v>
      </c>
      <c r="B143" s="31"/>
      <c r="C143" s="13"/>
      <c r="D143" s="79"/>
      <c r="E143" s="75"/>
      <c r="F143" s="75"/>
      <c r="G143" s="75"/>
      <c r="H143" s="75"/>
      <c r="I143" s="73"/>
      <c r="J143" s="14"/>
      <c r="K143" s="14"/>
      <c r="L143" s="14"/>
    </row>
    <row r="144" spans="1:26" ht="14.25" x14ac:dyDescent="0.2">
      <c r="A144" s="14"/>
      <c r="B144" s="14"/>
      <c r="C144" s="13"/>
      <c r="D144" s="86"/>
      <c r="E144" s="86"/>
      <c r="F144" s="86"/>
      <c r="G144" s="86"/>
      <c r="H144" s="86"/>
      <c r="I144" s="14"/>
      <c r="J144" s="14"/>
      <c r="K144" s="14"/>
      <c r="L144" s="14"/>
    </row>
    <row r="145" spans="1:12" ht="14.25" x14ac:dyDescent="0.2">
      <c r="A145" s="14"/>
      <c r="B145" s="14"/>
      <c r="C145" s="13"/>
      <c r="D145" s="76"/>
      <c r="E145" s="14"/>
      <c r="F145" s="14"/>
      <c r="G145" s="14"/>
      <c r="H145" s="73"/>
      <c r="I145" s="14"/>
      <c r="J145" s="14"/>
      <c r="K145" s="14"/>
      <c r="L145" s="14"/>
    </row>
    <row r="146" spans="1:12" ht="14.25" x14ac:dyDescent="0.2">
      <c r="A146" s="31" t="s">
        <v>355</v>
      </c>
      <c r="B146" s="31"/>
      <c r="C146" s="13"/>
      <c r="D146" s="75" t="str">
        <f>IF(Source!AE12&lt;&gt;"", Source!AE12," ")</f>
        <v xml:space="preserve"> </v>
      </c>
      <c r="E146" s="75"/>
      <c r="F146" s="75"/>
      <c r="G146" s="75"/>
      <c r="H146" s="75"/>
      <c r="I146" s="73"/>
      <c r="J146" s="14"/>
      <c r="K146" s="14"/>
      <c r="L146" s="14"/>
    </row>
    <row r="147" spans="1:12" ht="14.25" x14ac:dyDescent="0.2">
      <c r="A147" s="14"/>
      <c r="B147" s="14"/>
      <c r="C147" s="14"/>
      <c r="D147" s="86"/>
      <c r="E147" s="86"/>
      <c r="F147" s="86"/>
      <c r="G147" s="86"/>
      <c r="H147" s="86"/>
      <c r="I147" s="14"/>
      <c r="J147" s="14"/>
      <c r="K147" s="14"/>
      <c r="L147" s="14"/>
    </row>
  </sheetData>
  <mergeCells count="87">
    <mergeCell ref="B3:E3"/>
    <mergeCell ref="H3:L3"/>
    <mergeCell ref="B4:E4"/>
    <mergeCell ref="H4:L4"/>
    <mergeCell ref="B7:K7"/>
    <mergeCell ref="B9:K9"/>
    <mergeCell ref="B11:K11"/>
    <mergeCell ref="B12:K12"/>
    <mergeCell ref="G13:H13"/>
    <mergeCell ref="I13:J13"/>
    <mergeCell ref="C14:F14"/>
    <mergeCell ref="G14:H14"/>
    <mergeCell ref="I14:J14"/>
    <mergeCell ref="K14:L14"/>
    <mergeCell ref="C15:F15"/>
    <mergeCell ref="G15:H15"/>
    <mergeCell ref="I15:J15"/>
    <mergeCell ref="K15:L15"/>
    <mergeCell ref="C16:F16"/>
    <mergeCell ref="G16:H16"/>
    <mergeCell ref="I16:J16"/>
    <mergeCell ref="K16:L16"/>
    <mergeCell ref="C17:F17"/>
    <mergeCell ref="G17:H17"/>
    <mergeCell ref="I17:J17"/>
    <mergeCell ref="K17:L17"/>
    <mergeCell ref="C18:F18"/>
    <mergeCell ref="G18:H18"/>
    <mergeCell ref="I18:J18"/>
    <mergeCell ref="K18:L18"/>
    <mergeCell ref="C19:F19"/>
    <mergeCell ref="G19:H19"/>
    <mergeCell ref="I19:J19"/>
    <mergeCell ref="K19:L19"/>
    <mergeCell ref="D147:H147"/>
    <mergeCell ref="C138:I138"/>
    <mergeCell ref="J138:K138"/>
    <mergeCell ref="C20:F20"/>
    <mergeCell ref="G20:H20"/>
    <mergeCell ref="I20:J20"/>
    <mergeCell ref="K20:L20"/>
    <mergeCell ref="A22:L22"/>
    <mergeCell ref="J97:K97"/>
    <mergeCell ref="G97:H97"/>
    <mergeCell ref="F95:G95"/>
    <mergeCell ref="C139:I139"/>
    <mergeCell ref="J139:K139"/>
    <mergeCell ref="C140:I140"/>
    <mergeCell ref="J140:K140"/>
    <mergeCell ref="D144:H144"/>
    <mergeCell ref="J62:K62"/>
    <mergeCell ref="G62:H62"/>
    <mergeCell ref="F60:G60"/>
    <mergeCell ref="F59:G59"/>
    <mergeCell ref="F94:G94"/>
    <mergeCell ref="J91:K91"/>
    <mergeCell ref="G91:H91"/>
    <mergeCell ref="F83:G83"/>
    <mergeCell ref="F82:G82"/>
    <mergeCell ref="J75:K75"/>
    <mergeCell ref="G75:H75"/>
    <mergeCell ref="F118:G118"/>
    <mergeCell ref="J33:K33"/>
    <mergeCell ref="G33:H33"/>
    <mergeCell ref="A26:L26"/>
    <mergeCell ref="G136:H136"/>
    <mergeCell ref="J136:K136"/>
    <mergeCell ref="A136:F136"/>
    <mergeCell ref="J134:K134"/>
    <mergeCell ref="J52:K52"/>
    <mergeCell ref="G52:H52"/>
    <mergeCell ref="F50:G50"/>
    <mergeCell ref="F49:G49"/>
    <mergeCell ref="J42:K42"/>
    <mergeCell ref="G42:H42"/>
    <mergeCell ref="F70:G70"/>
    <mergeCell ref="F69:G69"/>
    <mergeCell ref="G134:H134"/>
    <mergeCell ref="F130:G130"/>
    <mergeCell ref="F129:G129"/>
    <mergeCell ref="J122:K122"/>
    <mergeCell ref="G122:H122"/>
    <mergeCell ref="F117:G117"/>
    <mergeCell ref="J110:K110"/>
    <mergeCell ref="G110:H110"/>
    <mergeCell ref="F105:G105"/>
    <mergeCell ref="F104:G104"/>
  </mergeCells>
  <pageMargins left="0.4" right="0.2" top="0.4" bottom="0.4" header="0.2" footer="0.2"/>
  <pageSetup paperSize="9" scale="59" fitToHeight="0" orientation="portrait" r:id="rId1"/>
  <headerFooter>
    <oddHeader>&amp;L&amp;8НИЯУ МИФИ  Доп. раб. место  MCCS-0027251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39"/>
  <sheetViews>
    <sheetView zoomScaleNormal="100" workbookViewId="0"/>
  </sheetViews>
  <sheetFormatPr defaultRowHeight="12.75" x14ac:dyDescent="0.2"/>
  <cols>
    <col min="1" max="2" width="5.7109375" customWidth="1"/>
    <col min="3" max="3" width="40.7109375" customWidth="1"/>
    <col min="4" max="8" width="12.7109375" customWidth="1"/>
    <col min="20" max="30" width="0" hidden="1" customWidth="1"/>
    <col min="31" max="31" width="64.7109375" hidden="1" customWidth="1"/>
    <col min="32" max="32" width="0" hidden="1" customWidth="1"/>
    <col min="33" max="33" width="76.7109375" hidden="1" customWidth="1"/>
    <col min="34" max="37" width="0" hidden="1" customWidth="1"/>
  </cols>
  <sheetData>
    <row r="1" spans="1:31" x14ac:dyDescent="0.2">
      <c r="A1" s="12" t="str">
        <f>Source!B1</f>
        <v>Smeta.RU  (495) 974-1589</v>
      </c>
    </row>
    <row r="2" spans="1:31" ht="15" x14ac:dyDescent="0.25">
      <c r="A2" s="32"/>
      <c r="B2" s="32"/>
      <c r="C2" s="32"/>
      <c r="D2" s="32"/>
      <c r="E2" s="123" t="s">
        <v>356</v>
      </c>
      <c r="F2" s="123"/>
      <c r="G2" s="123"/>
      <c r="H2" s="123"/>
    </row>
    <row r="3" spans="1:31" ht="14.25" x14ac:dyDescent="0.2">
      <c r="A3" s="14"/>
      <c r="B3" s="14"/>
      <c r="C3" s="14"/>
      <c r="D3" s="14"/>
      <c r="E3" s="123" t="s">
        <v>357</v>
      </c>
      <c r="F3" s="123"/>
      <c r="G3" s="123"/>
      <c r="H3" s="123"/>
    </row>
    <row r="4" spans="1:31" ht="14.25" x14ac:dyDescent="0.2">
      <c r="A4" s="14"/>
      <c r="B4" s="14"/>
      <c r="C4" s="14"/>
      <c r="D4" s="14"/>
      <c r="E4" s="123" t="s">
        <v>358</v>
      </c>
      <c r="F4" s="123"/>
      <c r="G4" s="123"/>
      <c r="H4" s="123"/>
    </row>
    <row r="5" spans="1:31" ht="14.25" x14ac:dyDescent="0.2">
      <c r="A5" s="14"/>
      <c r="B5" s="14"/>
      <c r="C5" s="14"/>
      <c r="D5" s="14"/>
      <c r="E5" s="14"/>
      <c r="F5" s="14"/>
      <c r="G5" s="14"/>
      <c r="H5" s="14"/>
    </row>
    <row r="6" spans="1:31" ht="14.25" x14ac:dyDescent="0.2">
      <c r="A6" s="14"/>
      <c r="B6" s="14"/>
      <c r="C6" s="14"/>
      <c r="D6" s="14"/>
      <c r="E6" s="14"/>
      <c r="F6" s="14"/>
      <c r="G6" s="107" t="s">
        <v>359</v>
      </c>
      <c r="H6" s="108"/>
    </row>
    <row r="7" spans="1:31" ht="14.25" x14ac:dyDescent="0.2">
      <c r="A7" s="14"/>
      <c r="B7" s="14"/>
      <c r="C7" s="14"/>
      <c r="D7" s="14"/>
      <c r="E7" s="14"/>
      <c r="F7" s="13" t="s">
        <v>360</v>
      </c>
      <c r="G7" s="124" t="s">
        <v>361</v>
      </c>
      <c r="H7" s="108"/>
    </row>
    <row r="8" spans="1:31" ht="14.25" x14ac:dyDescent="0.2">
      <c r="A8" s="14"/>
      <c r="B8" s="14"/>
      <c r="C8" s="14"/>
      <c r="D8" s="14"/>
      <c r="E8" s="14"/>
      <c r="F8" s="14"/>
      <c r="G8" s="107" t="str">
        <f>IF(Source!AT15 &lt;&gt; "", Source!AT15, "")</f>
        <v/>
      </c>
      <c r="H8" s="108"/>
    </row>
    <row r="9" spans="1:31" ht="14.25" x14ac:dyDescent="0.2">
      <c r="A9" s="14" t="s">
        <v>362</v>
      </c>
      <c r="B9" s="14"/>
      <c r="C9" s="120" t="str">
        <f>IF(Source!BA15 &lt;&gt; "", Source!BA15, IF(Source!AU15 &lt;&gt; "", Source!AU15, ""))</f>
        <v/>
      </c>
      <c r="D9" s="120"/>
      <c r="E9" s="120"/>
      <c r="F9" s="13" t="s">
        <v>363</v>
      </c>
      <c r="G9" s="118"/>
      <c r="H9" s="119"/>
    </row>
    <row r="10" spans="1:31" ht="14.25" x14ac:dyDescent="0.2">
      <c r="A10" s="14"/>
      <c r="B10" s="14"/>
      <c r="C10" s="105" t="s">
        <v>364</v>
      </c>
      <c r="D10" s="105"/>
      <c r="E10" s="105"/>
      <c r="F10" s="14"/>
      <c r="G10" s="107" t="str">
        <f>IF(Source!AK15 &lt;&gt; "", Source!AK15, "")</f>
        <v/>
      </c>
      <c r="H10" s="108"/>
    </row>
    <row r="11" spans="1:31" ht="14.25" x14ac:dyDescent="0.2">
      <c r="A11" s="14" t="s">
        <v>365</v>
      </c>
      <c r="B11" s="14"/>
      <c r="C11" s="120" t="str">
        <f>IF(Source!AX12&lt;&gt; "", Source!AX12, IF(Source!AJ12 &lt;&gt; "", Source!AJ12, ""))</f>
        <v/>
      </c>
      <c r="D11" s="120"/>
      <c r="E11" s="120"/>
      <c r="F11" s="13" t="s">
        <v>363</v>
      </c>
      <c r="G11" s="118"/>
      <c r="H11" s="119"/>
    </row>
    <row r="12" spans="1:31" ht="14.25" x14ac:dyDescent="0.2">
      <c r="A12" s="14"/>
      <c r="B12" s="14"/>
      <c r="C12" s="105" t="s">
        <v>364</v>
      </c>
      <c r="D12" s="105"/>
      <c r="E12" s="105"/>
      <c r="F12" s="14"/>
      <c r="G12" s="107" t="str">
        <f>IF(Source!AO15 &lt;&gt; "", Source!AO15, "")</f>
        <v/>
      </c>
      <c r="H12" s="108"/>
    </row>
    <row r="13" spans="1:31" ht="14.25" x14ac:dyDescent="0.2">
      <c r="A13" s="14" t="s">
        <v>366</v>
      </c>
      <c r="B13" s="14"/>
      <c r="C13" s="120" t="str">
        <f>IF(Source!AY12&lt;&gt; "", Source!AY12, IF(Source!AN12 &lt;&gt; "", Source!AN12, ""))</f>
        <v/>
      </c>
      <c r="D13" s="120"/>
      <c r="E13" s="120"/>
      <c r="F13" s="13" t="s">
        <v>363</v>
      </c>
      <c r="G13" s="118"/>
      <c r="H13" s="119"/>
    </row>
    <row r="14" spans="1:31" ht="14.25" x14ac:dyDescent="0.2">
      <c r="A14" s="14"/>
      <c r="B14" s="14"/>
      <c r="C14" s="105" t="s">
        <v>364</v>
      </c>
      <c r="D14" s="105"/>
      <c r="E14" s="105"/>
      <c r="F14" s="14"/>
      <c r="G14" s="107" t="str">
        <f>IF(Source!CO15 &lt;&gt; "", Source!CO15, "")</f>
        <v/>
      </c>
      <c r="H14" s="108"/>
    </row>
    <row r="15" spans="1:31" ht="14.25" x14ac:dyDescent="0.2">
      <c r="A15" s="14" t="s">
        <v>367</v>
      </c>
      <c r="B15" s="14"/>
      <c r="C15" s="120" t="s">
        <v>5</v>
      </c>
      <c r="D15" s="120"/>
      <c r="E15" s="120"/>
      <c r="F15" s="14"/>
      <c r="G15" s="118"/>
      <c r="H15" s="119"/>
      <c r="AE15" s="34" t="s">
        <v>5</v>
      </c>
    </row>
    <row r="16" spans="1:31" ht="14.25" x14ac:dyDescent="0.2">
      <c r="A16" s="14"/>
      <c r="B16" s="14"/>
      <c r="C16" s="105" t="s">
        <v>368</v>
      </c>
      <c r="D16" s="105"/>
      <c r="E16" s="105"/>
      <c r="F16" s="14"/>
      <c r="G16" s="107" t="str">
        <f>IF(Source!CP15 &lt;&gt; "", Source!CP15, "")</f>
        <v/>
      </c>
      <c r="H16" s="108"/>
    </row>
    <row r="17" spans="1:31" ht="14.25" x14ac:dyDescent="0.2">
      <c r="A17" s="14" t="s">
        <v>369</v>
      </c>
      <c r="B17" s="14"/>
      <c r="C17" s="120" t="str">
        <f>IF(Source!G12&lt;&gt;"Новый объект", Source!G12, "")</f>
        <v>Капитальный ремонт помещения №36 ОТИ НИЯУ МИФИ</v>
      </c>
      <c r="D17" s="120"/>
      <c r="E17" s="120"/>
      <c r="F17" s="14"/>
      <c r="G17" s="121"/>
      <c r="H17" s="122"/>
      <c r="AE17" s="34" t="str">
        <f>IF(Source!G12&lt;&gt;"Новый объект", Source!G12, "")</f>
        <v>Капитальный ремонт помещения №36 ОТИ НИЯУ МИФИ</v>
      </c>
    </row>
    <row r="18" spans="1:31" ht="14.25" x14ac:dyDescent="0.2">
      <c r="A18" s="14"/>
      <c r="B18" s="14"/>
      <c r="C18" s="105" t="s">
        <v>370</v>
      </c>
      <c r="D18" s="105"/>
      <c r="E18" s="105"/>
      <c r="F18" s="14"/>
      <c r="G18" s="14"/>
      <c r="H18" s="14"/>
    </row>
    <row r="19" spans="1:31" ht="14.25" x14ac:dyDescent="0.2">
      <c r="A19" s="14"/>
      <c r="B19" s="14"/>
      <c r="C19" s="14"/>
      <c r="D19" s="91" t="s">
        <v>371</v>
      </c>
      <c r="E19" s="91"/>
      <c r="F19" s="106"/>
      <c r="G19" s="107" t="str">
        <f>IF(Source!CQ15 &lt;&gt; "", Source!CQ15, "")</f>
        <v/>
      </c>
      <c r="H19" s="108"/>
    </row>
    <row r="20" spans="1:31" ht="14.25" x14ac:dyDescent="0.2">
      <c r="A20" s="14"/>
      <c r="B20" s="14"/>
      <c r="C20" s="14"/>
      <c r="D20" s="91" t="s">
        <v>372</v>
      </c>
      <c r="E20" s="106"/>
      <c r="F20" s="59" t="s">
        <v>373</v>
      </c>
      <c r="G20" s="107" t="str">
        <f>IF(Source!CR15 &lt;&gt; "", Source!CR15, "")</f>
        <v/>
      </c>
      <c r="H20" s="108"/>
    </row>
    <row r="21" spans="1:31" ht="14.25" x14ac:dyDescent="0.2">
      <c r="A21" s="14"/>
      <c r="B21" s="14"/>
      <c r="C21" s="14"/>
      <c r="D21" s="14"/>
      <c r="E21" s="14"/>
      <c r="F21" s="25" t="s">
        <v>374</v>
      </c>
      <c r="G21" s="109" t="str">
        <f>IF(Source!CS15 &lt;&gt; 0, Source!CS15, "")</f>
        <v/>
      </c>
      <c r="H21" s="110"/>
    </row>
    <row r="22" spans="1:31" ht="14.25" x14ac:dyDescent="0.2">
      <c r="A22" s="14"/>
      <c r="B22" s="14"/>
      <c r="C22" s="14"/>
      <c r="D22" s="14"/>
      <c r="E22" s="14"/>
      <c r="F22" s="13" t="s">
        <v>375</v>
      </c>
      <c r="G22" s="111" t="str">
        <f>IF(Source!CT15 &lt;&gt; "", Source!CT15, "")</f>
        <v/>
      </c>
      <c r="H22" s="112"/>
    </row>
    <row r="23" spans="1:31" ht="14.25" x14ac:dyDescent="0.2">
      <c r="A23" s="14"/>
      <c r="B23" s="14"/>
      <c r="C23" s="14"/>
      <c r="D23" s="14"/>
      <c r="E23" s="14"/>
      <c r="F23" s="14"/>
      <c r="G23" s="14"/>
      <c r="H23" s="14"/>
    </row>
    <row r="24" spans="1:31" ht="14.25" x14ac:dyDescent="0.2">
      <c r="A24" s="14"/>
      <c r="B24" s="14"/>
      <c r="C24" s="14"/>
      <c r="D24" s="113" t="s">
        <v>376</v>
      </c>
      <c r="E24" s="115" t="s">
        <v>377</v>
      </c>
      <c r="F24" s="115" t="s">
        <v>378</v>
      </c>
      <c r="G24" s="117"/>
      <c r="H24" s="14"/>
    </row>
    <row r="25" spans="1:31" ht="14.25" x14ac:dyDescent="0.2">
      <c r="A25" s="14"/>
      <c r="B25" s="14"/>
      <c r="C25" s="14"/>
      <c r="D25" s="114"/>
      <c r="E25" s="116"/>
      <c r="F25" s="60" t="s">
        <v>379</v>
      </c>
      <c r="G25" s="61" t="s">
        <v>380</v>
      </c>
      <c r="H25" s="14"/>
    </row>
    <row r="26" spans="1:31" ht="14.25" x14ac:dyDescent="0.2">
      <c r="A26" s="14"/>
      <c r="B26" s="14"/>
      <c r="C26" s="14"/>
      <c r="D26" s="62" t="str">
        <f>IF(Source!CN15 &lt;&gt; "", Source!CN15, "")</f>
        <v/>
      </c>
      <c r="E26" s="63">
        <v>43230.639780092592</v>
      </c>
      <c r="F26" s="62"/>
      <c r="G26" s="64"/>
      <c r="H26" s="14"/>
    </row>
    <row r="27" spans="1:31" ht="14.25" x14ac:dyDescent="0.2">
      <c r="A27" s="14"/>
      <c r="B27" s="14"/>
      <c r="C27" s="14"/>
      <c r="D27" s="14"/>
      <c r="E27" s="14"/>
      <c r="F27" s="14"/>
      <c r="G27" s="14"/>
      <c r="H27" s="14"/>
    </row>
    <row r="28" spans="1:31" ht="18" x14ac:dyDescent="0.25">
      <c r="A28" s="104" t="s">
        <v>381</v>
      </c>
      <c r="B28" s="104"/>
      <c r="C28" s="104"/>
      <c r="D28" s="104"/>
      <c r="E28" s="104"/>
      <c r="F28" s="104"/>
      <c r="G28" s="104"/>
      <c r="H28" s="104"/>
    </row>
    <row r="29" spans="1:31" ht="18" x14ac:dyDescent="0.25">
      <c r="A29" s="104" t="s">
        <v>382</v>
      </c>
      <c r="B29" s="104"/>
      <c r="C29" s="104"/>
      <c r="D29" s="104"/>
      <c r="E29" s="104"/>
      <c r="F29" s="104"/>
      <c r="G29" s="104"/>
      <c r="H29" s="104"/>
    </row>
    <row r="30" spans="1:31" ht="14.25" x14ac:dyDescent="0.2">
      <c r="A30" s="14"/>
      <c r="B30" s="14"/>
      <c r="C30" s="14"/>
      <c r="D30" s="14"/>
      <c r="E30" s="14"/>
      <c r="F30" s="14"/>
      <c r="G30" s="14"/>
      <c r="H30" s="14"/>
    </row>
    <row r="31" spans="1:31" ht="15" x14ac:dyDescent="0.25">
      <c r="A31" s="11" t="s">
        <v>383</v>
      </c>
      <c r="B31" s="14"/>
      <c r="C31" s="14"/>
      <c r="D31" s="14"/>
      <c r="E31" s="14"/>
      <c r="F31" s="102">
        <f>(Source!P139/1000)</f>
        <v>134.04085999999998</v>
      </c>
      <c r="G31" s="102"/>
      <c r="H31" s="14" t="s">
        <v>384</v>
      </c>
    </row>
    <row r="32" spans="1:31" ht="14.25" x14ac:dyDescent="0.2">
      <c r="A32" s="14"/>
      <c r="B32" s="14"/>
      <c r="C32" s="14"/>
      <c r="D32" s="14"/>
      <c r="E32" s="14"/>
      <c r="F32" s="14"/>
      <c r="G32" s="14"/>
      <c r="H32" s="14"/>
    </row>
    <row r="33" spans="1:28" ht="14.25" x14ac:dyDescent="0.2">
      <c r="A33" s="103" t="s">
        <v>385</v>
      </c>
      <c r="B33" s="103"/>
      <c r="C33" s="103" t="s">
        <v>386</v>
      </c>
      <c r="D33" s="103" t="s">
        <v>387</v>
      </c>
      <c r="E33" s="103" t="s">
        <v>388</v>
      </c>
      <c r="F33" s="103" t="s">
        <v>389</v>
      </c>
      <c r="G33" s="103"/>
      <c r="H33" s="103"/>
    </row>
    <row r="34" spans="1:28" ht="57" x14ac:dyDescent="0.2">
      <c r="A34" s="24" t="s">
        <v>390</v>
      </c>
      <c r="B34" s="24" t="s">
        <v>391</v>
      </c>
      <c r="C34" s="103"/>
      <c r="D34" s="103"/>
      <c r="E34" s="103"/>
      <c r="F34" s="24" t="s">
        <v>392</v>
      </c>
      <c r="G34" s="24" t="s">
        <v>393</v>
      </c>
      <c r="H34" s="24" t="s">
        <v>394</v>
      </c>
    </row>
    <row r="35" spans="1:28" ht="14.25" x14ac:dyDescent="0.2">
      <c r="A35" s="24">
        <v>1</v>
      </c>
      <c r="B35" s="24">
        <v>2</v>
      </c>
      <c r="C35" s="24">
        <v>3</v>
      </c>
      <c r="D35" s="24">
        <v>4</v>
      </c>
      <c r="E35" s="24">
        <v>5</v>
      </c>
      <c r="F35" s="24">
        <v>6</v>
      </c>
      <c r="G35" s="24">
        <v>7</v>
      </c>
      <c r="H35" s="24">
        <v>8</v>
      </c>
    </row>
    <row r="37" spans="1:28" ht="16.5" x14ac:dyDescent="0.25">
      <c r="A37" s="83" t="str">
        <f>CONCATENATE("Локальная смета: ",IF(Source!G20&lt;&gt;"Новая локальная смета", Source!G20, ""))</f>
        <v xml:space="preserve">Локальная смета: </v>
      </c>
      <c r="B37" s="83"/>
      <c r="C37" s="83"/>
      <c r="D37" s="83"/>
      <c r="E37" s="83"/>
      <c r="F37" s="83"/>
      <c r="G37" s="83"/>
      <c r="H37" s="83"/>
    </row>
    <row r="38" spans="1:28" ht="28.5" x14ac:dyDescent="0.2">
      <c r="A38" s="54">
        <v>1</v>
      </c>
      <c r="B38" s="54" t="str">
        <f>Source!E25</f>
        <v>1</v>
      </c>
      <c r="C38" s="54" t="str">
        <f>Source!G25</f>
        <v>Разборка плинтусов деревянных и из пластмассовых материалов</v>
      </c>
      <c r="D38" s="54" t="str">
        <f>Source!F25</f>
        <v>57-3-1</v>
      </c>
      <c r="E38" s="37" t="str">
        <f>Source!H25</f>
        <v>100 м</v>
      </c>
      <c r="F38" s="14">
        <f>Source!I25</f>
        <v>0.23200000000000001</v>
      </c>
      <c r="G38" s="27">
        <f>Source!AB25</f>
        <v>29.41</v>
      </c>
      <c r="H38" s="28">
        <f>Source!O25</f>
        <v>41.48</v>
      </c>
      <c r="T38">
        <f>Source!O25+Source!X25+Source!Y25</f>
        <v>102.87</v>
      </c>
      <c r="U38">
        <f>Source!P25</f>
        <v>0</v>
      </c>
      <c r="V38">
        <f>Source!S25</f>
        <v>41.48</v>
      </c>
      <c r="W38">
        <f>Source!Q25</f>
        <v>0</v>
      </c>
      <c r="X38">
        <f>Source!R25</f>
        <v>0</v>
      </c>
      <c r="Y38">
        <f>Source!U25</f>
        <v>0.87464000000000008</v>
      </c>
      <c r="Z38">
        <f>Source!V25</f>
        <v>0</v>
      </c>
      <c r="AA38">
        <f>Source!X25</f>
        <v>33.18</v>
      </c>
      <c r="AB38">
        <f>Source!Y25</f>
        <v>28.21</v>
      </c>
    </row>
    <row r="39" spans="1:28" ht="14.25" x14ac:dyDescent="0.2">
      <c r="C39" s="29" t="str">
        <f>"Объем: "&amp;Source!I25&amp;"=23,2/"&amp;"100"</f>
        <v>Объем: 0,232=23,2/100</v>
      </c>
      <c r="F39" s="14"/>
      <c r="G39" s="14"/>
      <c r="H39" s="14"/>
    </row>
    <row r="40" spans="1:28" x14ac:dyDescent="0.2">
      <c r="C40" s="29" t="s">
        <v>395</v>
      </c>
      <c r="D40" s="29">
        <f>Source!BA25</f>
        <v>6.08</v>
      </c>
    </row>
    <row r="41" spans="1:28" x14ac:dyDescent="0.2">
      <c r="C41" s="29" t="s">
        <v>396</v>
      </c>
      <c r="D41" s="29">
        <f>Source!BB25</f>
        <v>6.08</v>
      </c>
    </row>
    <row r="42" spans="1:28" x14ac:dyDescent="0.2">
      <c r="C42" s="29" t="s">
        <v>397</v>
      </c>
      <c r="D42" s="29">
        <f>Source!BC25</f>
        <v>6.08</v>
      </c>
    </row>
    <row r="43" spans="1:28" x14ac:dyDescent="0.2">
      <c r="C43" s="29" t="s">
        <v>398</v>
      </c>
      <c r="D43" s="29">
        <f>Source!BS25</f>
        <v>6.08</v>
      </c>
    </row>
    <row r="44" spans="1:28" x14ac:dyDescent="0.2">
      <c r="C44" s="11" t="s">
        <v>399</v>
      </c>
      <c r="D44" s="40"/>
      <c r="E44" s="40"/>
      <c r="F44" s="40">
        <f>Source!BZ25</f>
        <v>80</v>
      </c>
      <c r="G44" s="65">
        <f>(Source!AF25+Source!AE25)*Source!FX25/100</f>
        <v>23.528000000000002</v>
      </c>
      <c r="H44" s="66">
        <f>Source!X25</f>
        <v>33.18</v>
      </c>
    </row>
    <row r="45" spans="1:28" x14ac:dyDescent="0.2">
      <c r="C45" s="11" t="s">
        <v>400</v>
      </c>
      <c r="D45" s="40"/>
      <c r="E45" s="40"/>
      <c r="F45" s="40">
        <f>Source!CA25</f>
        <v>68</v>
      </c>
      <c r="G45" s="65">
        <f>(Source!AF25+Source!AE25)*Source!FY25/100</f>
        <v>19.998800000000003</v>
      </c>
      <c r="H45" s="66">
        <f>Source!Y25</f>
        <v>28.21</v>
      </c>
    </row>
    <row r="46" spans="1:28" x14ac:dyDescent="0.2">
      <c r="C46" s="11" t="s">
        <v>401</v>
      </c>
      <c r="D46" s="40"/>
      <c r="E46" s="40"/>
      <c r="F46" s="40"/>
      <c r="G46" s="65">
        <f>((Source!AF25+Source!AE25)*Source!FX25/100)+((Source!AF25+Source!AE25)*Source!FY25/100)+Source!AB25</f>
        <v>72.936800000000005</v>
      </c>
      <c r="H46" s="66">
        <f>Source!O25+Source!X25+Source!Y25</f>
        <v>102.87</v>
      </c>
    </row>
    <row r="47" spans="1:28" ht="28.5" x14ac:dyDescent="0.2">
      <c r="A47" s="54">
        <v>2</v>
      </c>
      <c r="B47" s="54" t="str">
        <f>Source!E27</f>
        <v>2</v>
      </c>
      <c r="C47" s="54" t="str">
        <f>Source!G27</f>
        <v>Разборка покрытий полов из линолеума и релина</v>
      </c>
      <c r="D47" s="54" t="str">
        <f>Source!F27</f>
        <v>57-2-1</v>
      </c>
      <c r="E47" s="37" t="str">
        <f>Source!H27</f>
        <v>100 м2</v>
      </c>
      <c r="F47" s="14">
        <f>Source!I27</f>
        <v>0.36299999999999999</v>
      </c>
      <c r="G47" s="27">
        <f>Source!AB27</f>
        <v>92.9</v>
      </c>
      <c r="H47" s="28">
        <f>Source!O27</f>
        <v>205.03</v>
      </c>
      <c r="T47">
        <f>Source!O27+Source!X27+Source!Y27</f>
        <v>500.96000000000004</v>
      </c>
      <c r="U47">
        <f>Source!P27</f>
        <v>0</v>
      </c>
      <c r="V47">
        <f>Source!S27</f>
        <v>196.07</v>
      </c>
      <c r="W47">
        <f>Source!Q27</f>
        <v>8.9600000000000009</v>
      </c>
      <c r="X47">
        <f>Source!R27</f>
        <v>3.88</v>
      </c>
      <c r="Y47">
        <f>Source!U27</f>
        <v>4.1345700000000001</v>
      </c>
      <c r="Z47">
        <f>Source!V27</f>
        <v>4.7190000000000003E-2</v>
      </c>
      <c r="AA47">
        <f>Source!X27</f>
        <v>159.96</v>
      </c>
      <c r="AB47">
        <f>Source!Y27</f>
        <v>135.97</v>
      </c>
    </row>
    <row r="48" spans="1:28" ht="14.25" x14ac:dyDescent="0.2">
      <c r="C48" s="29" t="str">
        <f>"Объем: "&amp;Source!I27&amp;"=36,3/"&amp;"100"</f>
        <v>Объем: 0,363=36,3/100</v>
      </c>
      <c r="F48" s="14"/>
      <c r="G48" s="14"/>
      <c r="H48" s="14"/>
    </row>
    <row r="49" spans="1:28" x14ac:dyDescent="0.2">
      <c r="C49" s="29" t="s">
        <v>395</v>
      </c>
      <c r="D49" s="29">
        <f>Source!BA27</f>
        <v>6.08</v>
      </c>
    </row>
    <row r="50" spans="1:28" x14ac:dyDescent="0.2">
      <c r="C50" s="29" t="s">
        <v>396</v>
      </c>
      <c r="D50" s="29">
        <f>Source!BB27</f>
        <v>6.08</v>
      </c>
    </row>
    <row r="51" spans="1:28" x14ac:dyDescent="0.2">
      <c r="C51" s="29" t="s">
        <v>397</v>
      </c>
      <c r="D51" s="29">
        <f>Source!BC27</f>
        <v>6.08</v>
      </c>
    </row>
    <row r="52" spans="1:28" x14ac:dyDescent="0.2">
      <c r="C52" s="29" t="s">
        <v>398</v>
      </c>
      <c r="D52" s="29">
        <f>Source!BS27</f>
        <v>6.08</v>
      </c>
    </row>
    <row r="53" spans="1:28" x14ac:dyDescent="0.2">
      <c r="C53" s="11" t="s">
        <v>399</v>
      </c>
      <c r="D53" s="40"/>
      <c r="E53" s="40"/>
      <c r="F53" s="40">
        <f>Source!BZ27</f>
        <v>80</v>
      </c>
      <c r="G53" s="65">
        <f>(Source!AF27+Source!AE27)*Source!FX27/100</f>
        <v>72.48</v>
      </c>
      <c r="H53" s="66">
        <f>Source!X27</f>
        <v>159.96</v>
      </c>
    </row>
    <row r="54" spans="1:28" x14ac:dyDescent="0.2">
      <c r="C54" s="11" t="s">
        <v>400</v>
      </c>
      <c r="D54" s="40"/>
      <c r="E54" s="40"/>
      <c r="F54" s="40">
        <f>Source!CA27</f>
        <v>68</v>
      </c>
      <c r="G54" s="65">
        <f>(Source!AF27+Source!AE27)*Source!FY27/100</f>
        <v>61.608000000000004</v>
      </c>
      <c r="H54" s="66">
        <f>Source!Y27</f>
        <v>135.97</v>
      </c>
    </row>
    <row r="55" spans="1:28" x14ac:dyDescent="0.2">
      <c r="C55" s="11" t="s">
        <v>401</v>
      </c>
      <c r="D55" s="40"/>
      <c r="E55" s="40"/>
      <c r="F55" s="40"/>
      <c r="G55" s="65">
        <f>((Source!AF27+Source!AE27)*Source!FX27/100)+((Source!AF27+Source!AE27)*Source!FY27/100)+Source!AB27</f>
        <v>226.98800000000003</v>
      </c>
      <c r="H55" s="66">
        <f>Source!O27+Source!X27+Source!Y27</f>
        <v>500.96000000000004</v>
      </c>
    </row>
    <row r="56" spans="1:28" ht="42.75" x14ac:dyDescent="0.2">
      <c r="A56" s="54">
        <v>3</v>
      </c>
      <c r="B56" s="54" t="str">
        <f>Source!E29</f>
        <v>3</v>
      </c>
      <c r="C56" s="54" t="str">
        <f>Source!G29</f>
        <v>Устройство стяжек из выравнивающей смеси типа "Ветонит" 5000, толщиной 5 мм</v>
      </c>
      <c r="D56" s="54" t="str">
        <f>Source!F29</f>
        <v>11-01-011-08</v>
      </c>
      <c r="E56" s="37" t="str">
        <f>Source!H29</f>
        <v>100 м2</v>
      </c>
      <c r="F56" s="14">
        <f>Source!I29</f>
        <v>0.36299999999999999</v>
      </c>
      <c r="G56" s="27">
        <f>Source!AB29</f>
        <v>11078.647000000001</v>
      </c>
      <c r="H56" s="28">
        <f>Source!O29</f>
        <v>24451.02</v>
      </c>
      <c r="T56">
        <f>Source!O29+Source!X29+Source!Y29</f>
        <v>25887.77</v>
      </c>
      <c r="U56">
        <f>Source!P29</f>
        <v>23618.26</v>
      </c>
      <c r="V56">
        <f>Source!S29</f>
        <v>815.57</v>
      </c>
      <c r="W56">
        <f>Source!Q29</f>
        <v>17.190000000000001</v>
      </c>
      <c r="X56">
        <f>Source!R29</f>
        <v>5.43</v>
      </c>
      <c r="Y56">
        <f>Source!U29</f>
        <v>15.725341499999997</v>
      </c>
      <c r="Z56">
        <f>Source!V29</f>
        <v>7.7137500000000012E-2</v>
      </c>
      <c r="AA56">
        <f>Source!X29</f>
        <v>911.31</v>
      </c>
      <c r="AB56">
        <f>Source!Y29</f>
        <v>525.44000000000005</v>
      </c>
    </row>
    <row r="57" spans="1:28" ht="14.25" x14ac:dyDescent="0.2">
      <c r="C57" s="29" t="str">
        <f>"Объем: "&amp;Source!I29&amp;"=36,3/"&amp;"100"</f>
        <v>Объем: 0,363=36,3/100</v>
      </c>
      <c r="F57" s="14"/>
      <c r="G57" s="14"/>
      <c r="H57" s="14"/>
    </row>
    <row r="58" spans="1:28" x14ac:dyDescent="0.2">
      <c r="C58" s="29" t="s">
        <v>395</v>
      </c>
      <c r="D58" s="29">
        <f>Source!BA29</f>
        <v>6.08</v>
      </c>
    </row>
    <row r="59" spans="1:28" x14ac:dyDescent="0.2">
      <c r="C59" s="29" t="s">
        <v>396</v>
      </c>
      <c r="D59" s="29">
        <f>Source!BB29</f>
        <v>6.08</v>
      </c>
    </row>
    <row r="60" spans="1:28" x14ac:dyDescent="0.2">
      <c r="C60" s="29" t="s">
        <v>397</v>
      </c>
      <c r="D60" s="29">
        <f>Source!BC29</f>
        <v>6.08</v>
      </c>
    </row>
    <row r="61" spans="1:28" x14ac:dyDescent="0.2">
      <c r="C61" s="29" t="s">
        <v>398</v>
      </c>
      <c r="D61" s="29">
        <f>Source!BS29</f>
        <v>6.08</v>
      </c>
    </row>
    <row r="62" spans="1:28" x14ac:dyDescent="0.2">
      <c r="C62" s="29" t="s">
        <v>402</v>
      </c>
      <c r="D62" s="101" t="s">
        <v>29</v>
      </c>
      <c r="E62" s="101"/>
      <c r="F62" s="101"/>
      <c r="G62" s="101"/>
      <c r="H62" s="101"/>
    </row>
    <row r="63" spans="1:28" x14ac:dyDescent="0.2">
      <c r="C63" s="29" t="s">
        <v>403</v>
      </c>
      <c r="D63" s="101" t="s">
        <v>29</v>
      </c>
      <c r="E63" s="101"/>
      <c r="F63" s="101"/>
      <c r="G63" s="101"/>
      <c r="H63" s="101"/>
    </row>
    <row r="64" spans="1:28" x14ac:dyDescent="0.2">
      <c r="C64" s="29" t="s">
        <v>404</v>
      </c>
      <c r="D64" s="101" t="s">
        <v>30</v>
      </c>
      <c r="E64" s="101"/>
      <c r="F64" s="101"/>
      <c r="G64" s="101"/>
      <c r="H64" s="101"/>
    </row>
    <row r="65" spans="1:28" x14ac:dyDescent="0.2">
      <c r="C65" s="29" t="s">
        <v>405</v>
      </c>
      <c r="D65" s="101" t="s">
        <v>30</v>
      </c>
      <c r="E65" s="101"/>
      <c r="F65" s="101"/>
      <c r="G65" s="101"/>
      <c r="H65" s="101"/>
    </row>
    <row r="66" spans="1:28" x14ac:dyDescent="0.2">
      <c r="C66" s="29" t="s">
        <v>406</v>
      </c>
      <c r="D66" s="101" t="s">
        <v>29</v>
      </c>
      <c r="E66" s="101"/>
      <c r="F66" s="101"/>
      <c r="G66" s="101"/>
      <c r="H66" s="101"/>
    </row>
    <row r="67" spans="1:28" x14ac:dyDescent="0.2">
      <c r="C67" s="11" t="s">
        <v>399</v>
      </c>
      <c r="D67" s="40"/>
      <c r="E67" s="40"/>
      <c r="F67" s="40">
        <f>Source!BZ29</f>
        <v>123</v>
      </c>
      <c r="G67" s="65">
        <f>(Source!AF29+Source!AE29)*Source!FX29/100</f>
        <v>411.79514399999999</v>
      </c>
      <c r="H67" s="66">
        <f>Source!X29</f>
        <v>911.31</v>
      </c>
    </row>
    <row r="68" spans="1:28" x14ac:dyDescent="0.2">
      <c r="C68" s="11" t="s">
        <v>407</v>
      </c>
      <c r="D68" s="40"/>
      <c r="E68" s="40"/>
      <c r="F68" s="40"/>
      <c r="G68" s="40" t="str">
        <f>CONCATENATE(Source!DL29,Source!FT29, "=", Source!FX29, "%")</f>
        <v>*0,9=110,7%</v>
      </c>
      <c r="H68" s="40" t="str">
        <f>CONCATENATE(Source!AT29)</f>
        <v>111</v>
      </c>
    </row>
    <row r="69" spans="1:28" x14ac:dyDescent="0.2">
      <c r="C69" s="11" t="s">
        <v>400</v>
      </c>
      <c r="D69" s="40"/>
      <c r="E69" s="40"/>
      <c r="F69" s="40">
        <f>Source!CA29</f>
        <v>75</v>
      </c>
      <c r="G69" s="65">
        <f>(Source!AF29+Source!AE29)*Source!FY29/100</f>
        <v>237.14489999999998</v>
      </c>
      <c r="H69" s="66">
        <f>Source!Y29</f>
        <v>525.44000000000005</v>
      </c>
    </row>
    <row r="70" spans="1:28" x14ac:dyDescent="0.2">
      <c r="C70" s="11" t="s">
        <v>408</v>
      </c>
      <c r="D70" s="40"/>
      <c r="E70" s="40"/>
      <c r="F70" s="40"/>
      <c r="G70" s="40" t="str">
        <f>CONCATENATE(Source!DM29,Source!FU29, "=", Source!FY29, "%")</f>
        <v>*0,85=63,75%</v>
      </c>
      <c r="H70" s="40" t="str">
        <f>CONCATENATE(Source!AU29)</f>
        <v>64</v>
      </c>
    </row>
    <row r="71" spans="1:28" x14ac:dyDescent="0.2">
      <c r="C71" s="11" t="s">
        <v>401</v>
      </c>
      <c r="D71" s="40"/>
      <c r="E71" s="40"/>
      <c r="F71" s="40"/>
      <c r="G71" s="65">
        <f>((Source!AF29+Source!AE29)*Source!FX29/100)+((Source!AF29+Source!AE29)*Source!FY29/100)+Source!AB29</f>
        <v>11727.587044</v>
      </c>
      <c r="H71" s="66">
        <f>Source!O29+Source!X29+Source!Y29</f>
        <v>25887.77</v>
      </c>
    </row>
    <row r="72" spans="1:28" ht="42.75" x14ac:dyDescent="0.2">
      <c r="A72" s="54">
        <v>4</v>
      </c>
      <c r="B72" s="54" t="str">
        <f>Source!E31</f>
        <v>4</v>
      </c>
      <c r="C72" s="54" t="str">
        <f>Source!G31</f>
        <v>Устройство стяжек на каждый последующий слой толщиной 1 мм добавлять к расценке 11-01-011-08</v>
      </c>
      <c r="D72" s="54" t="str">
        <f>Source!F31</f>
        <v>11-01-011-10</v>
      </c>
      <c r="E72" s="37" t="str">
        <f>Source!H31</f>
        <v>100 м2</v>
      </c>
      <c r="F72" s="14">
        <f>Source!I31</f>
        <v>0.36299999999999999</v>
      </c>
      <c r="G72" s="27">
        <f>Source!AB31</f>
        <v>10369.9925</v>
      </c>
      <c r="H72" s="28">
        <f>Source!O31</f>
        <v>22886.99</v>
      </c>
      <c r="T72">
        <f>Source!O31+Source!X31+Source!Y31</f>
        <v>23353.82</v>
      </c>
      <c r="U72">
        <f>Source!P31</f>
        <v>22608.37</v>
      </c>
      <c r="V72">
        <f>Source!S31</f>
        <v>261.93</v>
      </c>
      <c r="W72">
        <f>Source!Q31</f>
        <v>16.690000000000001</v>
      </c>
      <c r="X72">
        <f>Source!R31</f>
        <v>4.83</v>
      </c>
      <c r="Y72">
        <f>Source!U31</f>
        <v>5.0511449999999991</v>
      </c>
      <c r="Z72">
        <f>Source!V31</f>
        <v>6.8062499999999998E-2</v>
      </c>
      <c r="AA72">
        <f>Source!X31</f>
        <v>296.10000000000002</v>
      </c>
      <c r="AB72">
        <f>Source!Y31</f>
        <v>170.73</v>
      </c>
    </row>
    <row r="73" spans="1:28" ht="14.25" x14ac:dyDescent="0.2">
      <c r="C73" s="29" t="str">
        <f>"Объем: "&amp;Source!I31&amp;"=36,3/"&amp;"100"</f>
        <v>Объем: 0,363=36,3/100</v>
      </c>
      <c r="F73" s="14"/>
      <c r="G73" s="14"/>
      <c r="H73" s="14"/>
    </row>
    <row r="74" spans="1:28" x14ac:dyDescent="0.2">
      <c r="C74" s="29" t="s">
        <v>395</v>
      </c>
      <c r="D74" s="29">
        <f>Source!BA31</f>
        <v>6.08</v>
      </c>
    </row>
    <row r="75" spans="1:28" x14ac:dyDescent="0.2">
      <c r="C75" s="29" t="s">
        <v>396</v>
      </c>
      <c r="D75" s="29">
        <f>Source!BB31</f>
        <v>6.08</v>
      </c>
    </row>
    <row r="76" spans="1:28" x14ac:dyDescent="0.2">
      <c r="C76" s="29" t="s">
        <v>397</v>
      </c>
      <c r="D76" s="29">
        <f>Source!BC31</f>
        <v>6.08</v>
      </c>
    </row>
    <row r="77" spans="1:28" x14ac:dyDescent="0.2">
      <c r="C77" s="29" t="s">
        <v>398</v>
      </c>
      <c r="D77" s="29">
        <f>Source!BS31</f>
        <v>6.08</v>
      </c>
    </row>
    <row r="78" spans="1:28" x14ac:dyDescent="0.2">
      <c r="C78" s="29" t="s">
        <v>409</v>
      </c>
      <c r="D78" s="101" t="s">
        <v>40</v>
      </c>
      <c r="E78" s="101"/>
      <c r="F78" s="101"/>
      <c r="G78" s="101"/>
      <c r="H78" s="101"/>
    </row>
    <row r="79" spans="1:28" x14ac:dyDescent="0.2">
      <c r="C79" s="29" t="s">
        <v>402</v>
      </c>
      <c r="D79" s="101" t="s">
        <v>41</v>
      </c>
      <c r="E79" s="101"/>
      <c r="F79" s="101"/>
      <c r="G79" s="101"/>
      <c r="H79" s="101"/>
    </row>
    <row r="80" spans="1:28" x14ac:dyDescent="0.2">
      <c r="C80" s="29" t="s">
        <v>403</v>
      </c>
      <c r="D80" s="101" t="s">
        <v>41</v>
      </c>
      <c r="E80" s="101"/>
      <c r="F80" s="101"/>
      <c r="G80" s="101"/>
      <c r="H80" s="101"/>
    </row>
    <row r="81" spans="1:28" x14ac:dyDescent="0.2">
      <c r="C81" s="29" t="s">
        <v>404</v>
      </c>
      <c r="D81" s="101" t="s">
        <v>42</v>
      </c>
      <c r="E81" s="101"/>
      <c r="F81" s="101"/>
      <c r="G81" s="101"/>
      <c r="H81" s="101"/>
    </row>
    <row r="82" spans="1:28" x14ac:dyDescent="0.2">
      <c r="C82" s="29" t="s">
        <v>405</v>
      </c>
      <c r="D82" s="101" t="s">
        <v>42</v>
      </c>
      <c r="E82" s="101"/>
      <c r="F82" s="101"/>
      <c r="G82" s="101"/>
      <c r="H82" s="101"/>
    </row>
    <row r="83" spans="1:28" x14ac:dyDescent="0.2">
      <c r="C83" s="29" t="s">
        <v>406</v>
      </c>
      <c r="D83" s="101" t="s">
        <v>41</v>
      </c>
      <c r="E83" s="101"/>
      <c r="F83" s="101"/>
      <c r="G83" s="101"/>
      <c r="H83" s="101"/>
    </row>
    <row r="84" spans="1:28" x14ac:dyDescent="0.2">
      <c r="C84" s="11" t="s">
        <v>399</v>
      </c>
      <c r="D84" s="40"/>
      <c r="E84" s="40"/>
      <c r="F84" s="40">
        <f>Source!BZ31</f>
        <v>123</v>
      </c>
      <c r="G84" s="65">
        <f>(Source!AF31+Source!AE31)*Source!FX31/100</f>
        <v>133.80032249999999</v>
      </c>
      <c r="H84" s="66">
        <f>Source!X31</f>
        <v>296.10000000000002</v>
      </c>
    </row>
    <row r="85" spans="1:28" x14ac:dyDescent="0.2">
      <c r="C85" s="11" t="s">
        <v>407</v>
      </c>
      <c r="D85" s="40"/>
      <c r="E85" s="40"/>
      <c r="F85" s="40"/>
      <c r="G85" s="40" t="str">
        <f>CONCATENATE(Source!DL31,Source!FT31, "=", Source!FX31, "%")</f>
        <v>*0,9=110,7%</v>
      </c>
      <c r="H85" s="40" t="str">
        <f>CONCATENATE(Source!AT31)</f>
        <v>111</v>
      </c>
    </row>
    <row r="86" spans="1:28" x14ac:dyDescent="0.2">
      <c r="C86" s="11" t="s">
        <v>400</v>
      </c>
      <c r="D86" s="40"/>
      <c r="E86" s="40"/>
      <c r="F86" s="40">
        <f>Source!CA31</f>
        <v>75</v>
      </c>
      <c r="G86" s="65">
        <f>(Source!AF31+Source!AE31)*Source!FY31/100</f>
        <v>77.053031250000004</v>
      </c>
      <c r="H86" s="66">
        <f>Source!Y31</f>
        <v>170.73</v>
      </c>
    </row>
    <row r="87" spans="1:28" x14ac:dyDescent="0.2">
      <c r="C87" s="11" t="s">
        <v>408</v>
      </c>
      <c r="D87" s="40"/>
      <c r="E87" s="40"/>
      <c r="F87" s="40"/>
      <c r="G87" s="40" t="str">
        <f>CONCATENATE(Source!DM31,Source!FU31, "=", Source!FY31, "%")</f>
        <v>*0,85=63,75%</v>
      </c>
      <c r="H87" s="40" t="str">
        <f>CONCATENATE(Source!AU31)</f>
        <v>64</v>
      </c>
    </row>
    <row r="88" spans="1:28" x14ac:dyDescent="0.2">
      <c r="C88" s="11" t="s">
        <v>401</v>
      </c>
      <c r="D88" s="40"/>
      <c r="E88" s="40"/>
      <c r="F88" s="40"/>
      <c r="G88" s="65">
        <f>((Source!AF31+Source!AE31)*Source!FX31/100)+((Source!AF31+Source!AE31)*Source!FY31/100)+Source!AB31</f>
        <v>10580.845853750001</v>
      </c>
      <c r="H88" s="66">
        <f>Source!O31+Source!X31+Source!Y31</f>
        <v>23353.82</v>
      </c>
    </row>
    <row r="89" spans="1:28" ht="28.5" x14ac:dyDescent="0.2">
      <c r="A89" s="54">
        <v>5</v>
      </c>
      <c r="B89" s="54" t="str">
        <f>Source!E33</f>
        <v>5</v>
      </c>
      <c r="C89" s="54" t="str">
        <f>Source!G33</f>
        <v>Устройство покрытий из линолеума на клее</v>
      </c>
      <c r="D89" s="54" t="str">
        <f>Source!F33</f>
        <v>11-01-036-01</v>
      </c>
      <c r="E89" s="37" t="str">
        <f>Source!H33</f>
        <v>100 м2</v>
      </c>
      <c r="F89" s="14">
        <f>Source!I33</f>
        <v>0.36299999999999999</v>
      </c>
      <c r="G89" s="27">
        <f>Source!AB33</f>
        <v>460.851</v>
      </c>
      <c r="H89" s="28">
        <f>Source!O33</f>
        <v>1017.12</v>
      </c>
      <c r="T89">
        <f>Source!O33+Source!X33+Source!Y33</f>
        <v>2632.9300000000003</v>
      </c>
      <c r="U89">
        <f>Source!P33</f>
        <v>2.0099999999999998</v>
      </c>
      <c r="V89">
        <f>Source!S33</f>
        <v>894.27</v>
      </c>
      <c r="W89">
        <f>Source!Q33</f>
        <v>120.84</v>
      </c>
      <c r="X89">
        <f>Source!R33</f>
        <v>29.05</v>
      </c>
      <c r="Y89">
        <f>Source!U33</f>
        <v>17.69988</v>
      </c>
      <c r="Z89">
        <f>Source!V33</f>
        <v>0.38568749999999996</v>
      </c>
      <c r="AA89">
        <f>Source!X33</f>
        <v>1024.8900000000001</v>
      </c>
      <c r="AB89">
        <f>Source!Y33</f>
        <v>590.91999999999996</v>
      </c>
    </row>
    <row r="90" spans="1:28" ht="14.25" x14ac:dyDescent="0.2">
      <c r="C90" s="29" t="str">
        <f>"Объем: "&amp;Source!I33&amp;"=36,3/"&amp;"100"</f>
        <v>Объем: 0,363=36,3/100</v>
      </c>
      <c r="F90" s="14"/>
      <c r="G90" s="14"/>
      <c r="H90" s="14"/>
    </row>
    <row r="91" spans="1:28" x14ac:dyDescent="0.2">
      <c r="C91" s="29" t="s">
        <v>395</v>
      </c>
      <c r="D91" s="29">
        <f>Source!BA33</f>
        <v>6.08</v>
      </c>
    </row>
    <row r="92" spans="1:28" x14ac:dyDescent="0.2">
      <c r="C92" s="29" t="s">
        <v>396</v>
      </c>
      <c r="D92" s="29">
        <f>Source!BB33</f>
        <v>6.08</v>
      </c>
    </row>
    <row r="93" spans="1:28" x14ac:dyDescent="0.2">
      <c r="C93" s="29" t="s">
        <v>397</v>
      </c>
      <c r="D93" s="29">
        <f>Source!BC33</f>
        <v>6.08</v>
      </c>
    </row>
    <row r="94" spans="1:28" x14ac:dyDescent="0.2">
      <c r="C94" s="29" t="s">
        <v>398</v>
      </c>
      <c r="D94" s="29">
        <f>Source!BS33</f>
        <v>6.08</v>
      </c>
    </row>
    <row r="95" spans="1:28" x14ac:dyDescent="0.2">
      <c r="C95" s="29" t="s">
        <v>402</v>
      </c>
      <c r="D95" s="101" t="s">
        <v>29</v>
      </c>
      <c r="E95" s="101"/>
      <c r="F95" s="101"/>
      <c r="G95" s="101"/>
      <c r="H95" s="101"/>
    </row>
    <row r="96" spans="1:28" x14ac:dyDescent="0.2">
      <c r="C96" s="29" t="s">
        <v>403</v>
      </c>
      <c r="D96" s="101" t="s">
        <v>29</v>
      </c>
      <c r="E96" s="101"/>
      <c r="F96" s="101"/>
      <c r="G96" s="101"/>
      <c r="H96" s="101"/>
    </row>
    <row r="97" spans="1:28" x14ac:dyDescent="0.2">
      <c r="C97" s="29" t="s">
        <v>404</v>
      </c>
      <c r="D97" s="101" t="s">
        <v>30</v>
      </c>
      <c r="E97" s="101"/>
      <c r="F97" s="101"/>
      <c r="G97" s="101"/>
      <c r="H97" s="101"/>
    </row>
    <row r="98" spans="1:28" x14ac:dyDescent="0.2">
      <c r="C98" s="29" t="s">
        <v>405</v>
      </c>
      <c r="D98" s="101" t="s">
        <v>30</v>
      </c>
      <c r="E98" s="101"/>
      <c r="F98" s="101"/>
      <c r="G98" s="101"/>
      <c r="H98" s="101"/>
    </row>
    <row r="99" spans="1:28" x14ac:dyDescent="0.2">
      <c r="C99" s="29" t="s">
        <v>406</v>
      </c>
      <c r="D99" s="101" t="s">
        <v>29</v>
      </c>
      <c r="E99" s="101"/>
      <c r="F99" s="101"/>
      <c r="G99" s="101"/>
      <c r="H99" s="101"/>
    </row>
    <row r="100" spans="1:28" x14ac:dyDescent="0.2">
      <c r="C100" s="11" t="s">
        <v>399</v>
      </c>
      <c r="D100" s="40"/>
      <c r="E100" s="40"/>
      <c r="F100" s="40">
        <f>Source!BZ33</f>
        <v>123</v>
      </c>
      <c r="G100" s="65">
        <f>(Source!AF33+Source!AE33)*Source!FX33/100</f>
        <v>463.11732450000005</v>
      </c>
      <c r="H100" s="66">
        <f>Source!X33</f>
        <v>1024.8900000000001</v>
      </c>
    </row>
    <row r="101" spans="1:28" x14ac:dyDescent="0.2">
      <c r="C101" s="11" t="s">
        <v>407</v>
      </c>
      <c r="D101" s="40"/>
      <c r="E101" s="40"/>
      <c r="F101" s="40"/>
      <c r="G101" s="40" t="str">
        <f>CONCATENATE(Source!DL33,Source!FT33, "=", Source!FX33, "%")</f>
        <v>*0,9=110,7%</v>
      </c>
      <c r="H101" s="40" t="str">
        <f>CONCATENATE(Source!AT33)</f>
        <v>111</v>
      </c>
    </row>
    <row r="102" spans="1:28" x14ac:dyDescent="0.2">
      <c r="C102" s="11" t="s">
        <v>400</v>
      </c>
      <c r="D102" s="40"/>
      <c r="E102" s="40"/>
      <c r="F102" s="40">
        <f>Source!CA33</f>
        <v>75</v>
      </c>
      <c r="G102" s="65">
        <f>(Source!AF33+Source!AE33)*Source!FY33/100</f>
        <v>266.70035625000003</v>
      </c>
      <c r="H102" s="66">
        <f>Source!Y33</f>
        <v>590.91999999999996</v>
      </c>
    </row>
    <row r="103" spans="1:28" x14ac:dyDescent="0.2">
      <c r="C103" s="11" t="s">
        <v>408</v>
      </c>
      <c r="D103" s="40"/>
      <c r="E103" s="40"/>
      <c r="F103" s="40"/>
      <c r="G103" s="40" t="str">
        <f>CONCATENATE(Source!DM33,Source!FU33, "=", Source!FY33, "%")</f>
        <v>*0,85=63,75%</v>
      </c>
      <c r="H103" s="40" t="str">
        <f>CONCATENATE(Source!AU33)</f>
        <v>64</v>
      </c>
    </row>
    <row r="104" spans="1:28" x14ac:dyDescent="0.2">
      <c r="C104" s="11" t="s">
        <v>401</v>
      </c>
      <c r="D104" s="40"/>
      <c r="E104" s="40"/>
      <c r="F104" s="40"/>
      <c r="G104" s="65">
        <f>((Source!AF33+Source!AE33)*Source!FX33/100)+((Source!AF33+Source!AE33)*Source!FY33/100)+Source!AB33</f>
        <v>1190.66868075</v>
      </c>
      <c r="H104" s="66">
        <f>Source!O33+Source!X33+Source!Y33</f>
        <v>2632.9300000000003</v>
      </c>
    </row>
    <row r="105" spans="1:28" ht="28.5" x14ac:dyDescent="0.2">
      <c r="A105" s="54">
        <v>6</v>
      </c>
      <c r="B105" s="54" t="str">
        <f>Source!E35</f>
        <v>5,1</v>
      </c>
      <c r="C105" s="54" t="str">
        <f>Source!G35</f>
        <v>Линолеум на теплозвукоизолирующей подоснове</v>
      </c>
      <c r="D105" s="54" t="str">
        <f>Source!F35</f>
        <v>01.6.03.04</v>
      </c>
      <c r="E105" s="37" t="str">
        <f>Source!H35</f>
        <v>м2</v>
      </c>
      <c r="F105" s="14">
        <f>Source!I35</f>
        <v>37.026000000000003</v>
      </c>
      <c r="G105" s="27">
        <f>Source!AB35</f>
        <v>0</v>
      </c>
      <c r="H105" s="28">
        <f>Source!O35</f>
        <v>0</v>
      </c>
      <c r="T105">
        <f>Source!O35+Source!X35+Source!Y35</f>
        <v>0</v>
      </c>
      <c r="U105">
        <f>Source!P35</f>
        <v>0</v>
      </c>
      <c r="V105">
        <f>Source!S35</f>
        <v>0</v>
      </c>
      <c r="W105">
        <f>Source!Q35</f>
        <v>0</v>
      </c>
      <c r="X105">
        <f>Source!R35</f>
        <v>0</v>
      </c>
      <c r="Y105">
        <f>Source!U35</f>
        <v>0</v>
      </c>
      <c r="Z105">
        <f>Source!V35</f>
        <v>0</v>
      </c>
      <c r="AA105">
        <f>Source!X35</f>
        <v>0</v>
      </c>
      <c r="AB105">
        <f>Source!Y35</f>
        <v>0</v>
      </c>
    </row>
    <row r="106" spans="1:28" ht="14.25" x14ac:dyDescent="0.2">
      <c r="C106" s="29" t="s">
        <v>397</v>
      </c>
      <c r="D106" s="29">
        <f>Source!BC35</f>
        <v>6.08</v>
      </c>
      <c r="F106" s="14"/>
      <c r="G106" s="14"/>
      <c r="H106" s="14"/>
    </row>
    <row r="107" spans="1:28" ht="57" x14ac:dyDescent="0.2">
      <c r="A107" s="54">
        <v>7</v>
      </c>
      <c r="B107" s="54" t="str">
        <f>Source!E37</f>
        <v>5,2</v>
      </c>
      <c r="C107" s="54" t="str">
        <f>Source!G37</f>
        <v>Линолеум коммерческий гомогенный "ТАРКЕТТ iQ MONOLIT" (толщина 2 мм, класс 34/43, пож. безопасность Г1, В2, РП1, Д2, Т2)</v>
      </c>
      <c r="D107" s="54" t="str">
        <f>Source!F37</f>
        <v>01.6.03.04-0112</v>
      </c>
      <c r="E107" s="37" t="str">
        <f>Source!H37</f>
        <v>м2</v>
      </c>
      <c r="F107" s="14">
        <f>Source!I37</f>
        <v>37.026000000000003</v>
      </c>
      <c r="G107" s="27">
        <f>Source!AB37</f>
        <v>71.47</v>
      </c>
      <c r="H107" s="28">
        <f>Source!O37</f>
        <v>16089.19</v>
      </c>
      <c r="T107">
        <f>Source!O37+Source!X37+Source!Y37</f>
        <v>16089.19</v>
      </c>
      <c r="U107">
        <f>Source!P37</f>
        <v>16089.19</v>
      </c>
      <c r="V107">
        <f>Source!S37</f>
        <v>0</v>
      </c>
      <c r="W107">
        <f>Source!Q37</f>
        <v>0</v>
      </c>
      <c r="X107">
        <f>Source!R37</f>
        <v>0</v>
      </c>
      <c r="Y107">
        <f>Source!U37</f>
        <v>0</v>
      </c>
      <c r="Z107">
        <f>Source!V37</f>
        <v>0</v>
      </c>
      <c r="AA107">
        <f>Source!X37</f>
        <v>0</v>
      </c>
      <c r="AB107">
        <f>Source!Y37</f>
        <v>0</v>
      </c>
    </row>
    <row r="108" spans="1:28" ht="14.25" x14ac:dyDescent="0.2">
      <c r="C108" s="29" t="s">
        <v>397</v>
      </c>
      <c r="D108" s="29">
        <f>Source!BC37</f>
        <v>6.08</v>
      </c>
      <c r="F108" s="14"/>
      <c r="G108" s="14"/>
      <c r="H108" s="14"/>
    </row>
    <row r="109" spans="1:28" ht="28.5" x14ac:dyDescent="0.2">
      <c r="A109" s="54">
        <v>8</v>
      </c>
      <c r="B109" s="54" t="str">
        <f>Source!E39</f>
        <v>5,3</v>
      </c>
      <c r="C109" s="54" t="str">
        <f>Source!G39</f>
        <v>Клей «Бустилат»</v>
      </c>
      <c r="D109" s="54" t="str">
        <f>Source!F39</f>
        <v>14.1.02.04-0101</v>
      </c>
      <c r="E109" s="37" t="str">
        <f>Source!H39</f>
        <v>т</v>
      </c>
      <c r="F109" s="14">
        <f>Source!I39</f>
        <v>1.8149999999999999E-2</v>
      </c>
      <c r="G109" s="27">
        <f>Source!AB39</f>
        <v>11300</v>
      </c>
      <c r="H109" s="28">
        <f>Source!O39</f>
        <v>1246.98</v>
      </c>
      <c r="T109">
        <f>Source!O39+Source!X39+Source!Y39</f>
        <v>1246.98</v>
      </c>
      <c r="U109">
        <f>Source!P39</f>
        <v>1246.98</v>
      </c>
      <c r="V109">
        <f>Source!S39</f>
        <v>0</v>
      </c>
      <c r="W109">
        <f>Source!Q39</f>
        <v>0</v>
      </c>
      <c r="X109">
        <f>Source!R39</f>
        <v>0</v>
      </c>
      <c r="Y109">
        <f>Source!U39</f>
        <v>0</v>
      </c>
      <c r="Z109">
        <f>Source!V39</f>
        <v>0</v>
      </c>
      <c r="AA109">
        <f>Source!X39</f>
        <v>0</v>
      </c>
      <c r="AB109">
        <f>Source!Y39</f>
        <v>0</v>
      </c>
    </row>
    <row r="110" spans="1:28" ht="14.25" x14ac:dyDescent="0.2">
      <c r="C110" s="29" t="s">
        <v>397</v>
      </c>
      <c r="D110" s="29">
        <f>Source!BC39</f>
        <v>6.08</v>
      </c>
      <c r="F110" s="14"/>
      <c r="G110" s="14"/>
      <c r="H110" s="14"/>
    </row>
    <row r="111" spans="1:28" ht="42.75" x14ac:dyDescent="0.2">
      <c r="A111" s="54">
        <v>9</v>
      </c>
      <c r="B111" s="54" t="str">
        <f>Source!E41</f>
        <v>6</v>
      </c>
      <c r="C111" s="54" t="str">
        <f>Source!G41</f>
        <v>Устройство плинтусов поливинилхлоридных на винтах самонарезающих</v>
      </c>
      <c r="D111" s="54" t="str">
        <f>Source!F41</f>
        <v>11-01-040-03</v>
      </c>
      <c r="E111" s="37" t="str">
        <f>Source!H41</f>
        <v>100 м</v>
      </c>
      <c r="F111" s="14">
        <f>Source!I41</f>
        <v>0.23200000000000001</v>
      </c>
      <c r="G111" s="27">
        <f>Source!AB41</f>
        <v>146.82050000000001</v>
      </c>
      <c r="H111" s="28">
        <f>Source!O41</f>
        <v>207.1</v>
      </c>
      <c r="T111">
        <f>Source!O41+Source!X41+Source!Y41</f>
        <v>382.46</v>
      </c>
      <c r="U111">
        <f>Source!P41</f>
        <v>103.87</v>
      </c>
      <c r="V111">
        <f>Source!S41</f>
        <v>99.47</v>
      </c>
      <c r="W111">
        <f>Source!Q41</f>
        <v>3.76</v>
      </c>
      <c r="X111">
        <f>Source!R41</f>
        <v>0.74</v>
      </c>
      <c r="Y111">
        <f>Source!U41</f>
        <v>1.782224</v>
      </c>
      <c r="Z111">
        <f>Source!V41</f>
        <v>1.1600000000000001E-2</v>
      </c>
      <c r="AA111">
        <f>Source!X41</f>
        <v>111.23</v>
      </c>
      <c r="AB111">
        <f>Source!Y41</f>
        <v>64.13</v>
      </c>
    </row>
    <row r="112" spans="1:28" ht="14.25" x14ac:dyDescent="0.2">
      <c r="C112" s="29" t="str">
        <f>"Объем: "&amp;Source!I41&amp;"=23,2/"&amp;"100"</f>
        <v>Объем: 0,232=23,2/100</v>
      </c>
      <c r="F112" s="14"/>
      <c r="G112" s="14"/>
      <c r="H112" s="14"/>
    </row>
    <row r="113" spans="1:28" x14ac:dyDescent="0.2">
      <c r="C113" s="29" t="s">
        <v>395</v>
      </c>
      <c r="D113" s="29">
        <f>Source!BA41</f>
        <v>6.08</v>
      </c>
    </row>
    <row r="114" spans="1:28" x14ac:dyDescent="0.2">
      <c r="C114" s="29" t="s">
        <v>396</v>
      </c>
      <c r="D114" s="29">
        <f>Source!BB41</f>
        <v>6.08</v>
      </c>
    </row>
    <row r="115" spans="1:28" x14ac:dyDescent="0.2">
      <c r="C115" s="29" t="s">
        <v>397</v>
      </c>
      <c r="D115" s="29">
        <f>Source!BC41</f>
        <v>6.08</v>
      </c>
    </row>
    <row r="116" spans="1:28" x14ac:dyDescent="0.2">
      <c r="C116" s="29" t="s">
        <v>398</v>
      </c>
      <c r="D116" s="29">
        <f>Source!BS41</f>
        <v>6.08</v>
      </c>
    </row>
    <row r="117" spans="1:28" x14ac:dyDescent="0.2">
      <c r="C117" s="29" t="s">
        <v>402</v>
      </c>
      <c r="D117" s="101" t="s">
        <v>29</v>
      </c>
      <c r="E117" s="101"/>
      <c r="F117" s="101"/>
      <c r="G117" s="101"/>
      <c r="H117" s="101"/>
    </row>
    <row r="118" spans="1:28" x14ac:dyDescent="0.2">
      <c r="C118" s="29" t="s">
        <v>403</v>
      </c>
      <c r="D118" s="101" t="s">
        <v>29</v>
      </c>
      <c r="E118" s="101"/>
      <c r="F118" s="101"/>
      <c r="G118" s="101"/>
      <c r="H118" s="101"/>
    </row>
    <row r="119" spans="1:28" x14ac:dyDescent="0.2">
      <c r="C119" s="29" t="s">
        <v>404</v>
      </c>
      <c r="D119" s="101" t="s">
        <v>30</v>
      </c>
      <c r="E119" s="101"/>
      <c r="F119" s="101"/>
      <c r="G119" s="101"/>
      <c r="H119" s="101"/>
    </row>
    <row r="120" spans="1:28" x14ac:dyDescent="0.2">
      <c r="C120" s="29" t="s">
        <v>405</v>
      </c>
      <c r="D120" s="101" t="s">
        <v>30</v>
      </c>
      <c r="E120" s="101"/>
      <c r="F120" s="101"/>
      <c r="G120" s="101"/>
      <c r="H120" s="101"/>
    </row>
    <row r="121" spans="1:28" x14ac:dyDescent="0.2">
      <c r="C121" s="29" t="s">
        <v>406</v>
      </c>
      <c r="D121" s="101" t="s">
        <v>29</v>
      </c>
      <c r="E121" s="101"/>
      <c r="F121" s="101"/>
      <c r="G121" s="101"/>
      <c r="H121" s="101"/>
    </row>
    <row r="122" spans="1:28" x14ac:dyDescent="0.2">
      <c r="C122" s="11" t="s">
        <v>399</v>
      </c>
      <c r="D122" s="40"/>
      <c r="E122" s="40"/>
      <c r="F122" s="40">
        <f>Source!BZ41</f>
        <v>123</v>
      </c>
      <c r="G122" s="65">
        <f>(Source!AF41+Source!AE41)*Source!FX41/100</f>
        <v>78.644601000000009</v>
      </c>
      <c r="H122" s="66">
        <f>Source!X41</f>
        <v>111.23</v>
      </c>
    </row>
    <row r="123" spans="1:28" x14ac:dyDescent="0.2">
      <c r="C123" s="11" t="s">
        <v>407</v>
      </c>
      <c r="D123" s="40"/>
      <c r="E123" s="40"/>
      <c r="F123" s="40"/>
      <c r="G123" s="40" t="str">
        <f>CONCATENATE(Source!DL41,Source!FT41, "=", Source!FX41, "%")</f>
        <v>*0,9=110,7%</v>
      </c>
      <c r="H123" s="40" t="str">
        <f>CONCATENATE(Source!AT41)</f>
        <v>111</v>
      </c>
    </row>
    <row r="124" spans="1:28" x14ac:dyDescent="0.2">
      <c r="C124" s="11" t="s">
        <v>400</v>
      </c>
      <c r="D124" s="40"/>
      <c r="E124" s="40"/>
      <c r="F124" s="40">
        <f>Source!CA41</f>
        <v>75</v>
      </c>
      <c r="G124" s="65">
        <f>(Source!AF41+Source!AE41)*Source!FY41/100</f>
        <v>45.2899125</v>
      </c>
      <c r="H124" s="66">
        <f>Source!Y41</f>
        <v>64.13</v>
      </c>
    </row>
    <row r="125" spans="1:28" x14ac:dyDescent="0.2">
      <c r="C125" s="11" t="s">
        <v>408</v>
      </c>
      <c r="D125" s="40"/>
      <c r="E125" s="40"/>
      <c r="F125" s="40"/>
      <c r="G125" s="40" t="str">
        <f>CONCATENATE(Source!DM41,Source!FU41, "=", Source!FY41, "%")</f>
        <v>*0,85=63,75%</v>
      </c>
      <c r="H125" s="40" t="str">
        <f>CONCATENATE(Source!AU41)</f>
        <v>64</v>
      </c>
    </row>
    <row r="126" spans="1:28" x14ac:dyDescent="0.2">
      <c r="C126" s="11" t="s">
        <v>401</v>
      </c>
      <c r="D126" s="40"/>
      <c r="E126" s="40"/>
      <c r="F126" s="40"/>
      <c r="G126" s="65">
        <f>((Source!AF41+Source!AE41)*Source!FX41/100)+((Source!AF41+Source!AE41)*Source!FY41/100)+Source!AB41</f>
        <v>270.75501350000002</v>
      </c>
      <c r="H126" s="66">
        <f>Source!O41+Source!X41+Source!Y41</f>
        <v>382.46</v>
      </c>
    </row>
    <row r="127" spans="1:28" ht="28.5" x14ac:dyDescent="0.2">
      <c r="A127" s="54">
        <v>10</v>
      </c>
      <c r="B127" s="54" t="str">
        <f>Source!E43</f>
        <v>6,1</v>
      </c>
      <c r="C127" s="54" t="str">
        <f>Source!G43</f>
        <v>Заглушка торцевая для пластикового плинтуса левая, высота 49 мм</v>
      </c>
      <c r="D127" s="54" t="str">
        <f>Source!F43</f>
        <v>11.3.03.14-0002</v>
      </c>
      <c r="E127" s="37" t="str">
        <f>Source!H43</f>
        <v>100 шт.</v>
      </c>
      <c r="F127" s="14">
        <f>Source!I43</f>
        <v>0.02</v>
      </c>
      <c r="G127" s="27">
        <f>Source!AB43</f>
        <v>101</v>
      </c>
      <c r="H127" s="28">
        <f>Source!O43</f>
        <v>12.28</v>
      </c>
      <c r="T127">
        <f>Source!O43+Source!X43+Source!Y43</f>
        <v>12.28</v>
      </c>
      <c r="U127">
        <f>Source!P43</f>
        <v>12.28</v>
      </c>
      <c r="V127">
        <f>Source!S43</f>
        <v>0</v>
      </c>
      <c r="W127">
        <f>Source!Q43</f>
        <v>0</v>
      </c>
      <c r="X127">
        <f>Source!R43</f>
        <v>0</v>
      </c>
      <c r="Y127">
        <f>Source!U43</f>
        <v>0</v>
      </c>
      <c r="Z127">
        <f>Source!V43</f>
        <v>0</v>
      </c>
      <c r="AA127">
        <f>Source!X43</f>
        <v>0</v>
      </c>
      <c r="AB127">
        <f>Source!Y43</f>
        <v>0</v>
      </c>
    </row>
    <row r="128" spans="1:28" ht="14.25" x14ac:dyDescent="0.2">
      <c r="C128" s="29" t="s">
        <v>397</v>
      </c>
      <c r="D128" s="29">
        <f>Source!BC43</f>
        <v>6.08</v>
      </c>
      <c r="F128" s="14"/>
      <c r="G128" s="14"/>
      <c r="H128" s="14"/>
    </row>
    <row r="129" spans="1:28" ht="28.5" x14ac:dyDescent="0.2">
      <c r="A129" s="54">
        <v>11</v>
      </c>
      <c r="B129" s="54" t="str">
        <f>Source!E45</f>
        <v>6,2</v>
      </c>
      <c r="C129" s="54" t="str">
        <f>Source!G45</f>
        <v>Плинтуса для полов пластиковые, 19х48 мм</v>
      </c>
      <c r="D129" s="54" t="str">
        <f>Source!F45</f>
        <v>11.3.03.06-0001</v>
      </c>
      <c r="E129" s="37" t="str">
        <f>Source!H45</f>
        <v>м</v>
      </c>
      <c r="F129" s="14">
        <f>Source!I45</f>
        <v>23.431999999999999</v>
      </c>
      <c r="G129" s="27">
        <f>Source!AB45</f>
        <v>12.3</v>
      </c>
      <c r="H129" s="28">
        <f>Source!O45</f>
        <v>1752.34</v>
      </c>
      <c r="T129">
        <f>Source!O45+Source!X45+Source!Y45</f>
        <v>1752.34</v>
      </c>
      <c r="U129">
        <f>Source!P45</f>
        <v>1752.34</v>
      </c>
      <c r="V129">
        <f>Source!S45</f>
        <v>0</v>
      </c>
      <c r="W129">
        <f>Source!Q45</f>
        <v>0</v>
      </c>
      <c r="X129">
        <f>Source!R45</f>
        <v>0</v>
      </c>
      <c r="Y129">
        <f>Source!U45</f>
        <v>0</v>
      </c>
      <c r="Z129">
        <f>Source!V45</f>
        <v>0</v>
      </c>
      <c r="AA129">
        <f>Source!X45</f>
        <v>0</v>
      </c>
      <c r="AB129">
        <f>Source!Y45</f>
        <v>0</v>
      </c>
    </row>
    <row r="130" spans="1:28" ht="14.25" x14ac:dyDescent="0.2">
      <c r="C130" s="29" t="s">
        <v>397</v>
      </c>
      <c r="D130" s="29">
        <f>Source!BC45</f>
        <v>6.08</v>
      </c>
      <c r="F130" s="14"/>
      <c r="G130" s="14"/>
      <c r="H130" s="14"/>
    </row>
    <row r="131" spans="1:28" ht="28.5" x14ac:dyDescent="0.2">
      <c r="A131" s="54">
        <v>12</v>
      </c>
      <c r="B131" s="54" t="str">
        <f>Source!E47</f>
        <v>6,3</v>
      </c>
      <c r="C131" s="54" t="str">
        <f>Source!G47</f>
        <v>Заглушки торцевая для пластикового плинтуса правая, высота 49 мм</v>
      </c>
      <c r="D131" s="54" t="str">
        <f>Source!F47</f>
        <v>11.3.03.14-0012</v>
      </c>
      <c r="E131" s="37" t="str">
        <f>Source!H47</f>
        <v>100 шт.</v>
      </c>
      <c r="F131" s="14">
        <f>Source!I47</f>
        <v>0.02</v>
      </c>
      <c r="G131" s="27">
        <f>Source!AB47</f>
        <v>101</v>
      </c>
      <c r="H131" s="28">
        <f>Source!O47</f>
        <v>12.28</v>
      </c>
      <c r="T131">
        <f>Source!O47+Source!X47+Source!Y47</f>
        <v>12.28</v>
      </c>
      <c r="U131">
        <f>Source!P47</f>
        <v>12.28</v>
      </c>
      <c r="V131">
        <f>Source!S47</f>
        <v>0</v>
      </c>
      <c r="W131">
        <f>Source!Q47</f>
        <v>0</v>
      </c>
      <c r="X131">
        <f>Source!R47</f>
        <v>0</v>
      </c>
      <c r="Y131">
        <f>Source!U47</f>
        <v>0</v>
      </c>
      <c r="Z131">
        <f>Source!V47</f>
        <v>0</v>
      </c>
      <c r="AA131">
        <f>Source!X47</f>
        <v>0</v>
      </c>
      <c r="AB131">
        <f>Source!Y47</f>
        <v>0</v>
      </c>
    </row>
    <row r="132" spans="1:28" ht="14.25" x14ac:dyDescent="0.2">
      <c r="C132" s="29" t="s">
        <v>397</v>
      </c>
      <c r="D132" s="29">
        <f>Source!BC47</f>
        <v>6.08</v>
      </c>
      <c r="F132" s="14"/>
      <c r="G132" s="14"/>
      <c r="H132" s="14"/>
    </row>
    <row r="133" spans="1:28" ht="28.5" x14ac:dyDescent="0.2">
      <c r="A133" s="54">
        <v>13</v>
      </c>
      <c r="B133" s="54" t="str">
        <f>Source!E49</f>
        <v>6,4</v>
      </c>
      <c r="C133" s="54" t="str">
        <f>Source!G49</f>
        <v>Соединитель для пластикового плинтуса, высота 49 мм</v>
      </c>
      <c r="D133" s="54" t="str">
        <f>Source!F49</f>
        <v>11.3.03.14-0022</v>
      </c>
      <c r="E133" s="37" t="str">
        <f>Source!H49</f>
        <v>100 шт.</v>
      </c>
      <c r="F133" s="14">
        <f>Source!I49</f>
        <v>0.01</v>
      </c>
      <c r="G133" s="27">
        <f>Source!AB49</f>
        <v>128</v>
      </c>
      <c r="H133" s="28">
        <f>Source!O49</f>
        <v>7.78</v>
      </c>
      <c r="T133">
        <f>Source!O49+Source!X49+Source!Y49</f>
        <v>7.78</v>
      </c>
      <c r="U133">
        <f>Source!P49</f>
        <v>7.78</v>
      </c>
      <c r="V133">
        <f>Source!S49</f>
        <v>0</v>
      </c>
      <c r="W133">
        <f>Source!Q49</f>
        <v>0</v>
      </c>
      <c r="X133">
        <f>Source!R49</f>
        <v>0</v>
      </c>
      <c r="Y133">
        <f>Source!U49</f>
        <v>0</v>
      </c>
      <c r="Z133">
        <f>Source!V49</f>
        <v>0</v>
      </c>
      <c r="AA133">
        <f>Source!X49</f>
        <v>0</v>
      </c>
      <c r="AB133">
        <f>Source!Y49</f>
        <v>0</v>
      </c>
    </row>
    <row r="134" spans="1:28" ht="14.25" x14ac:dyDescent="0.2">
      <c r="C134" s="29" t="s">
        <v>397</v>
      </c>
      <c r="D134" s="29">
        <f>Source!BC49</f>
        <v>6.08</v>
      </c>
      <c r="F134" s="14"/>
      <c r="G134" s="14"/>
      <c r="H134" s="14"/>
    </row>
    <row r="135" spans="1:28" ht="28.5" x14ac:dyDescent="0.2">
      <c r="A135" s="54">
        <v>14</v>
      </c>
      <c r="B135" s="54" t="str">
        <f>Source!E51</f>
        <v>6,5</v>
      </c>
      <c r="C135" s="54" t="str">
        <f>Source!G51</f>
        <v>Уголок внутренний для пластикового плинтуса, высота 49 мм</v>
      </c>
      <c r="D135" s="54" t="str">
        <f>Source!F51</f>
        <v>11.3.03.14-0032</v>
      </c>
      <c r="E135" s="37" t="str">
        <f>Source!H51</f>
        <v>100 шт.</v>
      </c>
      <c r="F135" s="14">
        <f>Source!I51</f>
        <v>0.02</v>
      </c>
      <c r="G135" s="27">
        <f>Source!AB51</f>
        <v>128</v>
      </c>
      <c r="H135" s="28">
        <f>Source!O51</f>
        <v>15.56</v>
      </c>
      <c r="T135">
        <f>Source!O51+Source!X51+Source!Y51</f>
        <v>15.56</v>
      </c>
      <c r="U135">
        <f>Source!P51</f>
        <v>15.56</v>
      </c>
      <c r="V135">
        <f>Source!S51</f>
        <v>0</v>
      </c>
      <c r="W135">
        <f>Source!Q51</f>
        <v>0</v>
      </c>
      <c r="X135">
        <f>Source!R51</f>
        <v>0</v>
      </c>
      <c r="Y135">
        <f>Source!U51</f>
        <v>0</v>
      </c>
      <c r="Z135">
        <f>Source!V51</f>
        <v>0</v>
      </c>
      <c r="AA135">
        <f>Source!X51</f>
        <v>0</v>
      </c>
      <c r="AB135">
        <f>Source!Y51</f>
        <v>0</v>
      </c>
    </row>
    <row r="136" spans="1:28" ht="14.25" x14ac:dyDescent="0.2">
      <c r="C136" s="29" t="s">
        <v>397</v>
      </c>
      <c r="D136" s="29">
        <f>Source!BC51</f>
        <v>6.08</v>
      </c>
      <c r="F136" s="14"/>
      <c r="G136" s="14"/>
      <c r="H136" s="14"/>
    </row>
    <row r="137" spans="1:28" ht="28.5" x14ac:dyDescent="0.2">
      <c r="A137" s="54">
        <v>15</v>
      </c>
      <c r="B137" s="54" t="str">
        <f>Source!E53</f>
        <v>6,6</v>
      </c>
      <c r="C137" s="54" t="str">
        <f>Source!G53</f>
        <v>Уголок наружный для пластикового плинтуса, высота 49 мм</v>
      </c>
      <c r="D137" s="54" t="str">
        <f>Source!F53</f>
        <v>11.3.03.14-0034</v>
      </c>
      <c r="E137" s="37" t="str">
        <f>Source!H53</f>
        <v>100 шт.</v>
      </c>
      <c r="F137" s="14">
        <f>Source!I53</f>
        <v>0.02</v>
      </c>
      <c r="G137" s="27">
        <f>Source!AB53</f>
        <v>128</v>
      </c>
      <c r="H137" s="28">
        <f>Source!O53</f>
        <v>15.56</v>
      </c>
      <c r="T137">
        <f>Source!O53+Source!X53+Source!Y53</f>
        <v>15.56</v>
      </c>
      <c r="U137">
        <f>Source!P53</f>
        <v>15.56</v>
      </c>
      <c r="V137">
        <f>Source!S53</f>
        <v>0</v>
      </c>
      <c r="W137">
        <f>Source!Q53</f>
        <v>0</v>
      </c>
      <c r="X137">
        <f>Source!R53</f>
        <v>0</v>
      </c>
      <c r="Y137">
        <f>Source!U53</f>
        <v>0</v>
      </c>
      <c r="Z137">
        <f>Source!V53</f>
        <v>0</v>
      </c>
      <c r="AA137">
        <f>Source!X53</f>
        <v>0</v>
      </c>
      <c r="AB137">
        <f>Source!Y53</f>
        <v>0</v>
      </c>
    </row>
    <row r="138" spans="1:28" ht="14.25" x14ac:dyDescent="0.2">
      <c r="C138" s="29" t="s">
        <v>397</v>
      </c>
      <c r="D138" s="29">
        <f>Source!BC53</f>
        <v>6.08</v>
      </c>
      <c r="F138" s="14"/>
      <c r="G138" s="14"/>
      <c r="H138" s="14"/>
    </row>
    <row r="139" spans="1:28" ht="28.5" x14ac:dyDescent="0.2">
      <c r="A139" s="54">
        <v>16</v>
      </c>
      <c r="B139" s="54" t="str">
        <f>Source!E55</f>
        <v>7</v>
      </c>
      <c r="C139" s="54" t="str">
        <f>Source!G55</f>
        <v>Очистка поверхности щетками стен и потолка от красок</v>
      </c>
      <c r="D139" s="54" t="str">
        <f>Source!F55</f>
        <v>13-06-003-01</v>
      </c>
      <c r="E139" s="37" t="str">
        <f>Source!H55</f>
        <v>м2</v>
      </c>
      <c r="F139" s="14">
        <f>Source!I55</f>
        <v>114.5</v>
      </c>
      <c r="G139" s="27">
        <f>Source!AB55</f>
        <v>8.8320000000000007</v>
      </c>
      <c r="H139" s="28">
        <f>Source!O55</f>
        <v>6148.49</v>
      </c>
      <c r="T139">
        <f>Source!O55+Source!X55+Source!Y55</f>
        <v>14817.86</v>
      </c>
      <c r="U139">
        <f>Source!P55</f>
        <v>0</v>
      </c>
      <c r="V139">
        <f>Source!S55</f>
        <v>6148.49</v>
      </c>
      <c r="W139">
        <f>Source!Q55</f>
        <v>0</v>
      </c>
      <c r="X139">
        <f>Source!R55</f>
        <v>0</v>
      </c>
      <c r="Y139">
        <f>Source!U55</f>
        <v>118.50749999999999</v>
      </c>
      <c r="Z139">
        <f>Source!V55</f>
        <v>0</v>
      </c>
      <c r="AA139">
        <f>Source!X55</f>
        <v>4980.28</v>
      </c>
      <c r="AB139">
        <f>Source!Y55</f>
        <v>3689.09</v>
      </c>
    </row>
    <row r="140" spans="1:28" ht="14.25" x14ac:dyDescent="0.2">
      <c r="C140" s="29" t="s">
        <v>395</v>
      </c>
      <c r="D140" s="29">
        <f>Source!BA55</f>
        <v>6.08</v>
      </c>
      <c r="F140" s="14"/>
      <c r="G140" s="14"/>
      <c r="H140" s="14"/>
    </row>
    <row r="141" spans="1:28" x14ac:dyDescent="0.2">
      <c r="C141" s="29" t="s">
        <v>396</v>
      </c>
      <c r="D141" s="29">
        <f>Source!BB55</f>
        <v>6.08</v>
      </c>
    </row>
    <row r="142" spans="1:28" x14ac:dyDescent="0.2">
      <c r="C142" s="29" t="s">
        <v>397</v>
      </c>
      <c r="D142" s="29">
        <f>Source!BC55</f>
        <v>6.08</v>
      </c>
    </row>
    <row r="143" spans="1:28" x14ac:dyDescent="0.2">
      <c r="C143" s="29" t="s">
        <v>398</v>
      </c>
      <c r="D143" s="29">
        <f>Source!BS55</f>
        <v>6.08</v>
      </c>
    </row>
    <row r="144" spans="1:28" x14ac:dyDescent="0.2">
      <c r="C144" s="29" t="s">
        <v>402</v>
      </c>
      <c r="D144" s="101" t="s">
        <v>29</v>
      </c>
      <c r="E144" s="101"/>
      <c r="F144" s="101"/>
      <c r="G144" s="101"/>
      <c r="H144" s="101"/>
    </row>
    <row r="145" spans="1:28" x14ac:dyDescent="0.2">
      <c r="C145" s="29" t="s">
        <v>403</v>
      </c>
      <c r="D145" s="101" t="s">
        <v>29</v>
      </c>
      <c r="E145" s="101"/>
      <c r="F145" s="101"/>
      <c r="G145" s="101"/>
      <c r="H145" s="101"/>
    </row>
    <row r="146" spans="1:28" x14ac:dyDescent="0.2">
      <c r="C146" s="29" t="s">
        <v>404</v>
      </c>
      <c r="D146" s="101" t="s">
        <v>30</v>
      </c>
      <c r="E146" s="101"/>
      <c r="F146" s="101"/>
      <c r="G146" s="101"/>
      <c r="H146" s="101"/>
    </row>
    <row r="147" spans="1:28" x14ac:dyDescent="0.2">
      <c r="C147" s="29" t="s">
        <v>405</v>
      </c>
      <c r="D147" s="101" t="s">
        <v>30</v>
      </c>
      <c r="E147" s="101"/>
      <c r="F147" s="101"/>
      <c r="G147" s="101"/>
      <c r="H147" s="101"/>
    </row>
    <row r="148" spans="1:28" x14ac:dyDescent="0.2">
      <c r="C148" s="29" t="s">
        <v>406</v>
      </c>
      <c r="D148" s="101" t="s">
        <v>29</v>
      </c>
      <c r="E148" s="101"/>
      <c r="F148" s="101"/>
      <c r="G148" s="101"/>
      <c r="H148" s="101"/>
    </row>
    <row r="149" spans="1:28" x14ac:dyDescent="0.2">
      <c r="C149" s="11" t="s">
        <v>399</v>
      </c>
      <c r="D149" s="40"/>
      <c r="E149" s="40"/>
      <c r="F149" s="40">
        <f>Source!BZ55</f>
        <v>90</v>
      </c>
      <c r="G149" s="65">
        <f>(Source!AF55+Source!AE55)*Source!FX55/100</f>
        <v>7.1539200000000003</v>
      </c>
      <c r="H149" s="66">
        <f>Source!X55</f>
        <v>4980.28</v>
      </c>
    </row>
    <row r="150" spans="1:28" x14ac:dyDescent="0.2">
      <c r="C150" s="11" t="s">
        <v>407</v>
      </c>
      <c r="D150" s="40"/>
      <c r="E150" s="40"/>
      <c r="F150" s="40"/>
      <c r="G150" s="40" t="str">
        <f>CONCATENATE(Source!DL55,Source!FT55, "=", Source!FX55, "%")</f>
        <v>*0,9=81%</v>
      </c>
      <c r="H150" s="40" t="str">
        <f>CONCATENATE(Source!AT55)</f>
        <v>81</v>
      </c>
    </row>
    <row r="151" spans="1:28" x14ac:dyDescent="0.2">
      <c r="C151" s="11" t="s">
        <v>400</v>
      </c>
      <c r="D151" s="40"/>
      <c r="E151" s="40"/>
      <c r="F151" s="40">
        <f>Source!CA55</f>
        <v>70</v>
      </c>
      <c r="G151" s="65">
        <f>(Source!AF55+Source!AE55)*Source!FY55/100</f>
        <v>5.2550400000000002</v>
      </c>
      <c r="H151" s="66">
        <f>Source!Y55</f>
        <v>3689.09</v>
      </c>
    </row>
    <row r="152" spans="1:28" x14ac:dyDescent="0.2">
      <c r="C152" s="11" t="s">
        <v>408</v>
      </c>
      <c r="D152" s="40"/>
      <c r="E152" s="40"/>
      <c r="F152" s="40"/>
      <c r="G152" s="40" t="str">
        <f>CONCATENATE(Source!DM55,Source!FU55, "=", Source!FY55, "%")</f>
        <v>*0,85=59,5%</v>
      </c>
      <c r="H152" s="40" t="str">
        <f>CONCATENATE(Source!AU55)</f>
        <v>60</v>
      </c>
    </row>
    <row r="153" spans="1:28" x14ac:dyDescent="0.2">
      <c r="C153" s="11" t="s">
        <v>401</v>
      </c>
      <c r="D153" s="40"/>
      <c r="E153" s="40"/>
      <c r="F153" s="40"/>
      <c r="G153" s="65">
        <f>((Source!AF55+Source!AE55)*Source!FX55/100)+((Source!AF55+Source!AE55)*Source!FY55/100)+Source!AB55</f>
        <v>21.240960000000001</v>
      </c>
      <c r="H153" s="66">
        <f>Source!O55+Source!X55+Source!Y55</f>
        <v>14817.86</v>
      </c>
    </row>
    <row r="154" spans="1:28" ht="57" x14ac:dyDescent="0.2">
      <c r="A154" s="54">
        <v>17</v>
      </c>
      <c r="B154" s="54" t="str">
        <f>Source!E57</f>
        <v>8</v>
      </c>
      <c r="C154" s="54" t="str">
        <f>Source!G57</f>
        <v>Сплошное выравнивание внутренних поверхностей (однослойное оштукатуривание) из сухих растворных смесей толщиной до 10 мм стен</v>
      </c>
      <c r="D154" s="54" t="str">
        <f>Source!F57</f>
        <v>15-02-019-03</v>
      </c>
      <c r="E154" s="37" t="str">
        <f>Source!H57</f>
        <v>100 м2</v>
      </c>
      <c r="F154" s="14">
        <f>Source!I57</f>
        <v>0.78200000000000003</v>
      </c>
      <c r="G154" s="27">
        <f>Source!AB57</f>
        <v>341.23849999999999</v>
      </c>
      <c r="H154" s="28">
        <f>Source!O57</f>
        <v>1622.44</v>
      </c>
      <c r="T154">
        <f>Source!O57+Source!X57+Source!Y57</f>
        <v>3859.28</v>
      </c>
      <c r="U154">
        <f>Source!P57</f>
        <v>5.9</v>
      </c>
      <c r="V154">
        <f>Source!S57</f>
        <v>1515.33</v>
      </c>
      <c r="W154">
        <f>Source!Q57</f>
        <v>101.21</v>
      </c>
      <c r="X154">
        <f>Source!R57</f>
        <v>59.91</v>
      </c>
      <c r="Y154">
        <f>Source!U57</f>
        <v>29.218257000000001</v>
      </c>
      <c r="Z154">
        <f>Source!V57</f>
        <v>0.90907500000000008</v>
      </c>
      <c r="AA154">
        <f>Source!X57</f>
        <v>1496.48</v>
      </c>
      <c r="AB154">
        <f>Source!Y57</f>
        <v>740.36</v>
      </c>
    </row>
    <row r="155" spans="1:28" ht="14.25" x14ac:dyDescent="0.2">
      <c r="C155" s="29" t="str">
        <f>"Объем: "&amp;Source!I57&amp;"=78,2/"&amp;"100"</f>
        <v>Объем: 0,782=78,2/100</v>
      </c>
      <c r="F155" s="14"/>
      <c r="G155" s="14"/>
      <c r="H155" s="14"/>
    </row>
    <row r="156" spans="1:28" x14ac:dyDescent="0.2">
      <c r="C156" s="29" t="s">
        <v>395</v>
      </c>
      <c r="D156" s="29">
        <f>Source!BA57</f>
        <v>6.08</v>
      </c>
    </row>
    <row r="157" spans="1:28" x14ac:dyDescent="0.2">
      <c r="C157" s="29" t="s">
        <v>396</v>
      </c>
      <c r="D157" s="29">
        <f>Source!BB57</f>
        <v>6.08</v>
      </c>
    </row>
    <row r="158" spans="1:28" x14ac:dyDescent="0.2">
      <c r="C158" s="29" t="s">
        <v>397</v>
      </c>
      <c r="D158" s="29">
        <f>Source!BC57</f>
        <v>6.08</v>
      </c>
    </row>
    <row r="159" spans="1:28" x14ac:dyDescent="0.2">
      <c r="C159" s="29" t="s">
        <v>398</v>
      </c>
      <c r="D159" s="29">
        <f>Source!BS57</f>
        <v>6.08</v>
      </c>
    </row>
    <row r="160" spans="1:28" x14ac:dyDescent="0.2">
      <c r="C160" s="29" t="s">
        <v>402</v>
      </c>
      <c r="D160" s="101" t="s">
        <v>29</v>
      </c>
      <c r="E160" s="101"/>
      <c r="F160" s="101"/>
      <c r="G160" s="101"/>
      <c r="H160" s="101"/>
    </row>
    <row r="161" spans="1:28" x14ac:dyDescent="0.2">
      <c r="C161" s="29" t="s">
        <v>403</v>
      </c>
      <c r="D161" s="101" t="s">
        <v>29</v>
      </c>
      <c r="E161" s="101"/>
      <c r="F161" s="101"/>
      <c r="G161" s="101"/>
      <c r="H161" s="101"/>
    </row>
    <row r="162" spans="1:28" x14ac:dyDescent="0.2">
      <c r="C162" s="29" t="s">
        <v>404</v>
      </c>
      <c r="D162" s="101" t="s">
        <v>30</v>
      </c>
      <c r="E162" s="101"/>
      <c r="F162" s="101"/>
      <c r="G162" s="101"/>
      <c r="H162" s="101"/>
    </row>
    <row r="163" spans="1:28" x14ac:dyDescent="0.2">
      <c r="C163" s="29" t="s">
        <v>405</v>
      </c>
      <c r="D163" s="101" t="s">
        <v>30</v>
      </c>
      <c r="E163" s="101"/>
      <c r="F163" s="101"/>
      <c r="G163" s="101"/>
      <c r="H163" s="101"/>
    </row>
    <row r="164" spans="1:28" x14ac:dyDescent="0.2">
      <c r="C164" s="29" t="s">
        <v>406</v>
      </c>
      <c r="D164" s="101" t="s">
        <v>29</v>
      </c>
      <c r="E164" s="101"/>
      <c r="F164" s="101"/>
      <c r="G164" s="101"/>
      <c r="H164" s="101"/>
    </row>
    <row r="165" spans="1:28" x14ac:dyDescent="0.2">
      <c r="C165" s="11" t="s">
        <v>399</v>
      </c>
      <c r="D165" s="40"/>
      <c r="E165" s="40"/>
      <c r="F165" s="40">
        <f>Source!BZ57</f>
        <v>105</v>
      </c>
      <c r="G165" s="65">
        <f>(Source!AF57+Source!AE57)*Source!FX57/100</f>
        <v>313.08889500000004</v>
      </c>
      <c r="H165" s="66">
        <f>Source!X57</f>
        <v>1496.48</v>
      </c>
    </row>
    <row r="166" spans="1:28" x14ac:dyDescent="0.2">
      <c r="C166" s="11" t="s">
        <v>407</v>
      </c>
      <c r="D166" s="40"/>
      <c r="E166" s="40"/>
      <c r="F166" s="40"/>
      <c r="G166" s="40" t="str">
        <f>CONCATENATE(Source!DL57,Source!FT57, "=", Source!FX57, "%")</f>
        <v>*0,9=94,5%</v>
      </c>
      <c r="H166" s="40" t="str">
        <f>CONCATENATE(Source!AT57)</f>
        <v>95</v>
      </c>
    </row>
    <row r="167" spans="1:28" x14ac:dyDescent="0.2">
      <c r="C167" s="11" t="s">
        <v>400</v>
      </c>
      <c r="D167" s="40"/>
      <c r="E167" s="40"/>
      <c r="F167" s="40">
        <f>Source!CA57</f>
        <v>55</v>
      </c>
      <c r="G167" s="65">
        <f>(Source!AF57+Source!AE57)*Source!FY57/100</f>
        <v>154.88789250000002</v>
      </c>
      <c r="H167" s="66">
        <f>Source!Y57</f>
        <v>740.36</v>
      </c>
    </row>
    <row r="168" spans="1:28" x14ac:dyDescent="0.2">
      <c r="C168" s="11" t="s">
        <v>408</v>
      </c>
      <c r="D168" s="40"/>
      <c r="E168" s="40"/>
      <c r="F168" s="40"/>
      <c r="G168" s="40" t="str">
        <f>CONCATENATE(Source!DM57,Source!FU57, "=", Source!FY57, "%")</f>
        <v>*0,85=46,75%</v>
      </c>
      <c r="H168" s="40" t="str">
        <f>CONCATENATE(Source!AU57)</f>
        <v>47</v>
      </c>
    </row>
    <row r="169" spans="1:28" x14ac:dyDescent="0.2">
      <c r="C169" s="11" t="s">
        <v>401</v>
      </c>
      <c r="D169" s="40"/>
      <c r="E169" s="40"/>
      <c r="F169" s="40"/>
      <c r="G169" s="65">
        <f>((Source!AF57+Source!AE57)*Source!FX57/100)+((Source!AF57+Source!AE57)*Source!FY57/100)+Source!AB57</f>
        <v>809.21528750000004</v>
      </c>
      <c r="H169" s="66">
        <f>Source!O57+Source!X57+Source!Y57</f>
        <v>3859.28</v>
      </c>
    </row>
    <row r="170" spans="1:28" ht="14.25" x14ac:dyDescent="0.2">
      <c r="A170" s="54">
        <v>18</v>
      </c>
      <c r="B170" s="54" t="str">
        <f>Source!E59</f>
        <v>8,1</v>
      </c>
      <c r="C170" s="54" t="str">
        <f>Source!G59</f>
        <v>Смеси на цементной основе</v>
      </c>
      <c r="D170" s="54" t="str">
        <f>Source!F59</f>
        <v>04.3.02.09</v>
      </c>
      <c r="E170" s="37" t="str">
        <f>Source!H59</f>
        <v>т</v>
      </c>
      <c r="F170" s="14">
        <f>Source!I59</f>
        <v>0.66469999999999996</v>
      </c>
      <c r="G170" s="27">
        <f>Source!AB59</f>
        <v>0</v>
      </c>
      <c r="H170" s="28">
        <f>Source!O59</f>
        <v>0</v>
      </c>
      <c r="T170">
        <f>Source!O59+Source!X59+Source!Y59</f>
        <v>0</v>
      </c>
      <c r="U170">
        <f>Source!P59</f>
        <v>0</v>
      </c>
      <c r="V170">
        <f>Source!S59</f>
        <v>0</v>
      </c>
      <c r="W170">
        <f>Source!Q59</f>
        <v>0</v>
      </c>
      <c r="X170">
        <f>Source!R59</f>
        <v>0</v>
      </c>
      <c r="Y170">
        <f>Source!U59</f>
        <v>0</v>
      </c>
      <c r="Z170">
        <f>Source!V59</f>
        <v>0</v>
      </c>
      <c r="AA170">
        <f>Source!X59</f>
        <v>0</v>
      </c>
      <c r="AB170">
        <f>Source!Y59</f>
        <v>0</v>
      </c>
    </row>
    <row r="171" spans="1:28" ht="14.25" x14ac:dyDescent="0.2">
      <c r="C171" s="29" t="s">
        <v>397</v>
      </c>
      <c r="D171" s="29">
        <f>Source!BC59</f>
        <v>6.08</v>
      </c>
      <c r="F171" s="14"/>
      <c r="G171" s="14"/>
      <c r="H171" s="14"/>
    </row>
    <row r="172" spans="1:28" ht="42.75" x14ac:dyDescent="0.2">
      <c r="A172" s="54">
        <v>19</v>
      </c>
      <c r="B172" s="54" t="str">
        <f>Source!E61</f>
        <v>8,2</v>
      </c>
      <c r="C172" s="54" t="str">
        <f>Source!G61</f>
        <v>Смесь сухая штукатурная цементно-известково-песчаная "БИРСС 15" (марка М100)</v>
      </c>
      <c r="D172" s="54" t="str">
        <f>Source!F61</f>
        <v>04.3.02.12-0002</v>
      </c>
      <c r="E172" s="37" t="str">
        <f>Source!H61</f>
        <v>т</v>
      </c>
      <c r="F172" s="14">
        <f>Source!I61</f>
        <v>0.66469999999999996</v>
      </c>
      <c r="G172" s="27">
        <f>Source!AB61</f>
        <v>931.37</v>
      </c>
      <c r="H172" s="28">
        <f>Source!O61</f>
        <v>3764.02</v>
      </c>
      <c r="T172">
        <f>Source!O61+Source!X61+Source!Y61</f>
        <v>3764.02</v>
      </c>
      <c r="U172">
        <f>Source!P61</f>
        <v>3764.02</v>
      </c>
      <c r="V172">
        <f>Source!S61</f>
        <v>0</v>
      </c>
      <c r="W172">
        <f>Source!Q61</f>
        <v>0</v>
      </c>
      <c r="X172">
        <f>Source!R61</f>
        <v>0</v>
      </c>
      <c r="Y172">
        <f>Source!U61</f>
        <v>0</v>
      </c>
      <c r="Z172">
        <f>Source!V61</f>
        <v>0</v>
      </c>
      <c r="AA172">
        <f>Source!X61</f>
        <v>0</v>
      </c>
      <c r="AB172">
        <f>Source!Y61</f>
        <v>0</v>
      </c>
    </row>
    <row r="173" spans="1:28" ht="14.25" x14ac:dyDescent="0.2">
      <c r="C173" s="29" t="s">
        <v>397</v>
      </c>
      <c r="D173" s="29">
        <f>Source!BC61</f>
        <v>6.08</v>
      </c>
      <c r="F173" s="14"/>
      <c r="G173" s="14"/>
      <c r="H173" s="14"/>
    </row>
    <row r="174" spans="1:28" ht="28.5" x14ac:dyDescent="0.2">
      <c r="A174" s="54">
        <v>20</v>
      </c>
      <c r="B174" s="54" t="str">
        <f>Source!E63</f>
        <v>8,3</v>
      </c>
      <c r="C174" s="54" t="str">
        <f>Source!G63</f>
        <v>Грунтовка: водно-дисперсионная "БИРСС Бетон-контакт"</v>
      </c>
      <c r="D174" s="54" t="str">
        <f>Source!F63</f>
        <v>14.3.01.02-0102</v>
      </c>
      <c r="E174" s="37" t="str">
        <f>Source!H63</f>
        <v>т</v>
      </c>
      <c r="F174" s="14">
        <f>Source!I63</f>
        <v>1.5599999999999999E-2</v>
      </c>
      <c r="G174" s="27">
        <f>Source!AB63</f>
        <v>18390.16</v>
      </c>
      <c r="H174" s="28">
        <f>Source!O63</f>
        <v>1744.27</v>
      </c>
      <c r="T174">
        <f>Source!O63+Source!X63+Source!Y63</f>
        <v>1744.27</v>
      </c>
      <c r="U174">
        <f>Source!P63</f>
        <v>1744.27</v>
      </c>
      <c r="V174">
        <f>Source!S63</f>
        <v>0</v>
      </c>
      <c r="W174">
        <f>Source!Q63</f>
        <v>0</v>
      </c>
      <c r="X174">
        <f>Source!R63</f>
        <v>0</v>
      </c>
      <c r="Y174">
        <f>Source!U63</f>
        <v>0</v>
      </c>
      <c r="Z174">
        <f>Source!V63</f>
        <v>0</v>
      </c>
      <c r="AA174">
        <f>Source!X63</f>
        <v>0</v>
      </c>
      <c r="AB174">
        <f>Source!Y63</f>
        <v>0</v>
      </c>
    </row>
    <row r="175" spans="1:28" ht="14.25" x14ac:dyDescent="0.2">
      <c r="C175" s="29" t="s">
        <v>397</v>
      </c>
      <c r="D175" s="29">
        <f>Source!BC63</f>
        <v>6.08</v>
      </c>
      <c r="F175" s="14"/>
      <c r="G175" s="14"/>
      <c r="H175" s="14"/>
    </row>
    <row r="176" spans="1:28" ht="42.75" x14ac:dyDescent="0.2">
      <c r="A176" s="54">
        <v>21</v>
      </c>
      <c r="B176" s="54" t="str">
        <f>Source!E65</f>
        <v>9</v>
      </c>
      <c r="C176" s="54" t="str">
        <f>Source!G65</f>
        <v>Окраска водно-дисперсионными акриловыми составами улучшенная по штукатурке стен</v>
      </c>
      <c r="D176" s="54" t="str">
        <f>Source!F65</f>
        <v>15-04-007-01</v>
      </c>
      <c r="E176" s="37" t="str">
        <f>Source!H65</f>
        <v>100 м2</v>
      </c>
      <c r="F176" s="14">
        <f>Source!I65</f>
        <v>0.78200000000000003</v>
      </c>
      <c r="G176" s="27">
        <f>Source!AB65</f>
        <v>1093.3889999999999</v>
      </c>
      <c r="H176" s="28">
        <f>Source!O65</f>
        <v>5198.58</v>
      </c>
      <c r="T176">
        <f>Source!O65+Source!X65+Source!Y65</f>
        <v>8171.11</v>
      </c>
      <c r="U176">
        <f>Source!P65</f>
        <v>3055.09</v>
      </c>
      <c r="V176">
        <f>Source!S65</f>
        <v>2081.62</v>
      </c>
      <c r="W176">
        <f>Source!Q65</f>
        <v>61.87</v>
      </c>
      <c r="X176">
        <f>Source!R65</f>
        <v>11.71</v>
      </c>
      <c r="Y176">
        <f>Source!U65</f>
        <v>39.173508000000005</v>
      </c>
      <c r="Z176">
        <f>Source!V65</f>
        <v>0.16617500000000002</v>
      </c>
      <c r="AA176">
        <f>Source!X65</f>
        <v>1988.66</v>
      </c>
      <c r="AB176">
        <f>Source!Y65</f>
        <v>983.87</v>
      </c>
    </row>
    <row r="177" spans="1:28" ht="14.25" x14ac:dyDescent="0.2">
      <c r="C177" s="29" t="str">
        <f>"Объем: "&amp;Source!I65&amp;"=78,2/"&amp;"100"</f>
        <v>Объем: 0,782=78,2/100</v>
      </c>
      <c r="F177" s="14"/>
      <c r="G177" s="14"/>
      <c r="H177" s="14"/>
    </row>
    <row r="178" spans="1:28" x14ac:dyDescent="0.2">
      <c r="C178" s="29" t="s">
        <v>395</v>
      </c>
      <c r="D178" s="29">
        <f>Source!BA65</f>
        <v>6.08</v>
      </c>
    </row>
    <row r="179" spans="1:28" x14ac:dyDescent="0.2">
      <c r="C179" s="29" t="s">
        <v>396</v>
      </c>
      <c r="D179" s="29">
        <f>Source!BB65</f>
        <v>6.08</v>
      </c>
    </row>
    <row r="180" spans="1:28" x14ac:dyDescent="0.2">
      <c r="C180" s="29" t="s">
        <v>397</v>
      </c>
      <c r="D180" s="29">
        <f>Source!BC65</f>
        <v>6.08</v>
      </c>
    </row>
    <row r="181" spans="1:28" x14ac:dyDescent="0.2">
      <c r="C181" s="29" t="s">
        <v>398</v>
      </c>
      <c r="D181" s="29">
        <f>Source!BS65</f>
        <v>6.08</v>
      </c>
    </row>
    <row r="182" spans="1:28" x14ac:dyDescent="0.2">
      <c r="C182" s="29" t="s">
        <v>402</v>
      </c>
      <c r="D182" s="101" t="s">
        <v>29</v>
      </c>
      <c r="E182" s="101"/>
      <c r="F182" s="101"/>
      <c r="G182" s="101"/>
      <c r="H182" s="101"/>
    </row>
    <row r="183" spans="1:28" x14ac:dyDescent="0.2">
      <c r="C183" s="29" t="s">
        <v>403</v>
      </c>
      <c r="D183" s="101" t="s">
        <v>29</v>
      </c>
      <c r="E183" s="101"/>
      <c r="F183" s="101"/>
      <c r="G183" s="101"/>
      <c r="H183" s="101"/>
    </row>
    <row r="184" spans="1:28" x14ac:dyDescent="0.2">
      <c r="C184" s="29" t="s">
        <v>404</v>
      </c>
      <c r="D184" s="101" t="s">
        <v>30</v>
      </c>
      <c r="E184" s="101"/>
      <c r="F184" s="101"/>
      <c r="G184" s="101"/>
      <c r="H184" s="101"/>
    </row>
    <row r="185" spans="1:28" x14ac:dyDescent="0.2">
      <c r="C185" s="29" t="s">
        <v>405</v>
      </c>
      <c r="D185" s="101" t="s">
        <v>30</v>
      </c>
      <c r="E185" s="101"/>
      <c r="F185" s="101"/>
      <c r="G185" s="101"/>
      <c r="H185" s="101"/>
    </row>
    <row r="186" spans="1:28" x14ac:dyDescent="0.2">
      <c r="C186" s="29" t="s">
        <v>406</v>
      </c>
      <c r="D186" s="101" t="s">
        <v>29</v>
      </c>
      <c r="E186" s="101"/>
      <c r="F186" s="101"/>
      <c r="G186" s="101"/>
      <c r="H186" s="101"/>
    </row>
    <row r="187" spans="1:28" x14ac:dyDescent="0.2">
      <c r="C187" s="11" t="s">
        <v>399</v>
      </c>
      <c r="D187" s="40"/>
      <c r="E187" s="40"/>
      <c r="F187" s="40">
        <f>Source!BZ65</f>
        <v>105</v>
      </c>
      <c r="G187" s="65">
        <f>(Source!AF65+Source!AE65)*Source!FX65/100</f>
        <v>416.06365499999998</v>
      </c>
      <c r="H187" s="66">
        <f>Source!X65</f>
        <v>1988.66</v>
      </c>
    </row>
    <row r="188" spans="1:28" x14ac:dyDescent="0.2">
      <c r="C188" s="11" t="s">
        <v>407</v>
      </c>
      <c r="D188" s="40"/>
      <c r="E188" s="40"/>
      <c r="F188" s="40"/>
      <c r="G188" s="40" t="str">
        <f>CONCATENATE(Source!DL65,Source!FT65, "=", Source!FX65, "%")</f>
        <v>*0,9=94,5%</v>
      </c>
      <c r="H188" s="40" t="str">
        <f>CONCATENATE(Source!AT65)</f>
        <v>95</v>
      </c>
    </row>
    <row r="189" spans="1:28" x14ac:dyDescent="0.2">
      <c r="C189" s="11" t="s">
        <v>400</v>
      </c>
      <c r="D189" s="40"/>
      <c r="E189" s="40"/>
      <c r="F189" s="40">
        <f>Source!CA65</f>
        <v>55</v>
      </c>
      <c r="G189" s="65">
        <f>(Source!AF65+Source!AE65)*Source!FY65/100</f>
        <v>205.8304325</v>
      </c>
      <c r="H189" s="66">
        <f>Source!Y65</f>
        <v>983.87</v>
      </c>
    </row>
    <row r="190" spans="1:28" x14ac:dyDescent="0.2">
      <c r="C190" s="11" t="s">
        <v>408</v>
      </c>
      <c r="D190" s="40"/>
      <c r="E190" s="40"/>
      <c r="F190" s="40"/>
      <c r="G190" s="40" t="str">
        <f>CONCATENATE(Source!DM65,Source!FU65, "=", Source!FY65, "%")</f>
        <v>*0,85=46,75%</v>
      </c>
      <c r="H190" s="40" t="str">
        <f>CONCATENATE(Source!AU65)</f>
        <v>47</v>
      </c>
    </row>
    <row r="191" spans="1:28" x14ac:dyDescent="0.2">
      <c r="C191" s="11" t="s">
        <v>401</v>
      </c>
      <c r="D191" s="40"/>
      <c r="E191" s="40"/>
      <c r="F191" s="40"/>
      <c r="G191" s="65">
        <f>((Source!AF65+Source!AE65)*Source!FX65/100)+((Source!AF65+Source!AE65)*Source!FY65/100)+Source!AB65</f>
        <v>1715.2830875</v>
      </c>
      <c r="H191" s="66">
        <f>Source!O65+Source!X65+Source!Y65</f>
        <v>8171.11</v>
      </c>
    </row>
    <row r="192" spans="1:28" ht="28.5" x14ac:dyDescent="0.2">
      <c r="A192" s="54">
        <v>22</v>
      </c>
      <c r="B192" s="54" t="str">
        <f>Source!E67</f>
        <v>9,1</v>
      </c>
      <c r="C192" s="54" t="str">
        <f>Source!G67</f>
        <v>Краска акриловая Alpina RENOVA, CAPAROL водно-дисперсионная</v>
      </c>
      <c r="D192" s="54" t="str">
        <f>Source!F67</f>
        <v>14.3.02.01-0014</v>
      </c>
      <c r="E192" s="37" t="str">
        <f>Source!H67</f>
        <v>т</v>
      </c>
      <c r="F192" s="14">
        <f>Source!I67</f>
        <v>2.3460000000000002E-2</v>
      </c>
      <c r="G192" s="27">
        <f>Source!AB67</f>
        <v>7627.37</v>
      </c>
      <c r="H192" s="28">
        <f>Source!O67</f>
        <v>1087.94</v>
      </c>
      <c r="T192">
        <f>Source!O67+Source!X67+Source!Y67</f>
        <v>1087.94</v>
      </c>
      <c r="U192">
        <f>Source!P67</f>
        <v>1087.94</v>
      </c>
      <c r="V192">
        <f>Source!S67</f>
        <v>0</v>
      </c>
      <c r="W192">
        <f>Source!Q67</f>
        <v>0</v>
      </c>
      <c r="X192">
        <f>Source!R67</f>
        <v>0</v>
      </c>
      <c r="Y192">
        <f>Source!U67</f>
        <v>0</v>
      </c>
      <c r="Z192">
        <f>Source!V67</f>
        <v>0</v>
      </c>
      <c r="AA192">
        <f>Source!X67</f>
        <v>0</v>
      </c>
      <c r="AB192">
        <f>Source!Y67</f>
        <v>0</v>
      </c>
    </row>
    <row r="193" spans="1:28" ht="14.25" x14ac:dyDescent="0.2">
      <c r="C193" s="29" t="s">
        <v>397</v>
      </c>
      <c r="D193" s="29">
        <f>Source!BC67</f>
        <v>6.08</v>
      </c>
      <c r="F193" s="14"/>
      <c r="G193" s="14"/>
      <c r="H193" s="14"/>
    </row>
    <row r="194" spans="1:28" ht="28.5" x14ac:dyDescent="0.2">
      <c r="A194" s="54">
        <v>23</v>
      </c>
      <c r="B194" s="54" t="str">
        <f>Source!E69</f>
        <v>9,2</v>
      </c>
      <c r="C194" s="54" t="str">
        <f>Source!G69</f>
        <v>Грунтовка: водно-дисперсионная "БИРСС Бетон-контакт"</v>
      </c>
      <c r="D194" s="54" t="str">
        <f>Source!F69</f>
        <v>14.3.01.02-0102</v>
      </c>
      <c r="E194" s="37" t="str">
        <f>Source!H69</f>
        <v>т</v>
      </c>
      <c r="F194" s="14">
        <f>Source!I69</f>
        <v>1.5640000000000001E-2</v>
      </c>
      <c r="G194" s="27">
        <f>Source!AB69</f>
        <v>18390.16</v>
      </c>
      <c r="H194" s="28">
        <f>Source!O69</f>
        <v>1748.74</v>
      </c>
      <c r="T194">
        <f>Source!O69+Source!X69+Source!Y69</f>
        <v>1748.74</v>
      </c>
      <c r="U194">
        <f>Source!P69</f>
        <v>1748.74</v>
      </c>
      <c r="V194">
        <f>Source!S69</f>
        <v>0</v>
      </c>
      <c r="W194">
        <f>Source!Q69</f>
        <v>0</v>
      </c>
      <c r="X194">
        <f>Source!R69</f>
        <v>0</v>
      </c>
      <c r="Y194">
        <f>Source!U69</f>
        <v>0</v>
      </c>
      <c r="Z194">
        <f>Source!V69</f>
        <v>0</v>
      </c>
      <c r="AA194">
        <f>Source!X69</f>
        <v>0</v>
      </c>
      <c r="AB194">
        <f>Source!Y69</f>
        <v>0</v>
      </c>
    </row>
    <row r="195" spans="1:28" ht="14.25" x14ac:dyDescent="0.2">
      <c r="C195" s="29" t="s">
        <v>397</v>
      </c>
      <c r="D195" s="29">
        <f>Source!BC69</f>
        <v>6.08</v>
      </c>
      <c r="F195" s="14"/>
      <c r="G195" s="14"/>
      <c r="H195" s="14"/>
    </row>
    <row r="196" spans="1:28" ht="42.75" x14ac:dyDescent="0.2">
      <c r="A196" s="54">
        <v>24</v>
      </c>
      <c r="B196" s="54" t="str">
        <f>Source!E71</f>
        <v>10</v>
      </c>
      <c r="C196" s="54" t="str">
        <f>Source!G71</f>
        <v>Окраска водно-дисперсионными акриловыми составами улучшенная по штукатурке потолков</v>
      </c>
      <c r="D196" s="54" t="str">
        <f>Source!F71</f>
        <v>15-04-007-02</v>
      </c>
      <c r="E196" s="37" t="str">
        <f>Source!H71</f>
        <v>100 м2</v>
      </c>
      <c r="F196" s="14">
        <f>Source!I71</f>
        <v>0.36299999999999999</v>
      </c>
      <c r="G196" s="27">
        <f>Source!AB71</f>
        <v>1335.1880000000001</v>
      </c>
      <c r="H196" s="28">
        <f>Source!O71</f>
        <v>2946.81</v>
      </c>
      <c r="T196">
        <f>Source!O71+Source!X71+Source!Y71</f>
        <v>4939.5</v>
      </c>
      <c r="U196">
        <f>Source!P71</f>
        <v>1518.77</v>
      </c>
      <c r="V196">
        <f>Source!S71</f>
        <v>1397.53</v>
      </c>
      <c r="W196">
        <f>Source!Q71</f>
        <v>30.51</v>
      </c>
      <c r="X196">
        <f>Source!R71</f>
        <v>5.77</v>
      </c>
      <c r="Y196">
        <f>Source!U71</f>
        <v>26.299349999999993</v>
      </c>
      <c r="Z196">
        <f>Source!V71</f>
        <v>8.1674999999999984E-2</v>
      </c>
      <c r="AA196">
        <f>Source!X71</f>
        <v>1333.14</v>
      </c>
      <c r="AB196">
        <f>Source!Y71</f>
        <v>659.55</v>
      </c>
    </row>
    <row r="197" spans="1:28" ht="14.25" x14ac:dyDescent="0.2">
      <c r="C197" s="29" t="str">
        <f>"Объем: "&amp;Source!I71&amp;"=36,3/"&amp;"100"</f>
        <v>Объем: 0,363=36,3/100</v>
      </c>
      <c r="F197" s="14"/>
      <c r="G197" s="14"/>
      <c r="H197" s="14"/>
    </row>
    <row r="198" spans="1:28" x14ac:dyDescent="0.2">
      <c r="C198" s="29" t="s">
        <v>395</v>
      </c>
      <c r="D198" s="29">
        <f>Source!BA71</f>
        <v>6.08</v>
      </c>
    </row>
    <row r="199" spans="1:28" x14ac:dyDescent="0.2">
      <c r="C199" s="29" t="s">
        <v>396</v>
      </c>
      <c r="D199" s="29">
        <f>Source!BB71</f>
        <v>6.08</v>
      </c>
    </row>
    <row r="200" spans="1:28" x14ac:dyDescent="0.2">
      <c r="C200" s="29" t="s">
        <v>397</v>
      </c>
      <c r="D200" s="29">
        <f>Source!BC71</f>
        <v>6.08</v>
      </c>
    </row>
    <row r="201" spans="1:28" x14ac:dyDescent="0.2">
      <c r="C201" s="29" t="s">
        <v>398</v>
      </c>
      <c r="D201" s="29">
        <f>Source!BS71</f>
        <v>6.08</v>
      </c>
    </row>
    <row r="202" spans="1:28" x14ac:dyDescent="0.2">
      <c r="C202" s="29" t="s">
        <v>402</v>
      </c>
      <c r="D202" s="101" t="s">
        <v>29</v>
      </c>
      <c r="E202" s="101"/>
      <c r="F202" s="101"/>
      <c r="G202" s="101"/>
      <c r="H202" s="101"/>
    </row>
    <row r="203" spans="1:28" x14ac:dyDescent="0.2">
      <c r="C203" s="29" t="s">
        <v>403</v>
      </c>
      <c r="D203" s="101" t="s">
        <v>29</v>
      </c>
      <c r="E203" s="101"/>
      <c r="F203" s="101"/>
      <c r="G203" s="101"/>
      <c r="H203" s="101"/>
    </row>
    <row r="204" spans="1:28" x14ac:dyDescent="0.2">
      <c r="C204" s="29" t="s">
        <v>404</v>
      </c>
      <c r="D204" s="101" t="s">
        <v>30</v>
      </c>
      <c r="E204" s="101"/>
      <c r="F204" s="101"/>
      <c r="G204" s="101"/>
      <c r="H204" s="101"/>
    </row>
    <row r="205" spans="1:28" x14ac:dyDescent="0.2">
      <c r="C205" s="29" t="s">
        <v>405</v>
      </c>
      <c r="D205" s="101" t="s">
        <v>30</v>
      </c>
      <c r="E205" s="101"/>
      <c r="F205" s="101"/>
      <c r="G205" s="101"/>
      <c r="H205" s="101"/>
    </row>
    <row r="206" spans="1:28" x14ac:dyDescent="0.2">
      <c r="C206" s="29" t="s">
        <v>406</v>
      </c>
      <c r="D206" s="101" t="s">
        <v>29</v>
      </c>
      <c r="E206" s="101"/>
      <c r="F206" s="101"/>
      <c r="G206" s="101"/>
      <c r="H206" s="101"/>
    </row>
    <row r="207" spans="1:28" x14ac:dyDescent="0.2">
      <c r="C207" s="11" t="s">
        <v>399</v>
      </c>
      <c r="D207" s="40"/>
      <c r="E207" s="40"/>
      <c r="F207" s="40">
        <f>Source!BZ71</f>
        <v>105</v>
      </c>
      <c r="G207" s="65">
        <f>(Source!AF71+Source!AE71)*Source!FX71/100</f>
        <v>600.85509749999994</v>
      </c>
      <c r="H207" s="66">
        <f>Source!X71</f>
        <v>1333.14</v>
      </c>
    </row>
    <row r="208" spans="1:28" x14ac:dyDescent="0.2">
      <c r="C208" s="11" t="s">
        <v>407</v>
      </c>
      <c r="D208" s="40"/>
      <c r="E208" s="40"/>
      <c r="F208" s="40"/>
      <c r="G208" s="40" t="str">
        <f>CONCATENATE(Source!DL71,Source!FT71, "=", Source!FX71, "%")</f>
        <v>*0,9=94,5%</v>
      </c>
      <c r="H208" s="40" t="str">
        <f>CONCATENATE(Source!AT71)</f>
        <v>95</v>
      </c>
    </row>
    <row r="209" spans="1:33" x14ac:dyDescent="0.2">
      <c r="C209" s="11" t="s">
        <v>400</v>
      </c>
      <c r="D209" s="40"/>
      <c r="E209" s="40"/>
      <c r="F209" s="40">
        <f>Source!CA71</f>
        <v>55</v>
      </c>
      <c r="G209" s="65">
        <f>(Source!AF71+Source!AE71)*Source!FY71/100</f>
        <v>297.24842124999998</v>
      </c>
      <c r="H209" s="66">
        <f>Source!Y71</f>
        <v>659.55</v>
      </c>
    </row>
    <row r="210" spans="1:33" x14ac:dyDescent="0.2">
      <c r="C210" s="11" t="s">
        <v>408</v>
      </c>
      <c r="D210" s="40"/>
      <c r="E210" s="40"/>
      <c r="F210" s="40"/>
      <c r="G210" s="40" t="str">
        <f>CONCATENATE(Source!DM71,Source!FU71, "=", Source!FY71, "%")</f>
        <v>*0,85=46,75%</v>
      </c>
      <c r="H210" s="40" t="str">
        <f>CONCATENATE(Source!AU71)</f>
        <v>47</v>
      </c>
    </row>
    <row r="211" spans="1:33" x14ac:dyDescent="0.2">
      <c r="C211" s="11" t="s">
        <v>401</v>
      </c>
      <c r="D211" s="40"/>
      <c r="E211" s="40"/>
      <c r="F211" s="40"/>
      <c r="G211" s="65">
        <f>((Source!AF71+Source!AE71)*Source!FX71/100)+((Source!AF71+Source!AE71)*Source!FY71/100)+Source!AB71</f>
        <v>2233.2915187500003</v>
      </c>
      <c r="H211" s="66">
        <f>Source!O71+Source!X71+Source!Y71</f>
        <v>4939.5</v>
      </c>
    </row>
    <row r="212" spans="1:33" ht="28.5" x14ac:dyDescent="0.2">
      <c r="A212" s="54">
        <v>25</v>
      </c>
      <c r="B212" s="54" t="str">
        <f>Source!E73</f>
        <v>10,1</v>
      </c>
      <c r="C212" s="54" t="str">
        <f>Source!G73</f>
        <v>Краска акриловая Alpina RENOVA, CAPAROL водно-дисперсионная</v>
      </c>
      <c r="D212" s="54" t="str">
        <f>Source!F73</f>
        <v>14.3.02.01-0014</v>
      </c>
      <c r="E212" s="37" t="str">
        <f>Source!H73</f>
        <v>т</v>
      </c>
      <c r="F212" s="14">
        <f>Source!I73</f>
        <v>1.1979E-2</v>
      </c>
      <c r="G212" s="27">
        <f>Source!AB73</f>
        <v>7627.37</v>
      </c>
      <c r="H212" s="28">
        <f>Source!O73</f>
        <v>555.52</v>
      </c>
      <c r="T212">
        <f>Source!O73+Source!X73+Source!Y73</f>
        <v>555.52</v>
      </c>
      <c r="U212">
        <f>Source!P73</f>
        <v>555.52</v>
      </c>
      <c r="V212">
        <f>Source!S73</f>
        <v>0</v>
      </c>
      <c r="W212">
        <f>Source!Q73</f>
        <v>0</v>
      </c>
      <c r="X212">
        <f>Source!R73</f>
        <v>0</v>
      </c>
      <c r="Y212">
        <f>Source!U73</f>
        <v>0</v>
      </c>
      <c r="Z212">
        <f>Source!V73</f>
        <v>0</v>
      </c>
      <c r="AA212">
        <f>Source!X73</f>
        <v>0</v>
      </c>
      <c r="AB212">
        <f>Source!Y73</f>
        <v>0</v>
      </c>
    </row>
    <row r="213" spans="1:33" ht="14.25" x14ac:dyDescent="0.2">
      <c r="C213" s="29" t="s">
        <v>397</v>
      </c>
      <c r="D213" s="29">
        <f>Source!BC73</f>
        <v>6.08</v>
      </c>
      <c r="F213" s="14"/>
      <c r="G213" s="14"/>
      <c r="H213" s="14"/>
    </row>
    <row r="214" spans="1:33" ht="28.5" x14ac:dyDescent="0.2">
      <c r="A214" s="54">
        <v>26</v>
      </c>
      <c r="B214" s="54" t="str">
        <f>Source!E75</f>
        <v>10,2</v>
      </c>
      <c r="C214" s="54" t="str">
        <f>Source!G75</f>
        <v>Грунтовка: водно-дисперсионная "БИРСС Бетон-контакт"</v>
      </c>
      <c r="D214" s="54" t="str">
        <f>Source!F75</f>
        <v>14.3.01.02-0102</v>
      </c>
      <c r="E214" s="37" t="str">
        <f>Source!H75</f>
        <v>т</v>
      </c>
      <c r="F214" s="14">
        <f>Source!I75</f>
        <v>7.986E-3</v>
      </c>
      <c r="G214" s="27">
        <f>Source!AB75</f>
        <v>18390.16</v>
      </c>
      <c r="H214" s="28">
        <f>Source!O75</f>
        <v>892.93</v>
      </c>
      <c r="T214">
        <f>Source!O75+Source!X75+Source!Y75</f>
        <v>892.93</v>
      </c>
      <c r="U214">
        <f>Source!P75</f>
        <v>892.93</v>
      </c>
      <c r="V214">
        <f>Source!S75</f>
        <v>0</v>
      </c>
      <c r="W214">
        <f>Source!Q75</f>
        <v>0</v>
      </c>
      <c r="X214">
        <f>Source!R75</f>
        <v>0</v>
      </c>
      <c r="Y214">
        <f>Source!U75</f>
        <v>0</v>
      </c>
      <c r="Z214">
        <f>Source!V75</f>
        <v>0</v>
      </c>
      <c r="AA214">
        <f>Source!X75</f>
        <v>0</v>
      </c>
      <c r="AB214">
        <f>Source!Y75</f>
        <v>0</v>
      </c>
    </row>
    <row r="215" spans="1:33" ht="14.25" x14ac:dyDescent="0.2">
      <c r="C215" s="29" t="s">
        <v>397</v>
      </c>
      <c r="D215" s="29">
        <f>Source!BC75</f>
        <v>6.08</v>
      </c>
      <c r="F215" s="14"/>
      <c r="G215" s="14"/>
      <c r="H215" s="14"/>
    </row>
    <row r="217" spans="1:33" ht="15" x14ac:dyDescent="0.25">
      <c r="A217" s="67"/>
      <c r="B217" s="67"/>
      <c r="C217" s="85" t="str">
        <f>CONCATENATE("Итого по локальной смете: ",IF(Source!G77&lt;&gt;"Новая локальная смета", Source!G77, ""))</f>
        <v xml:space="preserve">Итого по локальной смете: </v>
      </c>
      <c r="D217" s="85"/>
      <c r="E217" s="85"/>
      <c r="F217" s="85"/>
      <c r="G217" s="67"/>
      <c r="H217" s="68">
        <f>IF(SUM(T37:T216)=0, "-", SUM(T37:T216))</f>
        <v>113593.95</v>
      </c>
    </row>
    <row r="218" spans="1:33" ht="15" x14ac:dyDescent="0.25">
      <c r="A218" s="67"/>
      <c r="B218" s="67"/>
      <c r="C218" s="67"/>
      <c r="D218" s="67"/>
      <c r="E218" s="67"/>
      <c r="F218" s="67"/>
      <c r="G218" s="67"/>
      <c r="H218" s="67"/>
    </row>
    <row r="220" spans="1:33" ht="14.25" x14ac:dyDescent="0.2">
      <c r="C220" s="97" t="str">
        <f>Source!H105</f>
        <v>Всего</v>
      </c>
      <c r="D220" s="97"/>
      <c r="E220" s="97"/>
      <c r="F220" s="97"/>
      <c r="G220" s="88">
        <f>IF(Source!P105=0, "", Source!P105)</f>
        <v>113593.95</v>
      </c>
      <c r="H220" s="88"/>
    </row>
    <row r="221" spans="1:33" ht="14.25" x14ac:dyDescent="0.2">
      <c r="C221" s="97" t="str">
        <f>Source!H106</f>
        <v>Итого НДС 18%</v>
      </c>
      <c r="D221" s="97"/>
      <c r="E221" s="97"/>
      <c r="F221" s="97"/>
      <c r="G221" s="88">
        <f>IF(Source!P106=0, "", Source!P106)</f>
        <v>20446.91</v>
      </c>
      <c r="H221" s="88"/>
    </row>
    <row r="222" spans="1:33" ht="14.25" x14ac:dyDescent="0.2">
      <c r="C222" s="97" t="str">
        <f>Source!H107</f>
        <v>Всего по смете</v>
      </c>
      <c r="D222" s="97"/>
      <c r="E222" s="97"/>
      <c r="F222" s="97"/>
      <c r="G222" s="88">
        <f>IF(Source!P107=0, "", Source!P107)</f>
        <v>134040.85999999999</v>
      </c>
      <c r="H222" s="88"/>
    </row>
    <row r="224" spans="1:33" ht="30" x14ac:dyDescent="0.25">
      <c r="A224" s="67"/>
      <c r="B224" s="67"/>
      <c r="C224" s="85" t="str">
        <f>CONCATENATE("Итого по смете: ",IF(Source!G109&lt;&gt;"Новый объект", Source!G109, ""))</f>
        <v>Итого по смете: Капитальный ремонт помещения №36 ОТИ НИЯУ МИФИ</v>
      </c>
      <c r="D224" s="85"/>
      <c r="E224" s="85"/>
      <c r="F224" s="85"/>
      <c r="G224" s="67"/>
      <c r="H224" s="68">
        <f>IF(SUM(T1:T223)=0, "-", SUM(T1:T223))</f>
        <v>113593.95</v>
      </c>
      <c r="AG224" s="58" t="str">
        <f>CONCATENATE("Итого по смете: ",IF(Source!G109&lt;&gt;"Новый объект", Source!G109, ""))</f>
        <v>Итого по смете: Капитальный ремонт помещения №36 ОТИ НИЯУ МИФИ</v>
      </c>
    </row>
    <row r="225" spans="1:12" ht="15" x14ac:dyDescent="0.25">
      <c r="A225" s="67"/>
      <c r="B225" s="67"/>
      <c r="C225" s="67"/>
      <c r="D225" s="67"/>
      <c r="E225" s="67"/>
      <c r="F225" s="67"/>
      <c r="G225" s="67"/>
      <c r="H225" s="67"/>
    </row>
    <row r="226" spans="1:12" ht="14.25" x14ac:dyDescent="0.2">
      <c r="C226" s="97" t="str">
        <f>Source!H137</f>
        <v>Всего</v>
      </c>
      <c r="D226" s="97"/>
      <c r="E226" s="97"/>
      <c r="F226" s="97"/>
      <c r="G226" s="88">
        <f>IF(Source!P137=0, "", Source!P137)</f>
        <v>113593.95</v>
      </c>
      <c r="H226" s="88"/>
    </row>
    <row r="227" spans="1:12" ht="14.25" x14ac:dyDescent="0.2">
      <c r="C227" s="97" t="str">
        <f>Source!H138</f>
        <v>Итого НДС 18%</v>
      </c>
      <c r="D227" s="97"/>
      <c r="E227" s="97"/>
      <c r="F227" s="97"/>
      <c r="G227" s="88">
        <f>IF(Source!P138=0, "", Source!P138)</f>
        <v>20446.91</v>
      </c>
      <c r="H227" s="88"/>
    </row>
    <row r="228" spans="1:12" ht="14.25" x14ac:dyDescent="0.2">
      <c r="C228" s="97" t="str">
        <f>Source!H139</f>
        <v>Всего по смете</v>
      </c>
      <c r="D228" s="97"/>
      <c r="E228" s="97"/>
      <c r="F228" s="97"/>
      <c r="G228" s="88">
        <f>IF(Source!P139=0, "", Source!P139)</f>
        <v>134040.85999999999</v>
      </c>
      <c r="H228" s="88"/>
    </row>
    <row r="231" spans="1:12" ht="15" thickBot="1" x14ac:dyDescent="0.25">
      <c r="A231" s="98" t="s">
        <v>410</v>
      </c>
      <c r="B231" s="98"/>
      <c r="C231" s="69" t="str">
        <f>IF(Source!AC12&lt;&gt;"", Source!AC12," ")</f>
        <v xml:space="preserve"> </v>
      </c>
      <c r="D231" s="14"/>
      <c r="E231" s="70"/>
      <c r="F231" s="14"/>
      <c r="G231" s="99" t="str">
        <f>IF(Source!AB12&lt;&gt;"", Source!AB12," ")</f>
        <v xml:space="preserve"> </v>
      </c>
      <c r="H231" s="99"/>
      <c r="I231" s="14"/>
      <c r="J231" s="14"/>
      <c r="K231" s="14"/>
      <c r="L231" s="14"/>
    </row>
    <row r="232" spans="1:12" ht="14.25" x14ac:dyDescent="0.2">
      <c r="A232" s="14"/>
      <c r="B232" s="14"/>
      <c r="C232" s="71" t="s">
        <v>411</v>
      </c>
      <c r="D232" s="14"/>
      <c r="E232" s="71" t="s">
        <v>412</v>
      </c>
      <c r="F232" s="14"/>
      <c r="G232" s="100" t="s">
        <v>413</v>
      </c>
      <c r="H232" s="100"/>
      <c r="I232" s="14"/>
      <c r="J232" s="14"/>
      <c r="K232" s="14"/>
      <c r="L232" s="14"/>
    </row>
    <row r="233" spans="1:12" ht="14.25" x14ac:dyDescent="0.2">
      <c r="A233" s="14"/>
      <c r="B233" s="14"/>
      <c r="C233" s="14"/>
      <c r="D233" s="14"/>
      <c r="E233" s="14"/>
      <c r="F233" s="14"/>
      <c r="G233" s="14"/>
      <c r="H233" s="14"/>
      <c r="I233" s="14"/>
      <c r="J233" s="14"/>
      <c r="K233" s="14"/>
      <c r="L233" s="14"/>
    </row>
    <row r="234" spans="1:12" ht="14.25" x14ac:dyDescent="0.2">
      <c r="A234" s="14"/>
      <c r="B234" s="14"/>
      <c r="C234" s="18" t="s">
        <v>414</v>
      </c>
      <c r="D234" s="14"/>
      <c r="E234" s="14"/>
      <c r="F234" s="14"/>
      <c r="G234" s="14"/>
      <c r="H234" s="14"/>
      <c r="I234" s="14"/>
      <c r="J234" s="14"/>
      <c r="K234" s="14"/>
      <c r="L234" s="14"/>
    </row>
    <row r="235" spans="1:12" ht="14.25" x14ac:dyDescent="0.2">
      <c r="A235" s="14"/>
      <c r="B235" s="14"/>
      <c r="C235" s="14"/>
      <c r="D235" s="14"/>
      <c r="E235" s="14"/>
      <c r="F235" s="14"/>
      <c r="G235" s="14"/>
      <c r="H235" s="14"/>
      <c r="I235" s="14"/>
      <c r="J235" s="14"/>
      <c r="K235" s="14"/>
      <c r="L235" s="14"/>
    </row>
    <row r="236" spans="1:12" ht="15" thickBot="1" x14ac:dyDescent="0.25">
      <c r="A236" s="98" t="s">
        <v>415</v>
      </c>
      <c r="B236" s="98"/>
      <c r="C236" s="69" t="str">
        <f>IF(Source!AG12&lt;&gt;"", Source!AG12," ")</f>
        <v xml:space="preserve"> </v>
      </c>
      <c r="D236" s="14"/>
      <c r="E236" s="70"/>
      <c r="F236" s="14"/>
      <c r="G236" s="99" t="str">
        <f>IF(Source!AF12&lt;&gt;"", Source!AF12," ")</f>
        <v xml:space="preserve"> </v>
      </c>
      <c r="H236" s="99"/>
      <c r="I236" s="14"/>
      <c r="J236" s="14"/>
      <c r="K236" s="14"/>
      <c r="L236" s="14"/>
    </row>
    <row r="237" spans="1:12" ht="14.25" x14ac:dyDescent="0.2">
      <c r="A237" s="14"/>
      <c r="B237" s="14"/>
      <c r="C237" s="71" t="s">
        <v>411</v>
      </c>
      <c r="D237" s="14"/>
      <c r="E237" s="71" t="s">
        <v>412</v>
      </c>
      <c r="F237" s="14"/>
      <c r="G237" s="100" t="s">
        <v>413</v>
      </c>
      <c r="H237" s="100"/>
      <c r="I237" s="14"/>
      <c r="J237" s="14"/>
      <c r="K237" s="14"/>
      <c r="L237" s="14"/>
    </row>
    <row r="238" spans="1:12" ht="14.25" x14ac:dyDescent="0.2">
      <c r="A238" s="14"/>
      <c r="B238" s="14"/>
      <c r="C238" s="14"/>
      <c r="D238" s="14"/>
      <c r="E238" s="14"/>
      <c r="F238" s="14"/>
      <c r="G238" s="14"/>
      <c r="H238" s="14"/>
      <c r="I238" s="14"/>
      <c r="J238" s="14"/>
      <c r="K238" s="14"/>
      <c r="L238" s="14"/>
    </row>
    <row r="239" spans="1:12" ht="14.25" x14ac:dyDescent="0.2">
      <c r="A239" s="14"/>
      <c r="B239" s="14"/>
      <c r="C239" s="18" t="s">
        <v>414</v>
      </c>
      <c r="D239" s="14"/>
      <c r="E239" s="14"/>
      <c r="F239" s="14"/>
      <c r="G239" s="14"/>
      <c r="H239" s="14"/>
      <c r="I239" s="14"/>
      <c r="J239" s="14"/>
      <c r="K239" s="14"/>
      <c r="L239" s="14"/>
    </row>
  </sheetData>
  <mergeCells count="99">
    <mergeCell ref="G8:H9"/>
    <mergeCell ref="C9:E9"/>
    <mergeCell ref="E2:H2"/>
    <mergeCell ref="E3:H3"/>
    <mergeCell ref="E4:H4"/>
    <mergeCell ref="G6:H6"/>
    <mergeCell ref="G7:H7"/>
    <mergeCell ref="C10:E10"/>
    <mergeCell ref="G10:H11"/>
    <mergeCell ref="C11:E11"/>
    <mergeCell ref="C12:E12"/>
    <mergeCell ref="G12:H13"/>
    <mergeCell ref="C13:E13"/>
    <mergeCell ref="C14:E14"/>
    <mergeCell ref="G14:H15"/>
    <mergeCell ref="C15:E15"/>
    <mergeCell ref="C16:E16"/>
    <mergeCell ref="G16:H17"/>
    <mergeCell ref="C17:E17"/>
    <mergeCell ref="A29:H29"/>
    <mergeCell ref="C18:E18"/>
    <mergeCell ref="D19:F19"/>
    <mergeCell ref="G19:H19"/>
    <mergeCell ref="D20:E20"/>
    <mergeCell ref="G20:H20"/>
    <mergeCell ref="G21:H21"/>
    <mergeCell ref="G22:H22"/>
    <mergeCell ref="D24:D25"/>
    <mergeCell ref="E24:E25"/>
    <mergeCell ref="F24:G24"/>
    <mergeCell ref="A28:H28"/>
    <mergeCell ref="F31:G31"/>
    <mergeCell ref="A33:B33"/>
    <mergeCell ref="C33:C34"/>
    <mergeCell ref="D33:D34"/>
    <mergeCell ref="E33:E34"/>
    <mergeCell ref="F33:H33"/>
    <mergeCell ref="D83:H83"/>
    <mergeCell ref="A37:H37"/>
    <mergeCell ref="D62:H62"/>
    <mergeCell ref="D63:H63"/>
    <mergeCell ref="D64:H64"/>
    <mergeCell ref="D65:H65"/>
    <mergeCell ref="D66:H66"/>
    <mergeCell ref="D78:H78"/>
    <mergeCell ref="D79:H79"/>
    <mergeCell ref="D80:H80"/>
    <mergeCell ref="D81:H81"/>
    <mergeCell ref="D82:H82"/>
    <mergeCell ref="D145:H145"/>
    <mergeCell ref="D95:H95"/>
    <mergeCell ref="D96:H96"/>
    <mergeCell ref="D97:H97"/>
    <mergeCell ref="D98:H98"/>
    <mergeCell ref="D99:H99"/>
    <mergeCell ref="D117:H117"/>
    <mergeCell ref="D118:H118"/>
    <mergeCell ref="D119:H119"/>
    <mergeCell ref="D120:H120"/>
    <mergeCell ref="D121:H121"/>
    <mergeCell ref="D144:H144"/>
    <mergeCell ref="D185:H185"/>
    <mergeCell ref="D146:H146"/>
    <mergeCell ref="D147:H147"/>
    <mergeCell ref="D148:H148"/>
    <mergeCell ref="D160:H160"/>
    <mergeCell ref="D161:H161"/>
    <mergeCell ref="D162:H162"/>
    <mergeCell ref="D163:H163"/>
    <mergeCell ref="D164:H164"/>
    <mergeCell ref="D182:H182"/>
    <mergeCell ref="D183:H183"/>
    <mergeCell ref="D184:H184"/>
    <mergeCell ref="C222:F222"/>
    <mergeCell ref="G222:H222"/>
    <mergeCell ref="D186:H186"/>
    <mergeCell ref="D202:H202"/>
    <mergeCell ref="D203:H203"/>
    <mergeCell ref="D204:H204"/>
    <mergeCell ref="D205:H205"/>
    <mergeCell ref="D206:H206"/>
    <mergeCell ref="C217:F217"/>
    <mergeCell ref="C220:F220"/>
    <mergeCell ref="G220:H220"/>
    <mergeCell ref="C221:F221"/>
    <mergeCell ref="G221:H221"/>
    <mergeCell ref="G237:H237"/>
    <mergeCell ref="C224:F224"/>
    <mergeCell ref="C226:F226"/>
    <mergeCell ref="G226:H226"/>
    <mergeCell ref="C227:F227"/>
    <mergeCell ref="G227:H227"/>
    <mergeCell ref="C228:F228"/>
    <mergeCell ref="G228:H228"/>
    <mergeCell ref="A231:B231"/>
    <mergeCell ref="G231:H231"/>
    <mergeCell ref="G232:H232"/>
    <mergeCell ref="A236:B236"/>
    <mergeCell ref="G236:H236"/>
  </mergeCells>
  <pageMargins left="0.4" right="0.2" top="0.4" bottom="0.4" header="0.2" footer="0.2"/>
  <pageSetup paperSize="9" scale="85" fitToHeight="0" orientation="portrait" r:id="rId1"/>
  <headerFooter>
    <oddHeader>&amp;L&amp;8НИЯУ МИФИ  Доп. раб. место  MCCS-0027251</oddHeader>
    <oddFooter>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76"/>
  <sheetViews>
    <sheetView workbookViewId="0">
      <selection activeCell="A172" sqref="A172:AH172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27251</v>
      </c>
      <c r="M1">
        <v>10</v>
      </c>
    </row>
    <row r="12" spans="1:133" x14ac:dyDescent="0.2">
      <c r="A12" s="1">
        <v>1</v>
      </c>
      <c r="B12" s="1">
        <v>170</v>
      </c>
      <c r="C12" s="1">
        <v>0</v>
      </c>
      <c r="D12" s="1">
        <f>ROW(A109)</f>
        <v>109</v>
      </c>
      <c r="E12" s="1">
        <v>0</v>
      </c>
      <c r="F12" s="1" t="s">
        <v>4</v>
      </c>
      <c r="G12" s="1" t="s">
        <v>5</v>
      </c>
      <c r="H12" s="1" t="s">
        <v>4</v>
      </c>
      <c r="I12" s="1">
        <v>0</v>
      </c>
      <c r="J12" s="1" t="s">
        <v>4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/>
      <c r="U12" s="1" t="s">
        <v>4</v>
      </c>
      <c r="V12" s="1">
        <v>0</v>
      </c>
      <c r="W12" s="1" t="s">
        <v>4</v>
      </c>
      <c r="X12" s="1" t="s">
        <v>4</v>
      </c>
      <c r="Y12" s="1" t="s">
        <v>4</v>
      </c>
      <c r="Z12" s="1" t="s">
        <v>4</v>
      </c>
      <c r="AA12" s="1" t="s">
        <v>4</v>
      </c>
      <c r="AB12" s="1" t="s">
        <v>4</v>
      </c>
      <c r="AC12" s="1" t="s">
        <v>4</v>
      </c>
      <c r="AD12" s="1" t="s">
        <v>4</v>
      </c>
      <c r="AE12" s="1" t="s">
        <v>4</v>
      </c>
      <c r="AF12" s="1" t="s">
        <v>4</v>
      </c>
      <c r="AG12" s="1" t="s">
        <v>4</v>
      </c>
      <c r="AH12" s="1" t="s">
        <v>4</v>
      </c>
      <c r="AI12" s="1" t="s">
        <v>4</v>
      </c>
      <c r="AJ12" s="1" t="s">
        <v>4</v>
      </c>
      <c r="AK12" s="1"/>
      <c r="AL12" s="1" t="s">
        <v>4</v>
      </c>
      <c r="AM12" s="1" t="s">
        <v>4</v>
      </c>
      <c r="AN12" s="1" t="s">
        <v>4</v>
      </c>
      <c r="AO12" s="1"/>
      <c r="AP12" s="1" t="s">
        <v>4</v>
      </c>
      <c r="AQ12" s="1" t="s">
        <v>4</v>
      </c>
      <c r="AR12" s="1" t="s">
        <v>4</v>
      </c>
      <c r="AS12" s="1"/>
      <c r="AT12" s="1"/>
      <c r="AU12" s="1"/>
      <c r="AV12" s="1"/>
      <c r="AW12" s="1"/>
      <c r="AX12" s="1" t="s">
        <v>4</v>
      </c>
      <c r="AY12" s="1" t="s">
        <v>4</v>
      </c>
      <c r="AZ12" s="1" t="s">
        <v>4</v>
      </c>
      <c r="BA12" s="1"/>
      <c r="BB12" s="1"/>
      <c r="BC12" s="1"/>
      <c r="BD12" s="1"/>
      <c r="BE12" s="1"/>
      <c r="BF12" s="1"/>
      <c r="BG12" s="1"/>
      <c r="BH12" s="1" t="s">
        <v>6</v>
      </c>
      <c r="BI12" s="1" t="s">
        <v>7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8</v>
      </c>
      <c r="BZ12" s="1" t="s">
        <v>9</v>
      </c>
      <c r="CA12" s="1" t="s">
        <v>8</v>
      </c>
      <c r="CB12" s="1" t="s">
        <v>8</v>
      </c>
      <c r="CC12" s="1" t="s">
        <v>8</v>
      </c>
      <c r="CD12" s="1" t="s">
        <v>8</v>
      </c>
      <c r="CE12" s="1" t="s">
        <v>10</v>
      </c>
      <c r="CF12" s="1">
        <v>0</v>
      </c>
      <c r="CG12" s="1">
        <v>0</v>
      </c>
      <c r="CH12" s="1">
        <v>524296</v>
      </c>
      <c r="CI12" s="1" t="s">
        <v>4</v>
      </c>
      <c r="CJ12" s="1" t="s">
        <v>4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55" x14ac:dyDescent="0.2">
      <c r="A18" s="3">
        <v>52</v>
      </c>
      <c r="B18" s="3">
        <f t="shared" ref="B18:G18" si="0">B109</f>
        <v>170</v>
      </c>
      <c r="C18" s="3">
        <f t="shared" si="0"/>
        <v>1</v>
      </c>
      <c r="D18" s="3">
        <f t="shared" si="0"/>
        <v>12</v>
      </c>
      <c r="E18" s="3">
        <f t="shared" si="0"/>
        <v>0</v>
      </c>
      <c r="F18" s="3" t="str">
        <f t="shared" si="0"/>
        <v/>
      </c>
      <c r="G18" s="3" t="str">
        <f t="shared" si="0"/>
        <v>Капитальный ремонт помещения №36 ОТИ НИЯУ МИФИ</v>
      </c>
      <c r="H18" s="3"/>
      <c r="I18" s="3"/>
      <c r="J18" s="3"/>
      <c r="K18" s="3"/>
      <c r="L18" s="3"/>
      <c r="M18" s="3"/>
      <c r="N18" s="3"/>
      <c r="O18" s="3">
        <f t="shared" ref="O18:AT18" si="1">O109</f>
        <v>15406.32</v>
      </c>
      <c r="P18" s="3">
        <f t="shared" si="1"/>
        <v>13134.48</v>
      </c>
      <c r="Q18" s="3">
        <f t="shared" si="1"/>
        <v>59.39</v>
      </c>
      <c r="R18" s="3">
        <f t="shared" si="1"/>
        <v>19.95</v>
      </c>
      <c r="S18" s="3">
        <f t="shared" si="1"/>
        <v>2212.4499999999998</v>
      </c>
      <c r="T18" s="3">
        <f t="shared" si="1"/>
        <v>0</v>
      </c>
      <c r="U18" s="3">
        <f t="shared" si="1"/>
        <v>258.46641549999998</v>
      </c>
      <c r="V18" s="3">
        <f t="shared" si="1"/>
        <v>1.7466025000000001</v>
      </c>
      <c r="W18" s="3">
        <f t="shared" si="1"/>
        <v>0</v>
      </c>
      <c r="X18" s="3">
        <f t="shared" si="1"/>
        <v>2028.81</v>
      </c>
      <c r="Y18" s="3">
        <f t="shared" si="1"/>
        <v>1248.08</v>
      </c>
      <c r="Z18" s="3">
        <f t="shared" si="1"/>
        <v>0</v>
      </c>
      <c r="AA18" s="3">
        <f t="shared" si="1"/>
        <v>0</v>
      </c>
      <c r="AB18" s="3">
        <f t="shared" si="1"/>
        <v>0</v>
      </c>
      <c r="AC18" s="3">
        <f t="shared" si="1"/>
        <v>0</v>
      </c>
      <c r="AD18" s="3">
        <f t="shared" si="1"/>
        <v>0</v>
      </c>
      <c r="AE18" s="3">
        <f t="shared" si="1"/>
        <v>0</v>
      </c>
      <c r="AF18" s="3">
        <f t="shared" si="1"/>
        <v>0</v>
      </c>
      <c r="AG18" s="3">
        <f t="shared" si="1"/>
        <v>0</v>
      </c>
      <c r="AH18" s="3">
        <f t="shared" si="1"/>
        <v>0</v>
      </c>
      <c r="AI18" s="3">
        <f t="shared" si="1"/>
        <v>0</v>
      </c>
      <c r="AJ18" s="3">
        <f t="shared" si="1"/>
        <v>0</v>
      </c>
      <c r="AK18" s="3">
        <f t="shared" si="1"/>
        <v>0</v>
      </c>
      <c r="AL18" s="3">
        <f t="shared" si="1"/>
        <v>0</v>
      </c>
      <c r="AM18" s="3">
        <f t="shared" si="1"/>
        <v>0</v>
      </c>
      <c r="AN18" s="3">
        <f t="shared" si="1"/>
        <v>0</v>
      </c>
      <c r="AO18" s="3">
        <f t="shared" si="1"/>
        <v>0</v>
      </c>
      <c r="AP18" s="3">
        <f t="shared" si="1"/>
        <v>0</v>
      </c>
      <c r="AQ18" s="3">
        <f t="shared" si="1"/>
        <v>0</v>
      </c>
      <c r="AR18" s="3">
        <f t="shared" si="1"/>
        <v>18683.21</v>
      </c>
      <c r="AS18" s="3">
        <f t="shared" si="1"/>
        <v>18683.21</v>
      </c>
      <c r="AT18" s="3">
        <f t="shared" si="1"/>
        <v>0</v>
      </c>
      <c r="AU18" s="3">
        <f t="shared" ref="AU18:BZ18" si="2">AU109</f>
        <v>0</v>
      </c>
      <c r="AV18" s="3">
        <f t="shared" si="2"/>
        <v>13134.48</v>
      </c>
      <c r="AW18" s="3">
        <f t="shared" si="2"/>
        <v>13134.48</v>
      </c>
      <c r="AX18" s="3">
        <f t="shared" si="2"/>
        <v>0</v>
      </c>
      <c r="AY18" s="3">
        <f t="shared" si="2"/>
        <v>13134.48</v>
      </c>
      <c r="AZ18" s="3">
        <f t="shared" si="2"/>
        <v>0</v>
      </c>
      <c r="BA18" s="3">
        <f t="shared" si="2"/>
        <v>0</v>
      </c>
      <c r="BB18" s="3">
        <f t="shared" si="2"/>
        <v>0</v>
      </c>
      <c r="BC18" s="3">
        <f t="shared" si="2"/>
        <v>0</v>
      </c>
      <c r="BD18" s="3">
        <f t="shared" si="2"/>
        <v>0</v>
      </c>
      <c r="BE18" s="3">
        <f t="shared" si="2"/>
        <v>0</v>
      </c>
      <c r="BF18" s="3">
        <f t="shared" si="2"/>
        <v>0</v>
      </c>
      <c r="BG18" s="3">
        <f t="shared" si="2"/>
        <v>0</v>
      </c>
      <c r="BH18" s="3">
        <f t="shared" si="2"/>
        <v>0</v>
      </c>
      <c r="BI18" s="3">
        <f t="shared" si="2"/>
        <v>0</v>
      </c>
      <c r="BJ18" s="3">
        <f t="shared" si="2"/>
        <v>0</v>
      </c>
      <c r="BK18" s="3">
        <f t="shared" si="2"/>
        <v>0</v>
      </c>
      <c r="BL18" s="3">
        <f t="shared" si="2"/>
        <v>0</v>
      </c>
      <c r="BM18" s="3">
        <f t="shared" si="2"/>
        <v>0</v>
      </c>
      <c r="BN18" s="3">
        <f t="shared" si="2"/>
        <v>0</v>
      </c>
      <c r="BO18" s="3">
        <f t="shared" si="2"/>
        <v>0</v>
      </c>
      <c r="BP18" s="3">
        <f t="shared" si="2"/>
        <v>0</v>
      </c>
      <c r="BQ18" s="3">
        <f t="shared" si="2"/>
        <v>0</v>
      </c>
      <c r="BR18" s="3">
        <f t="shared" si="2"/>
        <v>0</v>
      </c>
      <c r="BS18" s="3">
        <f t="shared" si="2"/>
        <v>0</v>
      </c>
      <c r="BT18" s="3">
        <f t="shared" si="2"/>
        <v>0</v>
      </c>
      <c r="BU18" s="3">
        <f t="shared" si="2"/>
        <v>0</v>
      </c>
      <c r="BV18" s="3">
        <f t="shared" si="2"/>
        <v>0</v>
      </c>
      <c r="BW18" s="3">
        <f t="shared" si="2"/>
        <v>0</v>
      </c>
      <c r="BX18" s="3">
        <f t="shared" si="2"/>
        <v>0</v>
      </c>
      <c r="BY18" s="3">
        <f t="shared" si="2"/>
        <v>0</v>
      </c>
      <c r="BZ18" s="3">
        <f t="shared" si="2"/>
        <v>0</v>
      </c>
      <c r="CA18" s="3">
        <f t="shared" ref="CA18:DF18" si="3">CA109</f>
        <v>0</v>
      </c>
      <c r="CB18" s="3">
        <f t="shared" si="3"/>
        <v>0</v>
      </c>
      <c r="CC18" s="3">
        <f t="shared" si="3"/>
        <v>0</v>
      </c>
      <c r="CD18" s="3">
        <f t="shared" si="3"/>
        <v>0</v>
      </c>
      <c r="CE18" s="3">
        <f t="shared" si="3"/>
        <v>0</v>
      </c>
      <c r="CF18" s="3">
        <f t="shared" si="3"/>
        <v>0</v>
      </c>
      <c r="CG18" s="3">
        <f t="shared" si="3"/>
        <v>0</v>
      </c>
      <c r="CH18" s="3">
        <f t="shared" si="3"/>
        <v>0</v>
      </c>
      <c r="CI18" s="3">
        <f t="shared" si="3"/>
        <v>0</v>
      </c>
      <c r="CJ18" s="3">
        <f t="shared" si="3"/>
        <v>0</v>
      </c>
      <c r="CK18" s="3">
        <f t="shared" si="3"/>
        <v>0</v>
      </c>
      <c r="CL18" s="3">
        <f t="shared" si="3"/>
        <v>0</v>
      </c>
      <c r="CM18" s="3">
        <f t="shared" si="3"/>
        <v>0</v>
      </c>
      <c r="CN18" s="3">
        <f t="shared" si="3"/>
        <v>0</v>
      </c>
      <c r="CO18" s="3">
        <f t="shared" si="3"/>
        <v>0</v>
      </c>
      <c r="CP18" s="3">
        <f t="shared" si="3"/>
        <v>0</v>
      </c>
      <c r="CQ18" s="3">
        <f t="shared" si="3"/>
        <v>0</v>
      </c>
      <c r="CR18" s="3">
        <f t="shared" si="3"/>
        <v>0</v>
      </c>
      <c r="CS18" s="3">
        <f t="shared" si="3"/>
        <v>0</v>
      </c>
      <c r="CT18" s="3">
        <f t="shared" si="3"/>
        <v>0</v>
      </c>
      <c r="CU18" s="3">
        <f t="shared" si="3"/>
        <v>0</v>
      </c>
      <c r="CV18" s="3">
        <f t="shared" si="3"/>
        <v>0</v>
      </c>
      <c r="CW18" s="3">
        <f t="shared" si="3"/>
        <v>0</v>
      </c>
      <c r="CX18" s="3">
        <f t="shared" si="3"/>
        <v>0</v>
      </c>
      <c r="CY18" s="3">
        <f t="shared" si="3"/>
        <v>0</v>
      </c>
      <c r="CZ18" s="3">
        <f t="shared" si="3"/>
        <v>0</v>
      </c>
      <c r="DA18" s="3">
        <f t="shared" si="3"/>
        <v>0</v>
      </c>
      <c r="DB18" s="3">
        <f t="shared" si="3"/>
        <v>0</v>
      </c>
      <c r="DC18" s="3">
        <f t="shared" si="3"/>
        <v>0</v>
      </c>
      <c r="DD18" s="3">
        <f t="shared" si="3"/>
        <v>0</v>
      </c>
      <c r="DE18" s="3">
        <f t="shared" si="3"/>
        <v>0</v>
      </c>
      <c r="DF18" s="3">
        <f t="shared" si="3"/>
        <v>0</v>
      </c>
      <c r="DG18" s="4">
        <f t="shared" ref="DG18:EL18" si="4">DG109</f>
        <v>93670.45</v>
      </c>
      <c r="DH18" s="4">
        <f t="shared" si="4"/>
        <v>79857.66</v>
      </c>
      <c r="DI18" s="4">
        <f t="shared" si="4"/>
        <v>361.03</v>
      </c>
      <c r="DJ18" s="4">
        <f t="shared" si="4"/>
        <v>121.32</v>
      </c>
      <c r="DK18" s="4">
        <f t="shared" si="4"/>
        <v>13451.76</v>
      </c>
      <c r="DL18" s="4">
        <f t="shared" si="4"/>
        <v>0</v>
      </c>
      <c r="DM18" s="4">
        <f t="shared" si="4"/>
        <v>258.46641549999998</v>
      </c>
      <c r="DN18" s="4">
        <f t="shared" si="4"/>
        <v>1.7466025000000001</v>
      </c>
      <c r="DO18" s="4">
        <f t="shared" si="4"/>
        <v>0</v>
      </c>
      <c r="DP18" s="4">
        <f t="shared" si="4"/>
        <v>12335.23</v>
      </c>
      <c r="DQ18" s="4">
        <f t="shared" si="4"/>
        <v>7588.27</v>
      </c>
      <c r="DR18" s="4">
        <f t="shared" si="4"/>
        <v>0</v>
      </c>
      <c r="DS18" s="4">
        <f t="shared" si="4"/>
        <v>0</v>
      </c>
      <c r="DT18" s="4">
        <f t="shared" si="4"/>
        <v>0</v>
      </c>
      <c r="DU18" s="4">
        <f t="shared" si="4"/>
        <v>0</v>
      </c>
      <c r="DV18" s="4">
        <f t="shared" si="4"/>
        <v>0</v>
      </c>
      <c r="DW18" s="4">
        <f t="shared" si="4"/>
        <v>0</v>
      </c>
      <c r="DX18" s="4">
        <f t="shared" si="4"/>
        <v>0</v>
      </c>
      <c r="DY18" s="4">
        <f t="shared" si="4"/>
        <v>0</v>
      </c>
      <c r="DZ18" s="4">
        <f t="shared" si="4"/>
        <v>0</v>
      </c>
      <c r="EA18" s="4">
        <f t="shared" si="4"/>
        <v>0</v>
      </c>
      <c r="EB18" s="4">
        <f t="shared" si="4"/>
        <v>0</v>
      </c>
      <c r="EC18" s="4">
        <f t="shared" si="4"/>
        <v>0</v>
      </c>
      <c r="ED18" s="4">
        <f t="shared" si="4"/>
        <v>0</v>
      </c>
      <c r="EE18" s="4">
        <f t="shared" si="4"/>
        <v>0</v>
      </c>
      <c r="EF18" s="4">
        <f t="shared" si="4"/>
        <v>0</v>
      </c>
      <c r="EG18" s="4">
        <f t="shared" si="4"/>
        <v>0</v>
      </c>
      <c r="EH18" s="4">
        <f t="shared" si="4"/>
        <v>0</v>
      </c>
      <c r="EI18" s="4">
        <f t="shared" si="4"/>
        <v>0</v>
      </c>
      <c r="EJ18" s="4">
        <f t="shared" si="4"/>
        <v>113593.95</v>
      </c>
      <c r="EK18" s="4">
        <f t="shared" si="4"/>
        <v>113593.95</v>
      </c>
      <c r="EL18" s="4">
        <f t="shared" si="4"/>
        <v>0</v>
      </c>
      <c r="EM18" s="4">
        <f t="shared" ref="EM18:FR18" si="5">EM109</f>
        <v>0</v>
      </c>
      <c r="EN18" s="4">
        <f t="shared" si="5"/>
        <v>79857.66</v>
      </c>
      <c r="EO18" s="4">
        <f t="shared" si="5"/>
        <v>79857.66</v>
      </c>
      <c r="EP18" s="4">
        <f t="shared" si="5"/>
        <v>0</v>
      </c>
      <c r="EQ18" s="4">
        <f t="shared" si="5"/>
        <v>79857.66</v>
      </c>
      <c r="ER18" s="4">
        <f t="shared" si="5"/>
        <v>0</v>
      </c>
      <c r="ES18" s="4">
        <f t="shared" si="5"/>
        <v>0</v>
      </c>
      <c r="ET18" s="4">
        <f t="shared" si="5"/>
        <v>0</v>
      </c>
      <c r="EU18" s="4">
        <f t="shared" si="5"/>
        <v>0</v>
      </c>
      <c r="EV18" s="4">
        <f t="shared" si="5"/>
        <v>0</v>
      </c>
      <c r="EW18" s="4">
        <f t="shared" si="5"/>
        <v>0</v>
      </c>
      <c r="EX18" s="4">
        <f t="shared" si="5"/>
        <v>0</v>
      </c>
      <c r="EY18" s="4">
        <f t="shared" si="5"/>
        <v>0</v>
      </c>
      <c r="EZ18" s="4">
        <f t="shared" si="5"/>
        <v>0</v>
      </c>
      <c r="FA18" s="4">
        <f t="shared" si="5"/>
        <v>0</v>
      </c>
      <c r="FB18" s="4">
        <f t="shared" si="5"/>
        <v>0</v>
      </c>
      <c r="FC18" s="4">
        <f t="shared" si="5"/>
        <v>0</v>
      </c>
      <c r="FD18" s="4">
        <f t="shared" si="5"/>
        <v>0</v>
      </c>
      <c r="FE18" s="4">
        <f t="shared" si="5"/>
        <v>0</v>
      </c>
      <c r="FF18" s="4">
        <f t="shared" si="5"/>
        <v>0</v>
      </c>
      <c r="FG18" s="4">
        <f t="shared" si="5"/>
        <v>0</v>
      </c>
      <c r="FH18" s="4">
        <f t="shared" si="5"/>
        <v>0</v>
      </c>
      <c r="FI18" s="4">
        <f t="shared" si="5"/>
        <v>0</v>
      </c>
      <c r="FJ18" s="4">
        <f t="shared" si="5"/>
        <v>0</v>
      </c>
      <c r="FK18" s="4">
        <f t="shared" si="5"/>
        <v>0</v>
      </c>
      <c r="FL18" s="4">
        <f t="shared" si="5"/>
        <v>0</v>
      </c>
      <c r="FM18" s="4">
        <f t="shared" si="5"/>
        <v>0</v>
      </c>
      <c r="FN18" s="4">
        <f t="shared" si="5"/>
        <v>0</v>
      </c>
      <c r="FO18" s="4">
        <f t="shared" si="5"/>
        <v>0</v>
      </c>
      <c r="FP18" s="4">
        <f t="shared" si="5"/>
        <v>0</v>
      </c>
      <c r="FQ18" s="4">
        <f t="shared" si="5"/>
        <v>0</v>
      </c>
      <c r="FR18" s="4">
        <f t="shared" si="5"/>
        <v>0</v>
      </c>
      <c r="FS18" s="4">
        <f t="shared" ref="FS18:GX18" si="6">FS109</f>
        <v>0</v>
      </c>
      <c r="FT18" s="4">
        <f t="shared" si="6"/>
        <v>0</v>
      </c>
      <c r="FU18" s="4">
        <f t="shared" si="6"/>
        <v>0</v>
      </c>
      <c r="FV18" s="4">
        <f t="shared" si="6"/>
        <v>0</v>
      </c>
      <c r="FW18" s="4">
        <f t="shared" si="6"/>
        <v>0</v>
      </c>
      <c r="FX18" s="4">
        <f t="shared" si="6"/>
        <v>0</v>
      </c>
      <c r="FY18" s="4">
        <f t="shared" si="6"/>
        <v>0</v>
      </c>
      <c r="FZ18" s="4">
        <f t="shared" si="6"/>
        <v>0</v>
      </c>
      <c r="GA18" s="4">
        <f t="shared" si="6"/>
        <v>0</v>
      </c>
      <c r="GB18" s="4">
        <f t="shared" si="6"/>
        <v>0</v>
      </c>
      <c r="GC18" s="4">
        <f t="shared" si="6"/>
        <v>0</v>
      </c>
      <c r="GD18" s="4">
        <f t="shared" si="6"/>
        <v>0</v>
      </c>
      <c r="GE18" s="4">
        <f t="shared" si="6"/>
        <v>0</v>
      </c>
      <c r="GF18" s="4">
        <f t="shared" si="6"/>
        <v>0</v>
      </c>
      <c r="GG18" s="4">
        <f t="shared" si="6"/>
        <v>0</v>
      </c>
      <c r="GH18" s="4">
        <f t="shared" si="6"/>
        <v>0</v>
      </c>
      <c r="GI18" s="4">
        <f t="shared" si="6"/>
        <v>0</v>
      </c>
      <c r="GJ18" s="4">
        <f t="shared" si="6"/>
        <v>0</v>
      </c>
      <c r="GK18" s="4">
        <f t="shared" si="6"/>
        <v>0</v>
      </c>
      <c r="GL18" s="4">
        <f t="shared" si="6"/>
        <v>0</v>
      </c>
      <c r="GM18" s="4">
        <f t="shared" si="6"/>
        <v>0</v>
      </c>
      <c r="GN18" s="4">
        <f t="shared" si="6"/>
        <v>0</v>
      </c>
      <c r="GO18" s="4">
        <f t="shared" si="6"/>
        <v>0</v>
      </c>
      <c r="GP18" s="4">
        <f t="shared" si="6"/>
        <v>0</v>
      </c>
      <c r="GQ18" s="4">
        <f t="shared" si="6"/>
        <v>0</v>
      </c>
      <c r="GR18" s="4">
        <f t="shared" si="6"/>
        <v>0</v>
      </c>
      <c r="GS18" s="4">
        <f t="shared" si="6"/>
        <v>0</v>
      </c>
      <c r="GT18" s="4">
        <f t="shared" si="6"/>
        <v>0</v>
      </c>
      <c r="GU18" s="4">
        <f t="shared" si="6"/>
        <v>0</v>
      </c>
      <c r="GV18" s="4">
        <f t="shared" si="6"/>
        <v>0</v>
      </c>
      <c r="GW18" s="4">
        <f t="shared" si="6"/>
        <v>0</v>
      </c>
      <c r="GX18" s="4">
        <f t="shared" si="6"/>
        <v>0</v>
      </c>
    </row>
    <row r="20" spans="1:255" x14ac:dyDescent="0.2">
      <c r="A20" s="1">
        <v>3</v>
      </c>
      <c r="B20" s="1">
        <v>1</v>
      </c>
      <c r="C20" s="1"/>
      <c r="D20" s="1">
        <f>ROW(A77)</f>
        <v>77</v>
      </c>
      <c r="E20" s="1"/>
      <c r="F20" s="1" t="s">
        <v>11</v>
      </c>
      <c r="G20" s="1" t="s">
        <v>11</v>
      </c>
      <c r="H20" s="1" t="s">
        <v>4</v>
      </c>
      <c r="I20" s="1">
        <v>0</v>
      </c>
      <c r="J20" s="1" t="s">
        <v>4</v>
      </c>
      <c r="K20" s="1">
        <v>0</v>
      </c>
      <c r="L20" s="1" t="s">
        <v>4</v>
      </c>
      <c r="M20" s="1"/>
      <c r="N20" s="1"/>
      <c r="O20" s="1"/>
      <c r="P20" s="1"/>
      <c r="Q20" s="1"/>
      <c r="R20" s="1"/>
      <c r="S20" s="1"/>
      <c r="T20" s="1"/>
      <c r="U20" s="1" t="s">
        <v>4</v>
      </c>
      <c r="V20" s="1">
        <v>0</v>
      </c>
      <c r="W20" s="1"/>
      <c r="X20" s="1"/>
      <c r="Y20" s="1"/>
      <c r="Z20" s="1"/>
      <c r="AA20" s="1"/>
      <c r="AB20" s="1" t="s">
        <v>4</v>
      </c>
      <c r="AC20" s="1" t="s">
        <v>4</v>
      </c>
      <c r="AD20" s="1" t="s">
        <v>4</v>
      </c>
      <c r="AE20" s="1" t="s">
        <v>4</v>
      </c>
      <c r="AF20" s="1" t="s">
        <v>4</v>
      </c>
      <c r="AG20" s="1" t="s">
        <v>4</v>
      </c>
      <c r="AH20" s="1"/>
      <c r="AI20" s="1"/>
      <c r="AJ20" s="1"/>
      <c r="AK20" s="1"/>
      <c r="AL20" s="1"/>
      <c r="AM20" s="1"/>
      <c r="AN20" s="1"/>
      <c r="AO20" s="1"/>
      <c r="AP20" s="1" t="s">
        <v>4</v>
      </c>
      <c r="AQ20" s="1" t="s">
        <v>4</v>
      </c>
      <c r="AR20" s="1" t="s">
        <v>4</v>
      </c>
      <c r="AS20" s="1"/>
      <c r="AT20" s="1"/>
      <c r="AU20" s="1"/>
      <c r="AV20" s="1"/>
      <c r="AW20" s="1"/>
      <c r="AX20" s="1"/>
      <c r="AY20" s="1"/>
      <c r="AZ20" s="1" t="s">
        <v>4</v>
      </c>
      <c r="BA20" s="1"/>
      <c r="BB20" s="1" t="s">
        <v>4</v>
      </c>
      <c r="BC20" s="1" t="s">
        <v>4</v>
      </c>
      <c r="BD20" s="1" t="s">
        <v>4</v>
      </c>
      <c r="BE20" s="1" t="s">
        <v>4</v>
      </c>
      <c r="BF20" s="1" t="s">
        <v>4</v>
      </c>
      <c r="BG20" s="1" t="s">
        <v>4</v>
      </c>
      <c r="BH20" s="1" t="s">
        <v>4</v>
      </c>
      <c r="BI20" s="1" t="s">
        <v>4</v>
      </c>
      <c r="BJ20" s="1" t="s">
        <v>4</v>
      </c>
      <c r="BK20" s="1" t="s">
        <v>4</v>
      </c>
      <c r="BL20" s="1" t="s">
        <v>4</v>
      </c>
      <c r="BM20" s="1" t="s">
        <v>4</v>
      </c>
      <c r="BN20" s="1" t="s">
        <v>4</v>
      </c>
      <c r="BO20" s="1" t="s">
        <v>4</v>
      </c>
      <c r="BP20" s="1" t="s">
        <v>4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4</v>
      </c>
      <c r="CJ20" s="1" t="s">
        <v>4</v>
      </c>
    </row>
    <row r="22" spans="1:255" x14ac:dyDescent="0.2">
      <c r="A22" s="3">
        <v>52</v>
      </c>
      <c r="B22" s="3">
        <f t="shared" ref="B22:G22" si="7">B77</f>
        <v>1</v>
      </c>
      <c r="C22" s="3">
        <f t="shared" si="7"/>
        <v>3</v>
      </c>
      <c r="D22" s="3">
        <f t="shared" si="7"/>
        <v>20</v>
      </c>
      <c r="E22" s="3">
        <f t="shared" si="7"/>
        <v>0</v>
      </c>
      <c r="F22" s="3" t="str">
        <f t="shared" si="7"/>
        <v>Новая локальная смета</v>
      </c>
      <c r="G22" s="3" t="str">
        <f t="shared" si="7"/>
        <v>Новая локальная смета</v>
      </c>
      <c r="H22" s="3"/>
      <c r="I22" s="3"/>
      <c r="J22" s="3"/>
      <c r="K22" s="3"/>
      <c r="L22" s="3"/>
      <c r="M22" s="3"/>
      <c r="N22" s="3"/>
      <c r="O22" s="3">
        <f t="shared" ref="O22:AT22" si="8">O77</f>
        <v>15406.32</v>
      </c>
      <c r="P22" s="3">
        <f t="shared" si="8"/>
        <v>13134.48</v>
      </c>
      <c r="Q22" s="3">
        <f t="shared" si="8"/>
        <v>59.39</v>
      </c>
      <c r="R22" s="3">
        <f t="shared" si="8"/>
        <v>19.95</v>
      </c>
      <c r="S22" s="3">
        <f t="shared" si="8"/>
        <v>2212.4499999999998</v>
      </c>
      <c r="T22" s="3">
        <f t="shared" si="8"/>
        <v>0</v>
      </c>
      <c r="U22" s="3">
        <f t="shared" si="8"/>
        <v>258.46641549999998</v>
      </c>
      <c r="V22" s="3">
        <f t="shared" si="8"/>
        <v>1.7466025000000001</v>
      </c>
      <c r="W22" s="3">
        <f t="shared" si="8"/>
        <v>0</v>
      </c>
      <c r="X22" s="3">
        <f t="shared" si="8"/>
        <v>2028.81</v>
      </c>
      <c r="Y22" s="3">
        <f t="shared" si="8"/>
        <v>1248.08</v>
      </c>
      <c r="Z22" s="3">
        <f t="shared" si="8"/>
        <v>0</v>
      </c>
      <c r="AA22" s="3">
        <f t="shared" si="8"/>
        <v>0</v>
      </c>
      <c r="AB22" s="3">
        <f t="shared" si="8"/>
        <v>15406.32</v>
      </c>
      <c r="AC22" s="3">
        <f t="shared" si="8"/>
        <v>13134.48</v>
      </c>
      <c r="AD22" s="3">
        <f t="shared" si="8"/>
        <v>59.39</v>
      </c>
      <c r="AE22" s="3">
        <f t="shared" si="8"/>
        <v>19.95</v>
      </c>
      <c r="AF22" s="3">
        <f t="shared" si="8"/>
        <v>2212.4499999999998</v>
      </c>
      <c r="AG22" s="3">
        <f t="shared" si="8"/>
        <v>0</v>
      </c>
      <c r="AH22" s="3">
        <f t="shared" si="8"/>
        <v>258.46641549999998</v>
      </c>
      <c r="AI22" s="3">
        <f t="shared" si="8"/>
        <v>1.7466025000000001</v>
      </c>
      <c r="AJ22" s="3">
        <f t="shared" si="8"/>
        <v>0</v>
      </c>
      <c r="AK22" s="3">
        <f t="shared" si="8"/>
        <v>2028.81</v>
      </c>
      <c r="AL22" s="3">
        <f t="shared" si="8"/>
        <v>1248.08</v>
      </c>
      <c r="AM22" s="3">
        <f t="shared" si="8"/>
        <v>0</v>
      </c>
      <c r="AN22" s="3">
        <f t="shared" si="8"/>
        <v>0</v>
      </c>
      <c r="AO22" s="3">
        <f t="shared" si="8"/>
        <v>0</v>
      </c>
      <c r="AP22" s="3">
        <f t="shared" si="8"/>
        <v>0</v>
      </c>
      <c r="AQ22" s="3">
        <f t="shared" si="8"/>
        <v>0</v>
      </c>
      <c r="AR22" s="3">
        <f t="shared" si="8"/>
        <v>18683.21</v>
      </c>
      <c r="AS22" s="3">
        <f t="shared" si="8"/>
        <v>18683.21</v>
      </c>
      <c r="AT22" s="3">
        <f t="shared" si="8"/>
        <v>0</v>
      </c>
      <c r="AU22" s="3">
        <f t="shared" ref="AU22:BZ22" si="9">AU77</f>
        <v>0</v>
      </c>
      <c r="AV22" s="3">
        <f t="shared" si="9"/>
        <v>13134.48</v>
      </c>
      <c r="AW22" s="3">
        <f t="shared" si="9"/>
        <v>13134.48</v>
      </c>
      <c r="AX22" s="3">
        <f t="shared" si="9"/>
        <v>0</v>
      </c>
      <c r="AY22" s="3">
        <f t="shared" si="9"/>
        <v>13134.48</v>
      </c>
      <c r="AZ22" s="3">
        <f t="shared" si="9"/>
        <v>0</v>
      </c>
      <c r="BA22" s="3">
        <f t="shared" si="9"/>
        <v>0</v>
      </c>
      <c r="BB22" s="3">
        <f t="shared" si="9"/>
        <v>0</v>
      </c>
      <c r="BC22" s="3">
        <f t="shared" si="9"/>
        <v>0</v>
      </c>
      <c r="BD22" s="3">
        <f t="shared" si="9"/>
        <v>0</v>
      </c>
      <c r="BE22" s="3">
        <f t="shared" si="9"/>
        <v>0</v>
      </c>
      <c r="BF22" s="3">
        <f t="shared" si="9"/>
        <v>0</v>
      </c>
      <c r="BG22" s="3">
        <f t="shared" si="9"/>
        <v>0</v>
      </c>
      <c r="BH22" s="3">
        <f t="shared" si="9"/>
        <v>0</v>
      </c>
      <c r="BI22" s="3">
        <f t="shared" si="9"/>
        <v>0</v>
      </c>
      <c r="BJ22" s="3">
        <f t="shared" si="9"/>
        <v>0</v>
      </c>
      <c r="BK22" s="3">
        <f t="shared" si="9"/>
        <v>0</v>
      </c>
      <c r="BL22" s="3">
        <f t="shared" si="9"/>
        <v>0</v>
      </c>
      <c r="BM22" s="3">
        <f t="shared" si="9"/>
        <v>0</v>
      </c>
      <c r="BN22" s="3">
        <f t="shared" si="9"/>
        <v>0</v>
      </c>
      <c r="BO22" s="3">
        <f t="shared" si="9"/>
        <v>0</v>
      </c>
      <c r="BP22" s="3">
        <f t="shared" si="9"/>
        <v>0</v>
      </c>
      <c r="BQ22" s="3">
        <f t="shared" si="9"/>
        <v>0</v>
      </c>
      <c r="BR22" s="3">
        <f t="shared" si="9"/>
        <v>0</v>
      </c>
      <c r="BS22" s="3">
        <f t="shared" si="9"/>
        <v>0</v>
      </c>
      <c r="BT22" s="3">
        <f t="shared" si="9"/>
        <v>0</v>
      </c>
      <c r="BU22" s="3">
        <f t="shared" si="9"/>
        <v>0</v>
      </c>
      <c r="BV22" s="3">
        <f t="shared" si="9"/>
        <v>0</v>
      </c>
      <c r="BW22" s="3">
        <f t="shared" si="9"/>
        <v>0</v>
      </c>
      <c r="BX22" s="3">
        <f t="shared" si="9"/>
        <v>0</v>
      </c>
      <c r="BY22" s="3">
        <f t="shared" si="9"/>
        <v>0</v>
      </c>
      <c r="BZ22" s="3">
        <f t="shared" si="9"/>
        <v>0</v>
      </c>
      <c r="CA22" s="3">
        <f t="shared" ref="CA22:DF22" si="10">CA77</f>
        <v>18683.21</v>
      </c>
      <c r="CB22" s="3">
        <f t="shared" si="10"/>
        <v>18683.21</v>
      </c>
      <c r="CC22" s="3">
        <f t="shared" si="10"/>
        <v>0</v>
      </c>
      <c r="CD22" s="3">
        <f t="shared" si="10"/>
        <v>0</v>
      </c>
      <c r="CE22" s="3">
        <f t="shared" si="10"/>
        <v>13134.48</v>
      </c>
      <c r="CF22" s="3">
        <f t="shared" si="10"/>
        <v>13134.48</v>
      </c>
      <c r="CG22" s="3">
        <f t="shared" si="10"/>
        <v>0</v>
      </c>
      <c r="CH22" s="3">
        <f t="shared" si="10"/>
        <v>13134.48</v>
      </c>
      <c r="CI22" s="3">
        <f t="shared" si="10"/>
        <v>0</v>
      </c>
      <c r="CJ22" s="3">
        <f t="shared" si="10"/>
        <v>0</v>
      </c>
      <c r="CK22" s="3">
        <f t="shared" si="10"/>
        <v>0</v>
      </c>
      <c r="CL22" s="3">
        <f t="shared" si="10"/>
        <v>0</v>
      </c>
      <c r="CM22" s="3">
        <f t="shared" si="10"/>
        <v>0</v>
      </c>
      <c r="CN22" s="3">
        <f t="shared" si="10"/>
        <v>0</v>
      </c>
      <c r="CO22" s="3">
        <f t="shared" si="10"/>
        <v>0</v>
      </c>
      <c r="CP22" s="3">
        <f t="shared" si="10"/>
        <v>0</v>
      </c>
      <c r="CQ22" s="3">
        <f t="shared" si="10"/>
        <v>0</v>
      </c>
      <c r="CR22" s="3">
        <f t="shared" si="10"/>
        <v>0</v>
      </c>
      <c r="CS22" s="3">
        <f t="shared" si="10"/>
        <v>0</v>
      </c>
      <c r="CT22" s="3">
        <f t="shared" si="10"/>
        <v>0</v>
      </c>
      <c r="CU22" s="3">
        <f t="shared" si="10"/>
        <v>0</v>
      </c>
      <c r="CV22" s="3">
        <f t="shared" si="10"/>
        <v>0</v>
      </c>
      <c r="CW22" s="3">
        <f t="shared" si="10"/>
        <v>0</v>
      </c>
      <c r="CX22" s="3">
        <f t="shared" si="10"/>
        <v>0</v>
      </c>
      <c r="CY22" s="3">
        <f t="shared" si="10"/>
        <v>0</v>
      </c>
      <c r="CZ22" s="3">
        <f t="shared" si="10"/>
        <v>0</v>
      </c>
      <c r="DA22" s="3">
        <f t="shared" si="10"/>
        <v>0</v>
      </c>
      <c r="DB22" s="3">
        <f t="shared" si="10"/>
        <v>0</v>
      </c>
      <c r="DC22" s="3">
        <f t="shared" si="10"/>
        <v>0</v>
      </c>
      <c r="DD22" s="3">
        <f t="shared" si="10"/>
        <v>0</v>
      </c>
      <c r="DE22" s="3">
        <f t="shared" si="10"/>
        <v>0</v>
      </c>
      <c r="DF22" s="3">
        <f t="shared" si="10"/>
        <v>0</v>
      </c>
      <c r="DG22" s="4">
        <f t="shared" ref="DG22:EL22" si="11">DG77</f>
        <v>93670.45</v>
      </c>
      <c r="DH22" s="4">
        <f t="shared" si="11"/>
        <v>79857.66</v>
      </c>
      <c r="DI22" s="4">
        <f t="shared" si="11"/>
        <v>361.03</v>
      </c>
      <c r="DJ22" s="4">
        <f t="shared" si="11"/>
        <v>121.32</v>
      </c>
      <c r="DK22" s="4">
        <f t="shared" si="11"/>
        <v>13451.76</v>
      </c>
      <c r="DL22" s="4">
        <f t="shared" si="11"/>
        <v>0</v>
      </c>
      <c r="DM22" s="4">
        <f t="shared" si="11"/>
        <v>258.46641549999998</v>
      </c>
      <c r="DN22" s="4">
        <f t="shared" si="11"/>
        <v>1.7466025000000001</v>
      </c>
      <c r="DO22" s="4">
        <f t="shared" si="11"/>
        <v>0</v>
      </c>
      <c r="DP22" s="4">
        <f t="shared" si="11"/>
        <v>12335.23</v>
      </c>
      <c r="DQ22" s="4">
        <f t="shared" si="11"/>
        <v>7588.27</v>
      </c>
      <c r="DR22" s="4">
        <f t="shared" si="11"/>
        <v>0</v>
      </c>
      <c r="DS22" s="4">
        <f t="shared" si="11"/>
        <v>0</v>
      </c>
      <c r="DT22" s="4">
        <f t="shared" si="11"/>
        <v>93670.45</v>
      </c>
      <c r="DU22" s="4">
        <f t="shared" si="11"/>
        <v>79857.66</v>
      </c>
      <c r="DV22" s="4">
        <f t="shared" si="11"/>
        <v>361.03</v>
      </c>
      <c r="DW22" s="4">
        <f t="shared" si="11"/>
        <v>121.32</v>
      </c>
      <c r="DX22" s="4">
        <f t="shared" si="11"/>
        <v>13451.76</v>
      </c>
      <c r="DY22" s="4">
        <f t="shared" si="11"/>
        <v>0</v>
      </c>
      <c r="DZ22" s="4">
        <f t="shared" si="11"/>
        <v>258.46641549999998</v>
      </c>
      <c r="EA22" s="4">
        <f t="shared" si="11"/>
        <v>1.7466025000000001</v>
      </c>
      <c r="EB22" s="4">
        <f t="shared" si="11"/>
        <v>0</v>
      </c>
      <c r="EC22" s="4">
        <f t="shared" si="11"/>
        <v>12335.23</v>
      </c>
      <c r="ED22" s="4">
        <f t="shared" si="11"/>
        <v>7588.27</v>
      </c>
      <c r="EE22" s="4">
        <f t="shared" si="11"/>
        <v>0</v>
      </c>
      <c r="EF22" s="4">
        <f t="shared" si="11"/>
        <v>0</v>
      </c>
      <c r="EG22" s="4">
        <f t="shared" si="11"/>
        <v>0</v>
      </c>
      <c r="EH22" s="4">
        <f t="shared" si="11"/>
        <v>0</v>
      </c>
      <c r="EI22" s="4">
        <f t="shared" si="11"/>
        <v>0</v>
      </c>
      <c r="EJ22" s="4">
        <f t="shared" si="11"/>
        <v>113593.95</v>
      </c>
      <c r="EK22" s="4">
        <f t="shared" si="11"/>
        <v>113593.95</v>
      </c>
      <c r="EL22" s="4">
        <f t="shared" si="11"/>
        <v>0</v>
      </c>
      <c r="EM22" s="4">
        <f t="shared" ref="EM22:FR22" si="12">EM77</f>
        <v>0</v>
      </c>
      <c r="EN22" s="4">
        <f t="shared" si="12"/>
        <v>79857.66</v>
      </c>
      <c r="EO22" s="4">
        <f t="shared" si="12"/>
        <v>79857.66</v>
      </c>
      <c r="EP22" s="4">
        <f t="shared" si="12"/>
        <v>0</v>
      </c>
      <c r="EQ22" s="4">
        <f t="shared" si="12"/>
        <v>79857.66</v>
      </c>
      <c r="ER22" s="4">
        <f t="shared" si="12"/>
        <v>0</v>
      </c>
      <c r="ES22" s="4">
        <f t="shared" si="12"/>
        <v>0</v>
      </c>
      <c r="ET22" s="4">
        <f t="shared" si="12"/>
        <v>0</v>
      </c>
      <c r="EU22" s="4">
        <f t="shared" si="12"/>
        <v>0</v>
      </c>
      <c r="EV22" s="4">
        <f t="shared" si="12"/>
        <v>0</v>
      </c>
      <c r="EW22" s="4">
        <f t="shared" si="12"/>
        <v>0</v>
      </c>
      <c r="EX22" s="4">
        <f t="shared" si="12"/>
        <v>0</v>
      </c>
      <c r="EY22" s="4">
        <f t="shared" si="12"/>
        <v>0</v>
      </c>
      <c r="EZ22" s="4">
        <f t="shared" si="12"/>
        <v>0</v>
      </c>
      <c r="FA22" s="4">
        <f t="shared" si="12"/>
        <v>0</v>
      </c>
      <c r="FB22" s="4">
        <f t="shared" si="12"/>
        <v>0</v>
      </c>
      <c r="FC22" s="4">
        <f t="shared" si="12"/>
        <v>0</v>
      </c>
      <c r="FD22" s="4">
        <f t="shared" si="12"/>
        <v>0</v>
      </c>
      <c r="FE22" s="4">
        <f t="shared" si="12"/>
        <v>0</v>
      </c>
      <c r="FF22" s="4">
        <f t="shared" si="12"/>
        <v>0</v>
      </c>
      <c r="FG22" s="4">
        <f t="shared" si="12"/>
        <v>0</v>
      </c>
      <c r="FH22" s="4">
        <f t="shared" si="12"/>
        <v>0</v>
      </c>
      <c r="FI22" s="4">
        <f t="shared" si="12"/>
        <v>0</v>
      </c>
      <c r="FJ22" s="4">
        <f t="shared" si="12"/>
        <v>0</v>
      </c>
      <c r="FK22" s="4">
        <f t="shared" si="12"/>
        <v>0</v>
      </c>
      <c r="FL22" s="4">
        <f t="shared" si="12"/>
        <v>0</v>
      </c>
      <c r="FM22" s="4">
        <f t="shared" si="12"/>
        <v>0</v>
      </c>
      <c r="FN22" s="4">
        <f t="shared" si="12"/>
        <v>0</v>
      </c>
      <c r="FO22" s="4">
        <f t="shared" si="12"/>
        <v>0</v>
      </c>
      <c r="FP22" s="4">
        <f t="shared" si="12"/>
        <v>0</v>
      </c>
      <c r="FQ22" s="4">
        <f t="shared" si="12"/>
        <v>0</v>
      </c>
      <c r="FR22" s="4">
        <f t="shared" si="12"/>
        <v>0</v>
      </c>
      <c r="FS22" s="4">
        <f t="shared" ref="FS22:GX22" si="13">FS77</f>
        <v>113593.95</v>
      </c>
      <c r="FT22" s="4">
        <f t="shared" si="13"/>
        <v>113593.95</v>
      </c>
      <c r="FU22" s="4">
        <f t="shared" si="13"/>
        <v>0</v>
      </c>
      <c r="FV22" s="4">
        <f t="shared" si="13"/>
        <v>0</v>
      </c>
      <c r="FW22" s="4">
        <f t="shared" si="13"/>
        <v>79857.66</v>
      </c>
      <c r="FX22" s="4">
        <f t="shared" si="13"/>
        <v>79857.66</v>
      </c>
      <c r="FY22" s="4">
        <f t="shared" si="13"/>
        <v>0</v>
      </c>
      <c r="FZ22" s="4">
        <f t="shared" si="13"/>
        <v>79857.66</v>
      </c>
      <c r="GA22" s="4">
        <f t="shared" si="13"/>
        <v>0</v>
      </c>
      <c r="GB22" s="4">
        <f t="shared" si="13"/>
        <v>0</v>
      </c>
      <c r="GC22" s="4">
        <f t="shared" si="13"/>
        <v>0</v>
      </c>
      <c r="GD22" s="4">
        <f t="shared" si="13"/>
        <v>0</v>
      </c>
      <c r="GE22" s="4">
        <f t="shared" si="13"/>
        <v>0</v>
      </c>
      <c r="GF22" s="4">
        <f t="shared" si="13"/>
        <v>0</v>
      </c>
      <c r="GG22" s="4">
        <f t="shared" si="13"/>
        <v>0</v>
      </c>
      <c r="GH22" s="4">
        <f t="shared" si="13"/>
        <v>0</v>
      </c>
      <c r="GI22" s="4">
        <f t="shared" si="13"/>
        <v>0</v>
      </c>
      <c r="GJ22" s="4">
        <f t="shared" si="13"/>
        <v>0</v>
      </c>
      <c r="GK22" s="4">
        <f t="shared" si="13"/>
        <v>0</v>
      </c>
      <c r="GL22" s="4">
        <f t="shared" si="13"/>
        <v>0</v>
      </c>
      <c r="GM22" s="4">
        <f t="shared" si="13"/>
        <v>0</v>
      </c>
      <c r="GN22" s="4">
        <f t="shared" si="13"/>
        <v>0</v>
      </c>
      <c r="GO22" s="4">
        <f t="shared" si="13"/>
        <v>0</v>
      </c>
      <c r="GP22" s="4">
        <f t="shared" si="13"/>
        <v>0</v>
      </c>
      <c r="GQ22" s="4">
        <f t="shared" si="13"/>
        <v>0</v>
      </c>
      <c r="GR22" s="4">
        <f t="shared" si="13"/>
        <v>0</v>
      </c>
      <c r="GS22" s="4">
        <f t="shared" si="13"/>
        <v>0</v>
      </c>
      <c r="GT22" s="4">
        <f t="shared" si="13"/>
        <v>0</v>
      </c>
      <c r="GU22" s="4">
        <f t="shared" si="13"/>
        <v>0</v>
      </c>
      <c r="GV22" s="4">
        <f t="shared" si="13"/>
        <v>0</v>
      </c>
      <c r="GW22" s="4">
        <f t="shared" si="13"/>
        <v>0</v>
      </c>
      <c r="GX22" s="4">
        <f t="shared" si="13"/>
        <v>0</v>
      </c>
    </row>
    <row r="24" spans="1:255" x14ac:dyDescent="0.2">
      <c r="A24" s="2">
        <v>17</v>
      </c>
      <c r="B24" s="2">
        <v>1</v>
      </c>
      <c r="C24" s="2">
        <f>ROW(SmtRes!A1)</f>
        <v>1</v>
      </c>
      <c r="D24" s="2">
        <f>ROW(EtalonRes!A2)</f>
        <v>2</v>
      </c>
      <c r="E24" s="2" t="s">
        <v>12</v>
      </c>
      <c r="F24" s="2" t="s">
        <v>13</v>
      </c>
      <c r="G24" s="2" t="s">
        <v>14</v>
      </c>
      <c r="H24" s="2" t="s">
        <v>15</v>
      </c>
      <c r="I24" s="2">
        <f>ROUND(23.2/100,9)</f>
        <v>0.23200000000000001</v>
      </c>
      <c r="J24" s="2">
        <v>0</v>
      </c>
      <c r="K24" s="2"/>
      <c r="L24" s="2"/>
      <c r="M24" s="2"/>
      <c r="N24" s="2"/>
      <c r="O24" s="2">
        <f t="shared" ref="O24:O55" si="14">ROUND(CP24,2)</f>
        <v>6.82</v>
      </c>
      <c r="P24" s="2">
        <f t="shared" ref="P24:P55" si="15">ROUND(CQ24*I24,2)</f>
        <v>0</v>
      </c>
      <c r="Q24" s="2">
        <f t="shared" ref="Q24:Q55" si="16">ROUND(CR24*I24,2)</f>
        <v>0</v>
      </c>
      <c r="R24" s="2">
        <f t="shared" ref="R24:R55" si="17">ROUND(CS24*I24,2)</f>
        <v>0</v>
      </c>
      <c r="S24" s="2">
        <f t="shared" ref="S24:S55" si="18">ROUND(CT24*I24,2)</f>
        <v>6.82</v>
      </c>
      <c r="T24" s="2">
        <f t="shared" ref="T24:T55" si="19">ROUND(CU24*I24,2)</f>
        <v>0</v>
      </c>
      <c r="U24" s="2">
        <f t="shared" ref="U24:U55" si="20">CV24*I24</f>
        <v>0.87464000000000008</v>
      </c>
      <c r="V24" s="2">
        <f t="shared" ref="V24:V55" si="21">CW24*I24</f>
        <v>0</v>
      </c>
      <c r="W24" s="2">
        <f t="shared" ref="W24:W55" si="22">ROUND(CX24*I24,2)</f>
        <v>0</v>
      </c>
      <c r="X24" s="2">
        <f t="shared" ref="X24:X55" si="23">ROUND(CY24,2)</f>
        <v>5.46</v>
      </c>
      <c r="Y24" s="2">
        <f t="shared" ref="Y24:Y55" si="24">ROUND(CZ24,2)</f>
        <v>4.6399999999999997</v>
      </c>
      <c r="Z24" s="2"/>
      <c r="AA24" s="2">
        <v>16501254</v>
      </c>
      <c r="AB24" s="2">
        <f t="shared" ref="AB24:AB55" si="25">ROUND((AC24+AD24+AF24),6)</f>
        <v>29.41</v>
      </c>
      <c r="AC24" s="2">
        <f t="shared" ref="AC24:AC29" si="26">ROUND((ES24),6)</f>
        <v>0</v>
      </c>
      <c r="AD24" s="2">
        <f>ROUND((((ET24)-(EU24))+AE24),6)</f>
        <v>0</v>
      </c>
      <c r="AE24" s="2">
        <f t="shared" ref="AE24:AF27" si="27">ROUND((EU24),6)</f>
        <v>0</v>
      </c>
      <c r="AF24" s="2">
        <f t="shared" si="27"/>
        <v>29.41</v>
      </c>
      <c r="AG24" s="2">
        <f t="shared" ref="AG24:AG55" si="28">ROUND((AP24),6)</f>
        <v>0</v>
      </c>
      <c r="AH24" s="2">
        <f t="shared" ref="AH24:AI27" si="29">(EW24)</f>
        <v>3.77</v>
      </c>
      <c r="AI24" s="2">
        <f t="shared" si="29"/>
        <v>0</v>
      </c>
      <c r="AJ24" s="2">
        <f t="shared" ref="AJ24:AJ55" si="30">ROUND((AS24),6)</f>
        <v>0</v>
      </c>
      <c r="AK24" s="2">
        <v>29.41</v>
      </c>
      <c r="AL24" s="2">
        <v>0</v>
      </c>
      <c r="AM24" s="2">
        <v>0</v>
      </c>
      <c r="AN24" s="2">
        <v>0</v>
      </c>
      <c r="AO24" s="2">
        <v>29.41</v>
      </c>
      <c r="AP24" s="2">
        <v>0</v>
      </c>
      <c r="AQ24" s="2">
        <v>3.77</v>
      </c>
      <c r="AR24" s="2">
        <v>0</v>
      </c>
      <c r="AS24" s="2">
        <v>0</v>
      </c>
      <c r="AT24" s="2">
        <v>80</v>
      </c>
      <c r="AU24" s="2">
        <v>68</v>
      </c>
      <c r="AV24" s="2">
        <v>1</v>
      </c>
      <c r="AW24" s="2">
        <v>1</v>
      </c>
      <c r="AX24" s="2"/>
      <c r="AY24" s="2"/>
      <c r="AZ24" s="2">
        <v>1</v>
      </c>
      <c r="BA24" s="2">
        <v>1</v>
      </c>
      <c r="BB24" s="2">
        <v>1</v>
      </c>
      <c r="BC24" s="2">
        <v>1</v>
      </c>
      <c r="BD24" s="2" t="s">
        <v>4</v>
      </c>
      <c r="BE24" s="2" t="s">
        <v>4</v>
      </c>
      <c r="BF24" s="2" t="s">
        <v>4</v>
      </c>
      <c r="BG24" s="2" t="s">
        <v>4</v>
      </c>
      <c r="BH24" s="2">
        <v>0</v>
      </c>
      <c r="BI24" s="2">
        <v>1</v>
      </c>
      <c r="BJ24" s="2" t="s">
        <v>16</v>
      </c>
      <c r="BK24" s="2"/>
      <c r="BL24" s="2"/>
      <c r="BM24" s="2">
        <v>57001</v>
      </c>
      <c r="BN24" s="2">
        <v>0</v>
      </c>
      <c r="BO24" s="2" t="s">
        <v>4</v>
      </c>
      <c r="BP24" s="2">
        <v>0</v>
      </c>
      <c r="BQ24" s="2">
        <v>6</v>
      </c>
      <c r="BR24" s="2">
        <v>0</v>
      </c>
      <c r="BS24" s="2">
        <v>1</v>
      </c>
      <c r="BT24" s="2">
        <v>1</v>
      </c>
      <c r="BU24" s="2">
        <v>1</v>
      </c>
      <c r="BV24" s="2">
        <v>1</v>
      </c>
      <c r="BW24" s="2">
        <v>1</v>
      </c>
      <c r="BX24" s="2">
        <v>1</v>
      </c>
      <c r="BY24" s="2" t="s">
        <v>4</v>
      </c>
      <c r="BZ24" s="2">
        <v>80</v>
      </c>
      <c r="CA24" s="2">
        <v>68</v>
      </c>
      <c r="CB24" s="2"/>
      <c r="CC24" s="2"/>
      <c r="CD24" s="2"/>
      <c r="CE24" s="2"/>
      <c r="CF24" s="2">
        <v>0</v>
      </c>
      <c r="CG24" s="2">
        <v>0</v>
      </c>
      <c r="CH24" s="2"/>
      <c r="CI24" s="2"/>
      <c r="CJ24" s="2"/>
      <c r="CK24" s="2"/>
      <c r="CL24" s="2"/>
      <c r="CM24" s="2">
        <v>0</v>
      </c>
      <c r="CN24" s="2" t="s">
        <v>4</v>
      </c>
      <c r="CO24" s="2">
        <v>0</v>
      </c>
      <c r="CP24" s="2">
        <f t="shared" ref="CP24:CP55" si="31">(P24+Q24+S24)</f>
        <v>6.82</v>
      </c>
      <c r="CQ24" s="2">
        <f t="shared" ref="CQ24:CQ55" si="32">AC24*BC24</f>
        <v>0</v>
      </c>
      <c r="CR24" s="2">
        <f t="shared" ref="CR24:CR55" si="33">AD24*BB24</f>
        <v>0</v>
      </c>
      <c r="CS24" s="2">
        <f t="shared" ref="CS24:CS55" si="34">AE24*BS24</f>
        <v>0</v>
      </c>
      <c r="CT24" s="2">
        <f t="shared" ref="CT24:CT55" si="35">AF24*BA24</f>
        <v>29.41</v>
      </c>
      <c r="CU24" s="2">
        <f t="shared" ref="CU24:CU55" si="36">AG24</f>
        <v>0</v>
      </c>
      <c r="CV24" s="2">
        <f t="shared" ref="CV24:CV55" si="37">AH24</f>
        <v>3.77</v>
      </c>
      <c r="CW24" s="2">
        <f t="shared" ref="CW24:CW55" si="38">AI24</f>
        <v>0</v>
      </c>
      <c r="CX24" s="2">
        <f t="shared" ref="CX24:CX55" si="39">AJ24</f>
        <v>0</v>
      </c>
      <c r="CY24" s="2">
        <f t="shared" ref="CY24:CY55" si="40">(((S24+R24)*AT24)/100)</f>
        <v>5.4560000000000004</v>
      </c>
      <c r="CZ24" s="2">
        <f t="shared" ref="CZ24:CZ55" si="41">(((S24+R24)*AU24)/100)</f>
        <v>4.6375999999999999</v>
      </c>
      <c r="DA24" s="2"/>
      <c r="DB24" s="2"/>
      <c r="DC24" s="2" t="s">
        <v>4</v>
      </c>
      <c r="DD24" s="2" t="s">
        <v>4</v>
      </c>
      <c r="DE24" s="2" t="s">
        <v>4</v>
      </c>
      <c r="DF24" s="2" t="s">
        <v>4</v>
      </c>
      <c r="DG24" s="2" t="s">
        <v>4</v>
      </c>
      <c r="DH24" s="2" t="s">
        <v>4</v>
      </c>
      <c r="DI24" s="2" t="s">
        <v>4</v>
      </c>
      <c r="DJ24" s="2" t="s">
        <v>4</v>
      </c>
      <c r="DK24" s="2" t="s">
        <v>4</v>
      </c>
      <c r="DL24" s="2" t="s">
        <v>4</v>
      </c>
      <c r="DM24" s="2" t="s">
        <v>4</v>
      </c>
      <c r="DN24" s="2">
        <v>0</v>
      </c>
      <c r="DO24" s="2">
        <v>0</v>
      </c>
      <c r="DP24" s="2">
        <v>1</v>
      </c>
      <c r="DQ24" s="2">
        <v>1</v>
      </c>
      <c r="DR24" s="2"/>
      <c r="DS24" s="2"/>
      <c r="DT24" s="2"/>
      <c r="DU24" s="2">
        <v>1003</v>
      </c>
      <c r="DV24" s="2" t="s">
        <v>15</v>
      </c>
      <c r="DW24" s="2" t="s">
        <v>15</v>
      </c>
      <c r="DX24" s="2">
        <v>100</v>
      </c>
      <c r="DY24" s="2"/>
      <c r="DZ24" s="2"/>
      <c r="EA24" s="2"/>
      <c r="EB24" s="2"/>
      <c r="EC24" s="2"/>
      <c r="ED24" s="2"/>
      <c r="EE24" s="2">
        <v>16510566</v>
      </c>
      <c r="EF24" s="2">
        <v>6</v>
      </c>
      <c r="EG24" s="2" t="s">
        <v>17</v>
      </c>
      <c r="EH24" s="2">
        <v>0</v>
      </c>
      <c r="EI24" s="2" t="s">
        <v>4</v>
      </c>
      <c r="EJ24" s="2">
        <v>1</v>
      </c>
      <c r="EK24" s="2">
        <v>57001</v>
      </c>
      <c r="EL24" s="2" t="s">
        <v>18</v>
      </c>
      <c r="EM24" s="2" t="s">
        <v>19</v>
      </c>
      <c r="EN24" s="2"/>
      <c r="EO24" s="2" t="s">
        <v>4</v>
      </c>
      <c r="EP24" s="2"/>
      <c r="EQ24" s="2">
        <v>0</v>
      </c>
      <c r="ER24" s="2">
        <v>29.41</v>
      </c>
      <c r="ES24" s="2">
        <v>0</v>
      </c>
      <c r="ET24" s="2">
        <v>0</v>
      </c>
      <c r="EU24" s="2">
        <v>0</v>
      </c>
      <c r="EV24" s="2">
        <v>29.41</v>
      </c>
      <c r="EW24" s="2">
        <v>3.77</v>
      </c>
      <c r="EX24" s="2">
        <v>0</v>
      </c>
      <c r="EY24" s="2">
        <v>0</v>
      </c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>
        <v>0</v>
      </c>
      <c r="FR24" s="2">
        <f t="shared" ref="FR24:FR55" si="42">ROUND(IF(AND(BH24=3,BI24=3),P24,0),2)</f>
        <v>0</v>
      </c>
      <c r="FS24" s="2">
        <v>0</v>
      </c>
      <c r="FT24" s="2"/>
      <c r="FU24" s="2"/>
      <c r="FV24" s="2"/>
      <c r="FW24" s="2"/>
      <c r="FX24" s="2">
        <v>80</v>
      </c>
      <c r="FY24" s="2">
        <v>68</v>
      </c>
      <c r="FZ24" s="2"/>
      <c r="GA24" s="2" t="s">
        <v>4</v>
      </c>
      <c r="GB24" s="2"/>
      <c r="GC24" s="2"/>
      <c r="GD24" s="2">
        <v>0</v>
      </c>
      <c r="GE24" s="2"/>
      <c r="GF24" s="2">
        <v>-1431764135</v>
      </c>
      <c r="GG24" s="2">
        <v>2</v>
      </c>
      <c r="GH24" s="2">
        <v>1</v>
      </c>
      <c r="GI24" s="2">
        <v>-2</v>
      </c>
      <c r="GJ24" s="2">
        <v>0</v>
      </c>
      <c r="GK24" s="2">
        <f>ROUND(R24*(R12)/100,2)</f>
        <v>0</v>
      </c>
      <c r="GL24" s="2">
        <f t="shared" ref="GL24:GL55" si="43">ROUND(IF(AND(BH24=3,BI24=3,FS24&lt;&gt;0),P24,0),2)</f>
        <v>0</v>
      </c>
      <c r="GM24" s="2">
        <f t="shared" ref="GM24:GM55" si="44">ROUND(O24+X24+Y24+GK24,2)+GX24</f>
        <v>16.920000000000002</v>
      </c>
      <c r="GN24" s="2">
        <f t="shared" ref="GN24:GN55" si="45">IF(OR(BI24=0,BI24=1),ROUND(O24+X24+Y24+GK24,2),0)</f>
        <v>16.920000000000002</v>
      </c>
      <c r="GO24" s="2">
        <f t="shared" ref="GO24:GO55" si="46">IF(BI24=2,ROUND(O24+X24+Y24+GK24,2),0)</f>
        <v>0</v>
      </c>
      <c r="GP24" s="2">
        <f t="shared" ref="GP24:GP55" si="47">IF(BI24=4,ROUND(O24+X24+Y24+GK24,2)+GX24,0)</f>
        <v>0</v>
      </c>
      <c r="GQ24" s="2"/>
      <c r="GR24" s="2">
        <v>0</v>
      </c>
      <c r="GS24" s="2">
        <v>3</v>
      </c>
      <c r="GT24" s="2">
        <v>0</v>
      </c>
      <c r="GU24" s="2" t="s">
        <v>4</v>
      </c>
      <c r="GV24" s="2">
        <f t="shared" ref="GV24:GV55" si="48">ROUND(GT24,6)</f>
        <v>0</v>
      </c>
      <c r="GW24" s="2">
        <v>1</v>
      </c>
      <c r="GX24" s="2">
        <f t="shared" ref="GX24:GX55" si="49">ROUND(GV24*GW24*I24,2)</f>
        <v>0</v>
      </c>
      <c r="GY24" s="2"/>
      <c r="GZ24" s="2"/>
      <c r="HA24" s="2">
        <v>0</v>
      </c>
      <c r="HB24" s="2">
        <v>0</v>
      </c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>
        <v>0</v>
      </c>
      <c r="IL24" s="2"/>
      <c r="IM24" s="2"/>
      <c r="IN24" s="2"/>
      <c r="IO24" s="2"/>
      <c r="IP24" s="2"/>
      <c r="IQ24" s="2"/>
      <c r="IR24" s="2"/>
      <c r="IS24" s="2"/>
      <c r="IT24" s="2"/>
      <c r="IU24" s="2"/>
    </row>
    <row r="25" spans="1:255" x14ac:dyDescent="0.2">
      <c r="A25">
        <v>17</v>
      </c>
      <c r="B25">
        <v>1</v>
      </c>
      <c r="C25">
        <f>ROW(SmtRes!A2)</f>
        <v>2</v>
      </c>
      <c r="D25">
        <f>ROW(EtalonRes!A4)</f>
        <v>4</v>
      </c>
      <c r="E25" t="s">
        <v>12</v>
      </c>
      <c r="F25" t="s">
        <v>13</v>
      </c>
      <c r="G25" t="s">
        <v>14</v>
      </c>
      <c r="H25" t="s">
        <v>15</v>
      </c>
      <c r="I25">
        <f>ROUND(23.2/100,9)</f>
        <v>0.23200000000000001</v>
      </c>
      <c r="J25">
        <v>0</v>
      </c>
      <c r="O25">
        <f t="shared" si="14"/>
        <v>41.48</v>
      </c>
      <c r="P25">
        <f t="shared" si="15"/>
        <v>0</v>
      </c>
      <c r="Q25">
        <f t="shared" si="16"/>
        <v>0</v>
      </c>
      <c r="R25">
        <f t="shared" si="17"/>
        <v>0</v>
      </c>
      <c r="S25">
        <f t="shared" si="18"/>
        <v>41.48</v>
      </c>
      <c r="T25">
        <f t="shared" si="19"/>
        <v>0</v>
      </c>
      <c r="U25">
        <f t="shared" si="20"/>
        <v>0.87464000000000008</v>
      </c>
      <c r="V25">
        <f t="shared" si="21"/>
        <v>0</v>
      </c>
      <c r="W25">
        <f t="shared" si="22"/>
        <v>0</v>
      </c>
      <c r="X25">
        <f t="shared" si="23"/>
        <v>33.18</v>
      </c>
      <c r="Y25">
        <f t="shared" si="24"/>
        <v>28.21</v>
      </c>
      <c r="AA25">
        <v>16501255</v>
      </c>
      <c r="AB25">
        <f t="shared" si="25"/>
        <v>29.41</v>
      </c>
      <c r="AC25">
        <f t="shared" si="26"/>
        <v>0</v>
      </c>
      <c r="AD25">
        <f>ROUND((((ET25)-(EU25))+AE25),6)</f>
        <v>0</v>
      </c>
      <c r="AE25">
        <f t="shared" si="27"/>
        <v>0</v>
      </c>
      <c r="AF25">
        <f t="shared" si="27"/>
        <v>29.41</v>
      </c>
      <c r="AG25">
        <f t="shared" si="28"/>
        <v>0</v>
      </c>
      <c r="AH25">
        <f t="shared" si="29"/>
        <v>3.77</v>
      </c>
      <c r="AI25">
        <f t="shared" si="29"/>
        <v>0</v>
      </c>
      <c r="AJ25">
        <f t="shared" si="30"/>
        <v>0</v>
      </c>
      <c r="AK25">
        <v>29.41</v>
      </c>
      <c r="AL25">
        <v>0</v>
      </c>
      <c r="AM25">
        <v>0</v>
      </c>
      <c r="AN25">
        <v>0</v>
      </c>
      <c r="AO25">
        <v>29.41</v>
      </c>
      <c r="AP25">
        <v>0</v>
      </c>
      <c r="AQ25">
        <v>3.77</v>
      </c>
      <c r="AR25">
        <v>0</v>
      </c>
      <c r="AS25">
        <v>0</v>
      </c>
      <c r="AT25">
        <v>80</v>
      </c>
      <c r="AU25">
        <v>68</v>
      </c>
      <c r="AV25">
        <v>1</v>
      </c>
      <c r="AW25">
        <v>1</v>
      </c>
      <c r="AZ25">
        <v>6.08</v>
      </c>
      <c r="BA25">
        <v>6.08</v>
      </c>
      <c r="BB25">
        <v>6.08</v>
      </c>
      <c r="BC25">
        <v>6.08</v>
      </c>
      <c r="BD25" t="s">
        <v>4</v>
      </c>
      <c r="BE25" t="s">
        <v>4</v>
      </c>
      <c r="BF25" t="s">
        <v>4</v>
      </c>
      <c r="BG25" t="s">
        <v>4</v>
      </c>
      <c r="BH25">
        <v>0</v>
      </c>
      <c r="BI25">
        <v>1</v>
      </c>
      <c r="BJ25" t="s">
        <v>16</v>
      </c>
      <c r="BM25">
        <v>57001</v>
      </c>
      <c r="BN25">
        <v>0</v>
      </c>
      <c r="BO25" t="s">
        <v>4</v>
      </c>
      <c r="BP25">
        <v>0</v>
      </c>
      <c r="BQ25">
        <v>6</v>
      </c>
      <c r="BR25">
        <v>0</v>
      </c>
      <c r="BS25">
        <v>6.08</v>
      </c>
      <c r="BT25">
        <v>1</v>
      </c>
      <c r="BU25">
        <v>1</v>
      </c>
      <c r="BV25">
        <v>1</v>
      </c>
      <c r="BW25">
        <v>1</v>
      </c>
      <c r="BX25">
        <v>1</v>
      </c>
      <c r="BY25" t="s">
        <v>4</v>
      </c>
      <c r="BZ25">
        <v>80</v>
      </c>
      <c r="CA25">
        <v>68</v>
      </c>
      <c r="CF25">
        <v>0</v>
      </c>
      <c r="CG25">
        <v>0</v>
      </c>
      <c r="CM25">
        <v>0</v>
      </c>
      <c r="CN25" t="s">
        <v>4</v>
      </c>
      <c r="CO25">
        <v>0</v>
      </c>
      <c r="CP25">
        <f t="shared" si="31"/>
        <v>41.48</v>
      </c>
      <c r="CQ25">
        <f t="shared" si="32"/>
        <v>0</v>
      </c>
      <c r="CR25">
        <f t="shared" si="33"/>
        <v>0</v>
      </c>
      <c r="CS25">
        <f t="shared" si="34"/>
        <v>0</v>
      </c>
      <c r="CT25">
        <f t="shared" si="35"/>
        <v>178.81280000000001</v>
      </c>
      <c r="CU25">
        <f t="shared" si="36"/>
        <v>0</v>
      </c>
      <c r="CV25">
        <f t="shared" si="37"/>
        <v>3.77</v>
      </c>
      <c r="CW25">
        <f t="shared" si="38"/>
        <v>0</v>
      </c>
      <c r="CX25">
        <f t="shared" si="39"/>
        <v>0</v>
      </c>
      <c r="CY25">
        <f t="shared" si="40"/>
        <v>33.183999999999997</v>
      </c>
      <c r="CZ25">
        <f t="shared" si="41"/>
        <v>28.206399999999999</v>
      </c>
      <c r="DC25" t="s">
        <v>4</v>
      </c>
      <c r="DD25" t="s">
        <v>4</v>
      </c>
      <c r="DE25" t="s">
        <v>4</v>
      </c>
      <c r="DF25" t="s">
        <v>4</v>
      </c>
      <c r="DG25" t="s">
        <v>4</v>
      </c>
      <c r="DH25" t="s">
        <v>4</v>
      </c>
      <c r="DI25" t="s">
        <v>4</v>
      </c>
      <c r="DJ25" t="s">
        <v>4</v>
      </c>
      <c r="DK25" t="s">
        <v>4</v>
      </c>
      <c r="DL25" t="s">
        <v>4</v>
      </c>
      <c r="DM25" t="s">
        <v>4</v>
      </c>
      <c r="DN25">
        <v>0</v>
      </c>
      <c r="DO25">
        <v>0</v>
      </c>
      <c r="DP25">
        <v>1</v>
      </c>
      <c r="DQ25">
        <v>1</v>
      </c>
      <c r="DU25">
        <v>1003</v>
      </c>
      <c r="DV25" t="s">
        <v>15</v>
      </c>
      <c r="DW25" t="s">
        <v>15</v>
      </c>
      <c r="DX25">
        <v>100</v>
      </c>
      <c r="EE25">
        <v>16510566</v>
      </c>
      <c r="EF25">
        <v>6</v>
      </c>
      <c r="EG25" t="s">
        <v>17</v>
      </c>
      <c r="EH25">
        <v>0</v>
      </c>
      <c r="EI25" t="s">
        <v>4</v>
      </c>
      <c r="EJ25">
        <v>1</v>
      </c>
      <c r="EK25">
        <v>57001</v>
      </c>
      <c r="EL25" t="s">
        <v>18</v>
      </c>
      <c r="EM25" t="s">
        <v>19</v>
      </c>
      <c r="EO25" t="s">
        <v>4</v>
      </c>
      <c r="EQ25">
        <v>0</v>
      </c>
      <c r="ER25">
        <v>29.41</v>
      </c>
      <c r="ES25">
        <v>0</v>
      </c>
      <c r="ET25">
        <v>0</v>
      </c>
      <c r="EU25">
        <v>0</v>
      </c>
      <c r="EV25">
        <v>29.41</v>
      </c>
      <c r="EW25">
        <v>3.77</v>
      </c>
      <c r="EX25">
        <v>0</v>
      </c>
      <c r="EY25">
        <v>0</v>
      </c>
      <c r="FQ25">
        <v>0</v>
      </c>
      <c r="FR25">
        <f t="shared" si="42"/>
        <v>0</v>
      </c>
      <c r="FS25">
        <v>0</v>
      </c>
      <c r="FX25">
        <v>80</v>
      </c>
      <c r="FY25">
        <v>68</v>
      </c>
      <c r="GA25" t="s">
        <v>4</v>
      </c>
      <c r="GD25">
        <v>0</v>
      </c>
      <c r="GF25">
        <v>-1431764135</v>
      </c>
      <c r="GG25">
        <v>1</v>
      </c>
      <c r="GH25">
        <v>1</v>
      </c>
      <c r="GI25">
        <v>4</v>
      </c>
      <c r="GJ25">
        <v>0</v>
      </c>
      <c r="GK25">
        <f>ROUND(R25*(S12)/100,2)</f>
        <v>0</v>
      </c>
      <c r="GL25">
        <f t="shared" si="43"/>
        <v>0</v>
      </c>
      <c r="GM25">
        <f t="shared" si="44"/>
        <v>102.87</v>
      </c>
      <c r="GN25">
        <f t="shared" si="45"/>
        <v>102.87</v>
      </c>
      <c r="GO25">
        <f t="shared" si="46"/>
        <v>0</v>
      </c>
      <c r="GP25">
        <f t="shared" si="47"/>
        <v>0</v>
      </c>
      <c r="GR25">
        <v>0</v>
      </c>
      <c r="GS25">
        <v>3</v>
      </c>
      <c r="GT25">
        <v>0</v>
      </c>
      <c r="GU25" t="s">
        <v>4</v>
      </c>
      <c r="GV25">
        <f t="shared" si="48"/>
        <v>0</v>
      </c>
      <c r="GW25">
        <v>1</v>
      </c>
      <c r="GX25">
        <f t="shared" si="49"/>
        <v>0</v>
      </c>
      <c r="HA25">
        <v>0</v>
      </c>
      <c r="HB25">
        <v>0</v>
      </c>
      <c r="IK25">
        <v>0</v>
      </c>
    </row>
    <row r="26" spans="1:255" x14ac:dyDescent="0.2">
      <c r="A26" s="2">
        <v>17</v>
      </c>
      <c r="B26" s="2">
        <v>1</v>
      </c>
      <c r="C26" s="2">
        <f>ROW(SmtRes!A5)</f>
        <v>5</v>
      </c>
      <c r="D26" s="2">
        <f>ROW(EtalonRes!A8)</f>
        <v>8</v>
      </c>
      <c r="E26" s="2" t="s">
        <v>20</v>
      </c>
      <c r="F26" s="2" t="s">
        <v>21</v>
      </c>
      <c r="G26" s="2" t="s">
        <v>22</v>
      </c>
      <c r="H26" s="2" t="s">
        <v>23</v>
      </c>
      <c r="I26" s="2">
        <f t="shared" ref="I26:I33" si="50">ROUND(36.3/100,9)</f>
        <v>0.36299999999999999</v>
      </c>
      <c r="J26" s="2">
        <v>0</v>
      </c>
      <c r="K26" s="2"/>
      <c r="L26" s="2"/>
      <c r="M26" s="2"/>
      <c r="N26" s="2"/>
      <c r="O26" s="2">
        <f t="shared" si="14"/>
        <v>33.72</v>
      </c>
      <c r="P26" s="2">
        <f t="shared" si="15"/>
        <v>0</v>
      </c>
      <c r="Q26" s="2">
        <f t="shared" si="16"/>
        <v>1.47</v>
      </c>
      <c r="R26" s="2">
        <f t="shared" si="17"/>
        <v>0.64</v>
      </c>
      <c r="S26" s="2">
        <f t="shared" si="18"/>
        <v>32.25</v>
      </c>
      <c r="T26" s="2">
        <f t="shared" si="19"/>
        <v>0</v>
      </c>
      <c r="U26" s="2">
        <f t="shared" si="20"/>
        <v>4.1345700000000001</v>
      </c>
      <c r="V26" s="2">
        <f t="shared" si="21"/>
        <v>4.7190000000000003E-2</v>
      </c>
      <c r="W26" s="2">
        <f t="shared" si="22"/>
        <v>0</v>
      </c>
      <c r="X26" s="2">
        <f t="shared" si="23"/>
        <v>26.31</v>
      </c>
      <c r="Y26" s="2">
        <f t="shared" si="24"/>
        <v>22.37</v>
      </c>
      <c r="Z26" s="2"/>
      <c r="AA26" s="2">
        <v>16501254</v>
      </c>
      <c r="AB26" s="2">
        <f t="shared" si="25"/>
        <v>92.9</v>
      </c>
      <c r="AC26" s="2">
        <f t="shared" si="26"/>
        <v>0</v>
      </c>
      <c r="AD26" s="2">
        <f>ROUND((((ET26)-(EU26))+AE26),6)</f>
        <v>4.0599999999999996</v>
      </c>
      <c r="AE26" s="2">
        <f t="shared" si="27"/>
        <v>1.76</v>
      </c>
      <c r="AF26" s="2">
        <f t="shared" si="27"/>
        <v>88.84</v>
      </c>
      <c r="AG26" s="2">
        <f t="shared" si="28"/>
        <v>0</v>
      </c>
      <c r="AH26" s="2">
        <f t="shared" si="29"/>
        <v>11.39</v>
      </c>
      <c r="AI26" s="2">
        <f t="shared" si="29"/>
        <v>0.13</v>
      </c>
      <c r="AJ26" s="2">
        <f t="shared" si="30"/>
        <v>0</v>
      </c>
      <c r="AK26" s="2">
        <v>92.9</v>
      </c>
      <c r="AL26" s="2">
        <v>0</v>
      </c>
      <c r="AM26" s="2">
        <v>4.0599999999999996</v>
      </c>
      <c r="AN26" s="2">
        <v>1.76</v>
      </c>
      <c r="AO26" s="2">
        <v>88.84</v>
      </c>
      <c r="AP26" s="2">
        <v>0</v>
      </c>
      <c r="AQ26" s="2">
        <v>11.39</v>
      </c>
      <c r="AR26" s="2">
        <v>0.13</v>
      </c>
      <c r="AS26" s="2">
        <v>0</v>
      </c>
      <c r="AT26" s="2">
        <v>80</v>
      </c>
      <c r="AU26" s="2">
        <v>68</v>
      </c>
      <c r="AV26" s="2">
        <v>1</v>
      </c>
      <c r="AW26" s="2">
        <v>1</v>
      </c>
      <c r="AX26" s="2"/>
      <c r="AY26" s="2"/>
      <c r="AZ26" s="2">
        <v>1</v>
      </c>
      <c r="BA26" s="2">
        <v>1</v>
      </c>
      <c r="BB26" s="2">
        <v>1</v>
      </c>
      <c r="BC26" s="2">
        <v>1</v>
      </c>
      <c r="BD26" s="2" t="s">
        <v>4</v>
      </c>
      <c r="BE26" s="2" t="s">
        <v>4</v>
      </c>
      <c r="BF26" s="2" t="s">
        <v>4</v>
      </c>
      <c r="BG26" s="2" t="s">
        <v>4</v>
      </c>
      <c r="BH26" s="2">
        <v>0</v>
      </c>
      <c r="BI26" s="2">
        <v>1</v>
      </c>
      <c r="BJ26" s="2" t="s">
        <v>24</v>
      </c>
      <c r="BK26" s="2"/>
      <c r="BL26" s="2"/>
      <c r="BM26" s="2">
        <v>57001</v>
      </c>
      <c r="BN26" s="2">
        <v>0</v>
      </c>
      <c r="BO26" s="2" t="s">
        <v>4</v>
      </c>
      <c r="BP26" s="2">
        <v>0</v>
      </c>
      <c r="BQ26" s="2">
        <v>6</v>
      </c>
      <c r="BR26" s="2">
        <v>0</v>
      </c>
      <c r="BS26" s="2">
        <v>1</v>
      </c>
      <c r="BT26" s="2">
        <v>1</v>
      </c>
      <c r="BU26" s="2">
        <v>1</v>
      </c>
      <c r="BV26" s="2">
        <v>1</v>
      </c>
      <c r="BW26" s="2">
        <v>1</v>
      </c>
      <c r="BX26" s="2">
        <v>1</v>
      </c>
      <c r="BY26" s="2" t="s">
        <v>4</v>
      </c>
      <c r="BZ26" s="2">
        <v>80</v>
      </c>
      <c r="CA26" s="2">
        <v>68</v>
      </c>
      <c r="CB26" s="2"/>
      <c r="CC26" s="2"/>
      <c r="CD26" s="2"/>
      <c r="CE26" s="2"/>
      <c r="CF26" s="2">
        <v>0</v>
      </c>
      <c r="CG26" s="2">
        <v>0</v>
      </c>
      <c r="CH26" s="2"/>
      <c r="CI26" s="2"/>
      <c r="CJ26" s="2"/>
      <c r="CK26" s="2"/>
      <c r="CL26" s="2"/>
      <c r="CM26" s="2">
        <v>0</v>
      </c>
      <c r="CN26" s="2" t="s">
        <v>4</v>
      </c>
      <c r="CO26" s="2">
        <v>0</v>
      </c>
      <c r="CP26" s="2">
        <f t="shared" si="31"/>
        <v>33.72</v>
      </c>
      <c r="CQ26" s="2">
        <f t="shared" si="32"/>
        <v>0</v>
      </c>
      <c r="CR26" s="2">
        <f t="shared" si="33"/>
        <v>4.0599999999999996</v>
      </c>
      <c r="CS26" s="2">
        <f t="shared" si="34"/>
        <v>1.76</v>
      </c>
      <c r="CT26" s="2">
        <f t="shared" si="35"/>
        <v>88.84</v>
      </c>
      <c r="CU26" s="2">
        <f t="shared" si="36"/>
        <v>0</v>
      </c>
      <c r="CV26" s="2">
        <f t="shared" si="37"/>
        <v>11.39</v>
      </c>
      <c r="CW26" s="2">
        <f t="shared" si="38"/>
        <v>0.13</v>
      </c>
      <c r="CX26" s="2">
        <f t="shared" si="39"/>
        <v>0</v>
      </c>
      <c r="CY26" s="2">
        <f t="shared" si="40"/>
        <v>26.311999999999998</v>
      </c>
      <c r="CZ26" s="2">
        <f t="shared" si="41"/>
        <v>22.365200000000002</v>
      </c>
      <c r="DA26" s="2"/>
      <c r="DB26" s="2"/>
      <c r="DC26" s="2" t="s">
        <v>4</v>
      </c>
      <c r="DD26" s="2" t="s">
        <v>4</v>
      </c>
      <c r="DE26" s="2" t="s">
        <v>4</v>
      </c>
      <c r="DF26" s="2" t="s">
        <v>4</v>
      </c>
      <c r="DG26" s="2" t="s">
        <v>4</v>
      </c>
      <c r="DH26" s="2" t="s">
        <v>4</v>
      </c>
      <c r="DI26" s="2" t="s">
        <v>4</v>
      </c>
      <c r="DJ26" s="2" t="s">
        <v>4</v>
      </c>
      <c r="DK26" s="2" t="s">
        <v>4</v>
      </c>
      <c r="DL26" s="2" t="s">
        <v>4</v>
      </c>
      <c r="DM26" s="2" t="s">
        <v>4</v>
      </c>
      <c r="DN26" s="2">
        <v>0</v>
      </c>
      <c r="DO26" s="2">
        <v>0</v>
      </c>
      <c r="DP26" s="2">
        <v>1</v>
      </c>
      <c r="DQ26" s="2">
        <v>1</v>
      </c>
      <c r="DR26" s="2"/>
      <c r="DS26" s="2"/>
      <c r="DT26" s="2"/>
      <c r="DU26" s="2">
        <v>1005</v>
      </c>
      <c r="DV26" s="2" t="s">
        <v>23</v>
      </c>
      <c r="DW26" s="2" t="s">
        <v>23</v>
      </c>
      <c r="DX26" s="2">
        <v>100</v>
      </c>
      <c r="DY26" s="2"/>
      <c r="DZ26" s="2"/>
      <c r="EA26" s="2"/>
      <c r="EB26" s="2"/>
      <c r="EC26" s="2"/>
      <c r="ED26" s="2"/>
      <c r="EE26" s="2">
        <v>16510566</v>
      </c>
      <c r="EF26" s="2">
        <v>6</v>
      </c>
      <c r="EG26" s="2" t="s">
        <v>17</v>
      </c>
      <c r="EH26" s="2">
        <v>0</v>
      </c>
      <c r="EI26" s="2" t="s">
        <v>4</v>
      </c>
      <c r="EJ26" s="2">
        <v>1</v>
      </c>
      <c r="EK26" s="2">
        <v>57001</v>
      </c>
      <c r="EL26" s="2" t="s">
        <v>18</v>
      </c>
      <c r="EM26" s="2" t="s">
        <v>19</v>
      </c>
      <c r="EN26" s="2"/>
      <c r="EO26" s="2" t="s">
        <v>4</v>
      </c>
      <c r="EP26" s="2"/>
      <c r="EQ26" s="2">
        <v>0</v>
      </c>
      <c r="ER26" s="2">
        <v>92.9</v>
      </c>
      <c r="ES26" s="2">
        <v>0</v>
      </c>
      <c r="ET26" s="2">
        <v>4.0599999999999996</v>
      </c>
      <c r="EU26" s="2">
        <v>1.76</v>
      </c>
      <c r="EV26" s="2">
        <v>88.84</v>
      </c>
      <c r="EW26" s="2">
        <v>11.39</v>
      </c>
      <c r="EX26" s="2">
        <v>0.13</v>
      </c>
      <c r="EY26" s="2">
        <v>0</v>
      </c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>
        <v>0</v>
      </c>
      <c r="FR26" s="2">
        <f t="shared" si="42"/>
        <v>0</v>
      </c>
      <c r="FS26" s="2">
        <v>0</v>
      </c>
      <c r="FT26" s="2"/>
      <c r="FU26" s="2"/>
      <c r="FV26" s="2"/>
      <c r="FW26" s="2"/>
      <c r="FX26" s="2">
        <v>80</v>
      </c>
      <c r="FY26" s="2">
        <v>68</v>
      </c>
      <c r="FZ26" s="2"/>
      <c r="GA26" s="2" t="s">
        <v>4</v>
      </c>
      <c r="GB26" s="2"/>
      <c r="GC26" s="2"/>
      <c r="GD26" s="2">
        <v>0</v>
      </c>
      <c r="GE26" s="2"/>
      <c r="GF26" s="2">
        <v>-1228944231</v>
      </c>
      <c r="GG26" s="2">
        <v>2</v>
      </c>
      <c r="GH26" s="2">
        <v>1</v>
      </c>
      <c r="GI26" s="2">
        <v>-2</v>
      </c>
      <c r="GJ26" s="2">
        <v>0</v>
      </c>
      <c r="GK26" s="2">
        <f>ROUND(R26*(R12)/100,2)</f>
        <v>0</v>
      </c>
      <c r="GL26" s="2">
        <f t="shared" si="43"/>
        <v>0</v>
      </c>
      <c r="GM26" s="2">
        <f t="shared" si="44"/>
        <v>82.4</v>
      </c>
      <c r="GN26" s="2">
        <f t="shared" si="45"/>
        <v>82.4</v>
      </c>
      <c r="GO26" s="2">
        <f t="shared" si="46"/>
        <v>0</v>
      </c>
      <c r="GP26" s="2">
        <f t="shared" si="47"/>
        <v>0</v>
      </c>
      <c r="GQ26" s="2"/>
      <c r="GR26" s="2">
        <v>0</v>
      </c>
      <c r="GS26" s="2">
        <v>3</v>
      </c>
      <c r="GT26" s="2">
        <v>0</v>
      </c>
      <c r="GU26" s="2" t="s">
        <v>4</v>
      </c>
      <c r="GV26" s="2">
        <f t="shared" si="48"/>
        <v>0</v>
      </c>
      <c r="GW26" s="2">
        <v>1</v>
      </c>
      <c r="GX26" s="2">
        <f t="shared" si="49"/>
        <v>0</v>
      </c>
      <c r="GY26" s="2"/>
      <c r="GZ26" s="2"/>
      <c r="HA26" s="2">
        <v>0</v>
      </c>
      <c r="HB26" s="2">
        <v>0</v>
      </c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>
        <v>0</v>
      </c>
      <c r="IL26" s="2"/>
      <c r="IM26" s="2"/>
      <c r="IN26" s="2"/>
      <c r="IO26" s="2"/>
      <c r="IP26" s="2"/>
      <c r="IQ26" s="2"/>
      <c r="IR26" s="2"/>
      <c r="IS26" s="2"/>
      <c r="IT26" s="2"/>
      <c r="IU26" s="2"/>
    </row>
    <row r="27" spans="1:255" x14ac:dyDescent="0.2">
      <c r="A27">
        <v>17</v>
      </c>
      <c r="B27">
        <v>1</v>
      </c>
      <c r="C27">
        <f>ROW(SmtRes!A8)</f>
        <v>8</v>
      </c>
      <c r="D27">
        <f>ROW(EtalonRes!A12)</f>
        <v>12</v>
      </c>
      <c r="E27" t="s">
        <v>20</v>
      </c>
      <c r="F27" t="s">
        <v>21</v>
      </c>
      <c r="G27" t="s">
        <v>22</v>
      </c>
      <c r="H27" t="s">
        <v>23</v>
      </c>
      <c r="I27">
        <f t="shared" si="50"/>
        <v>0.36299999999999999</v>
      </c>
      <c r="J27">
        <v>0</v>
      </c>
      <c r="O27">
        <f t="shared" si="14"/>
        <v>205.03</v>
      </c>
      <c r="P27">
        <f t="shared" si="15"/>
        <v>0</v>
      </c>
      <c r="Q27">
        <f t="shared" si="16"/>
        <v>8.9600000000000009</v>
      </c>
      <c r="R27">
        <f t="shared" si="17"/>
        <v>3.88</v>
      </c>
      <c r="S27">
        <f t="shared" si="18"/>
        <v>196.07</v>
      </c>
      <c r="T27">
        <f t="shared" si="19"/>
        <v>0</v>
      </c>
      <c r="U27">
        <f t="shared" si="20"/>
        <v>4.1345700000000001</v>
      </c>
      <c r="V27">
        <f t="shared" si="21"/>
        <v>4.7190000000000003E-2</v>
      </c>
      <c r="W27">
        <f t="shared" si="22"/>
        <v>0</v>
      </c>
      <c r="X27">
        <f t="shared" si="23"/>
        <v>159.96</v>
      </c>
      <c r="Y27">
        <f t="shared" si="24"/>
        <v>135.97</v>
      </c>
      <c r="AA27">
        <v>16501255</v>
      </c>
      <c r="AB27">
        <f t="shared" si="25"/>
        <v>92.9</v>
      </c>
      <c r="AC27">
        <f t="shared" si="26"/>
        <v>0</v>
      </c>
      <c r="AD27">
        <f>ROUND((((ET27)-(EU27))+AE27),6)</f>
        <v>4.0599999999999996</v>
      </c>
      <c r="AE27">
        <f t="shared" si="27"/>
        <v>1.76</v>
      </c>
      <c r="AF27">
        <f t="shared" si="27"/>
        <v>88.84</v>
      </c>
      <c r="AG27">
        <f t="shared" si="28"/>
        <v>0</v>
      </c>
      <c r="AH27">
        <f t="shared" si="29"/>
        <v>11.39</v>
      </c>
      <c r="AI27">
        <f t="shared" si="29"/>
        <v>0.13</v>
      </c>
      <c r="AJ27">
        <f t="shared" si="30"/>
        <v>0</v>
      </c>
      <c r="AK27">
        <v>92.9</v>
      </c>
      <c r="AL27">
        <v>0</v>
      </c>
      <c r="AM27">
        <v>4.0599999999999996</v>
      </c>
      <c r="AN27">
        <v>1.76</v>
      </c>
      <c r="AO27">
        <v>88.84</v>
      </c>
      <c r="AP27">
        <v>0</v>
      </c>
      <c r="AQ27">
        <v>11.39</v>
      </c>
      <c r="AR27">
        <v>0.13</v>
      </c>
      <c r="AS27">
        <v>0</v>
      </c>
      <c r="AT27">
        <v>80</v>
      </c>
      <c r="AU27">
        <v>68</v>
      </c>
      <c r="AV27">
        <v>1</v>
      </c>
      <c r="AW27">
        <v>1</v>
      </c>
      <c r="AZ27">
        <v>6.08</v>
      </c>
      <c r="BA27">
        <v>6.08</v>
      </c>
      <c r="BB27">
        <v>6.08</v>
      </c>
      <c r="BC27">
        <v>6.08</v>
      </c>
      <c r="BD27" t="s">
        <v>4</v>
      </c>
      <c r="BE27" t="s">
        <v>4</v>
      </c>
      <c r="BF27" t="s">
        <v>4</v>
      </c>
      <c r="BG27" t="s">
        <v>4</v>
      </c>
      <c r="BH27">
        <v>0</v>
      </c>
      <c r="BI27">
        <v>1</v>
      </c>
      <c r="BJ27" t="s">
        <v>24</v>
      </c>
      <c r="BM27">
        <v>57001</v>
      </c>
      <c r="BN27">
        <v>0</v>
      </c>
      <c r="BO27" t="s">
        <v>4</v>
      </c>
      <c r="BP27">
        <v>0</v>
      </c>
      <c r="BQ27">
        <v>6</v>
      </c>
      <c r="BR27">
        <v>0</v>
      </c>
      <c r="BS27">
        <v>6.08</v>
      </c>
      <c r="BT27">
        <v>1</v>
      </c>
      <c r="BU27">
        <v>1</v>
      </c>
      <c r="BV27">
        <v>1</v>
      </c>
      <c r="BW27">
        <v>1</v>
      </c>
      <c r="BX27">
        <v>1</v>
      </c>
      <c r="BY27" t="s">
        <v>4</v>
      </c>
      <c r="BZ27">
        <v>80</v>
      </c>
      <c r="CA27">
        <v>68</v>
      </c>
      <c r="CF27">
        <v>0</v>
      </c>
      <c r="CG27">
        <v>0</v>
      </c>
      <c r="CM27">
        <v>0</v>
      </c>
      <c r="CN27" t="s">
        <v>4</v>
      </c>
      <c r="CO27">
        <v>0</v>
      </c>
      <c r="CP27">
        <f t="shared" si="31"/>
        <v>205.03</v>
      </c>
      <c r="CQ27">
        <f t="shared" si="32"/>
        <v>0</v>
      </c>
      <c r="CR27">
        <f t="shared" si="33"/>
        <v>24.684799999999999</v>
      </c>
      <c r="CS27">
        <f t="shared" si="34"/>
        <v>10.700800000000001</v>
      </c>
      <c r="CT27">
        <f t="shared" si="35"/>
        <v>540.1472</v>
      </c>
      <c r="CU27">
        <f t="shared" si="36"/>
        <v>0</v>
      </c>
      <c r="CV27">
        <f t="shared" si="37"/>
        <v>11.39</v>
      </c>
      <c r="CW27">
        <f t="shared" si="38"/>
        <v>0.13</v>
      </c>
      <c r="CX27">
        <f t="shared" si="39"/>
        <v>0</v>
      </c>
      <c r="CY27">
        <f t="shared" si="40"/>
        <v>159.96</v>
      </c>
      <c r="CZ27">
        <f t="shared" si="41"/>
        <v>135.96599999999998</v>
      </c>
      <c r="DC27" t="s">
        <v>4</v>
      </c>
      <c r="DD27" t="s">
        <v>4</v>
      </c>
      <c r="DE27" t="s">
        <v>4</v>
      </c>
      <c r="DF27" t="s">
        <v>4</v>
      </c>
      <c r="DG27" t="s">
        <v>4</v>
      </c>
      <c r="DH27" t="s">
        <v>4</v>
      </c>
      <c r="DI27" t="s">
        <v>4</v>
      </c>
      <c r="DJ27" t="s">
        <v>4</v>
      </c>
      <c r="DK27" t="s">
        <v>4</v>
      </c>
      <c r="DL27" t="s">
        <v>4</v>
      </c>
      <c r="DM27" t="s">
        <v>4</v>
      </c>
      <c r="DN27">
        <v>0</v>
      </c>
      <c r="DO27">
        <v>0</v>
      </c>
      <c r="DP27">
        <v>1</v>
      </c>
      <c r="DQ27">
        <v>1</v>
      </c>
      <c r="DU27">
        <v>1005</v>
      </c>
      <c r="DV27" t="s">
        <v>23</v>
      </c>
      <c r="DW27" t="s">
        <v>23</v>
      </c>
      <c r="DX27">
        <v>100</v>
      </c>
      <c r="EE27">
        <v>16510566</v>
      </c>
      <c r="EF27">
        <v>6</v>
      </c>
      <c r="EG27" t="s">
        <v>17</v>
      </c>
      <c r="EH27">
        <v>0</v>
      </c>
      <c r="EI27" t="s">
        <v>4</v>
      </c>
      <c r="EJ27">
        <v>1</v>
      </c>
      <c r="EK27">
        <v>57001</v>
      </c>
      <c r="EL27" t="s">
        <v>18</v>
      </c>
      <c r="EM27" t="s">
        <v>19</v>
      </c>
      <c r="EO27" t="s">
        <v>4</v>
      </c>
      <c r="EQ27">
        <v>0</v>
      </c>
      <c r="ER27">
        <v>92.9</v>
      </c>
      <c r="ES27">
        <v>0</v>
      </c>
      <c r="ET27">
        <v>4.0599999999999996</v>
      </c>
      <c r="EU27">
        <v>1.76</v>
      </c>
      <c r="EV27">
        <v>88.84</v>
      </c>
      <c r="EW27">
        <v>11.39</v>
      </c>
      <c r="EX27">
        <v>0.13</v>
      </c>
      <c r="EY27">
        <v>0</v>
      </c>
      <c r="FQ27">
        <v>0</v>
      </c>
      <c r="FR27">
        <f t="shared" si="42"/>
        <v>0</v>
      </c>
      <c r="FS27">
        <v>0</v>
      </c>
      <c r="FX27">
        <v>80</v>
      </c>
      <c r="FY27">
        <v>68</v>
      </c>
      <c r="GA27" t="s">
        <v>4</v>
      </c>
      <c r="GD27">
        <v>0</v>
      </c>
      <c r="GF27">
        <v>-1228944231</v>
      </c>
      <c r="GG27">
        <v>1</v>
      </c>
      <c r="GH27">
        <v>1</v>
      </c>
      <c r="GI27">
        <v>4</v>
      </c>
      <c r="GJ27">
        <v>0</v>
      </c>
      <c r="GK27">
        <f>ROUND(R27*(S12)/100,2)</f>
        <v>0</v>
      </c>
      <c r="GL27">
        <f t="shared" si="43"/>
        <v>0</v>
      </c>
      <c r="GM27">
        <f t="shared" si="44"/>
        <v>500.96</v>
      </c>
      <c r="GN27">
        <f t="shared" si="45"/>
        <v>500.96</v>
      </c>
      <c r="GO27">
        <f t="shared" si="46"/>
        <v>0</v>
      </c>
      <c r="GP27">
        <f t="shared" si="47"/>
        <v>0</v>
      </c>
      <c r="GR27">
        <v>0</v>
      </c>
      <c r="GS27">
        <v>3</v>
      </c>
      <c r="GT27">
        <v>0</v>
      </c>
      <c r="GU27" t="s">
        <v>4</v>
      </c>
      <c r="GV27">
        <f t="shared" si="48"/>
        <v>0</v>
      </c>
      <c r="GW27">
        <v>1</v>
      </c>
      <c r="GX27">
        <f t="shared" si="49"/>
        <v>0</v>
      </c>
      <c r="HA27">
        <v>0</v>
      </c>
      <c r="HB27">
        <v>0</v>
      </c>
      <c r="IK27">
        <v>0</v>
      </c>
    </row>
    <row r="28" spans="1:255" x14ac:dyDescent="0.2">
      <c r="A28" s="2">
        <v>17</v>
      </c>
      <c r="B28" s="2">
        <v>1</v>
      </c>
      <c r="C28" s="2">
        <f>ROW(SmtRes!A15)</f>
        <v>15</v>
      </c>
      <c r="D28" s="2">
        <f>ROW(EtalonRes!A19)</f>
        <v>19</v>
      </c>
      <c r="E28" s="2" t="s">
        <v>25</v>
      </c>
      <c r="F28" s="2" t="s">
        <v>26</v>
      </c>
      <c r="G28" s="2" t="s">
        <v>27</v>
      </c>
      <c r="H28" s="2" t="s">
        <v>23</v>
      </c>
      <c r="I28" s="2">
        <f t="shared" si="50"/>
        <v>0.36299999999999999</v>
      </c>
      <c r="J28" s="2">
        <v>0</v>
      </c>
      <c r="K28" s="2"/>
      <c r="L28" s="2"/>
      <c r="M28" s="2"/>
      <c r="N28" s="2"/>
      <c r="O28" s="2">
        <f t="shared" si="14"/>
        <v>4021.55</v>
      </c>
      <c r="P28" s="2">
        <f t="shared" si="15"/>
        <v>3884.58</v>
      </c>
      <c r="Q28" s="2">
        <f t="shared" si="16"/>
        <v>2.83</v>
      </c>
      <c r="R28" s="2">
        <f t="shared" si="17"/>
        <v>0.89</v>
      </c>
      <c r="S28" s="2">
        <f t="shared" si="18"/>
        <v>134.13999999999999</v>
      </c>
      <c r="T28" s="2">
        <f t="shared" si="19"/>
        <v>0</v>
      </c>
      <c r="U28" s="2">
        <f t="shared" si="20"/>
        <v>15.725341499999997</v>
      </c>
      <c r="V28" s="2">
        <f t="shared" si="21"/>
        <v>7.7137500000000012E-2</v>
      </c>
      <c r="W28" s="2">
        <f t="shared" si="22"/>
        <v>0</v>
      </c>
      <c r="X28" s="2">
        <f t="shared" si="23"/>
        <v>149.88</v>
      </c>
      <c r="Y28" s="2">
        <f t="shared" si="24"/>
        <v>86.42</v>
      </c>
      <c r="Z28" s="2"/>
      <c r="AA28" s="2">
        <v>16501254</v>
      </c>
      <c r="AB28" s="2">
        <f t="shared" si="25"/>
        <v>11078.647000000001</v>
      </c>
      <c r="AC28" s="2">
        <f t="shared" si="26"/>
        <v>10701.33</v>
      </c>
      <c r="AD28" s="2">
        <f>ROUND(((((ET28*1.25))-((EU28*1.25)))+AE28),6)</f>
        <v>7.7874999999999996</v>
      </c>
      <c r="AE28" s="2">
        <f>ROUND(((EU28*1.25)),6)</f>
        <v>2.4624999999999999</v>
      </c>
      <c r="AF28" s="2">
        <f>ROUND(((EV28*1.15)),6)</f>
        <v>369.52949999999998</v>
      </c>
      <c r="AG28" s="2">
        <f t="shared" si="28"/>
        <v>0</v>
      </c>
      <c r="AH28" s="2">
        <f>((EW28*1.15))</f>
        <v>43.320499999999996</v>
      </c>
      <c r="AI28" s="2">
        <f>((EX28*1.25))</f>
        <v>0.21250000000000002</v>
      </c>
      <c r="AJ28" s="2">
        <f t="shared" si="30"/>
        <v>0</v>
      </c>
      <c r="AK28" s="2">
        <v>11028.89</v>
      </c>
      <c r="AL28" s="2">
        <v>10701.33</v>
      </c>
      <c r="AM28" s="2">
        <v>6.23</v>
      </c>
      <c r="AN28" s="2">
        <v>1.97</v>
      </c>
      <c r="AO28" s="2">
        <v>321.33</v>
      </c>
      <c r="AP28" s="2">
        <v>0</v>
      </c>
      <c r="AQ28" s="2">
        <v>37.67</v>
      </c>
      <c r="AR28" s="2">
        <v>0.17</v>
      </c>
      <c r="AS28" s="2">
        <v>0</v>
      </c>
      <c r="AT28" s="2">
        <v>111</v>
      </c>
      <c r="AU28" s="2">
        <v>64</v>
      </c>
      <c r="AV28" s="2">
        <v>1</v>
      </c>
      <c r="AW28" s="2">
        <v>1</v>
      </c>
      <c r="AX28" s="2"/>
      <c r="AY28" s="2"/>
      <c r="AZ28" s="2">
        <v>1</v>
      </c>
      <c r="BA28" s="2">
        <v>1</v>
      </c>
      <c r="BB28" s="2">
        <v>1</v>
      </c>
      <c r="BC28" s="2">
        <v>1</v>
      </c>
      <c r="BD28" s="2" t="s">
        <v>4</v>
      </c>
      <c r="BE28" s="2" t="s">
        <v>4</v>
      </c>
      <c r="BF28" s="2" t="s">
        <v>4</v>
      </c>
      <c r="BG28" s="2" t="s">
        <v>4</v>
      </c>
      <c r="BH28" s="2">
        <v>0</v>
      </c>
      <c r="BI28" s="2">
        <v>1</v>
      </c>
      <c r="BJ28" s="2" t="s">
        <v>28</v>
      </c>
      <c r="BK28" s="2"/>
      <c r="BL28" s="2"/>
      <c r="BM28" s="2">
        <v>11001</v>
      </c>
      <c r="BN28" s="2">
        <v>0</v>
      </c>
      <c r="BO28" s="2" t="s">
        <v>4</v>
      </c>
      <c r="BP28" s="2">
        <v>0</v>
      </c>
      <c r="BQ28" s="2">
        <v>2</v>
      </c>
      <c r="BR28" s="2">
        <v>0</v>
      </c>
      <c r="BS28" s="2">
        <v>1</v>
      </c>
      <c r="BT28" s="2">
        <v>1</v>
      </c>
      <c r="BU28" s="2">
        <v>1</v>
      </c>
      <c r="BV28" s="2">
        <v>1</v>
      </c>
      <c r="BW28" s="2">
        <v>1</v>
      </c>
      <c r="BX28" s="2">
        <v>1</v>
      </c>
      <c r="BY28" s="2" t="s">
        <v>4</v>
      </c>
      <c r="BZ28" s="2">
        <v>123</v>
      </c>
      <c r="CA28" s="2">
        <v>75</v>
      </c>
      <c r="CB28" s="2"/>
      <c r="CC28" s="2"/>
      <c r="CD28" s="2"/>
      <c r="CE28" s="2"/>
      <c r="CF28" s="2">
        <v>0</v>
      </c>
      <c r="CG28" s="2">
        <v>0</v>
      </c>
      <c r="CH28" s="2"/>
      <c r="CI28" s="2"/>
      <c r="CJ28" s="2"/>
      <c r="CK28" s="2"/>
      <c r="CL28" s="2"/>
      <c r="CM28" s="2">
        <v>0</v>
      </c>
      <c r="CN28" s="2" t="s">
        <v>323</v>
      </c>
      <c r="CO28" s="2">
        <v>0</v>
      </c>
      <c r="CP28" s="2">
        <f t="shared" si="31"/>
        <v>4021.5499999999997</v>
      </c>
      <c r="CQ28" s="2">
        <f t="shared" si="32"/>
        <v>10701.33</v>
      </c>
      <c r="CR28" s="2">
        <f t="shared" si="33"/>
        <v>7.7874999999999996</v>
      </c>
      <c r="CS28" s="2">
        <f t="shared" si="34"/>
        <v>2.4624999999999999</v>
      </c>
      <c r="CT28" s="2">
        <f t="shared" si="35"/>
        <v>369.52949999999998</v>
      </c>
      <c r="CU28" s="2">
        <f t="shared" si="36"/>
        <v>0</v>
      </c>
      <c r="CV28" s="2">
        <f t="shared" si="37"/>
        <v>43.320499999999996</v>
      </c>
      <c r="CW28" s="2">
        <f t="shared" si="38"/>
        <v>0.21250000000000002</v>
      </c>
      <c r="CX28" s="2">
        <f t="shared" si="39"/>
        <v>0</v>
      </c>
      <c r="CY28" s="2">
        <f t="shared" si="40"/>
        <v>149.88329999999996</v>
      </c>
      <c r="CZ28" s="2">
        <f t="shared" si="41"/>
        <v>86.419199999999989</v>
      </c>
      <c r="DA28" s="2"/>
      <c r="DB28" s="2"/>
      <c r="DC28" s="2" t="s">
        <v>4</v>
      </c>
      <c r="DD28" s="2" t="s">
        <v>4</v>
      </c>
      <c r="DE28" s="2" t="s">
        <v>29</v>
      </c>
      <c r="DF28" s="2" t="s">
        <v>29</v>
      </c>
      <c r="DG28" s="2" t="s">
        <v>30</v>
      </c>
      <c r="DH28" s="2" t="s">
        <v>4</v>
      </c>
      <c r="DI28" s="2" t="s">
        <v>30</v>
      </c>
      <c r="DJ28" s="2" t="s">
        <v>29</v>
      </c>
      <c r="DK28" s="2" t="s">
        <v>4</v>
      </c>
      <c r="DL28" s="2" t="s">
        <v>4</v>
      </c>
      <c r="DM28" s="2" t="s">
        <v>4</v>
      </c>
      <c r="DN28" s="2">
        <v>0</v>
      </c>
      <c r="DO28" s="2">
        <v>0</v>
      </c>
      <c r="DP28" s="2">
        <v>1</v>
      </c>
      <c r="DQ28" s="2">
        <v>1</v>
      </c>
      <c r="DR28" s="2"/>
      <c r="DS28" s="2"/>
      <c r="DT28" s="2"/>
      <c r="DU28" s="2">
        <v>1005</v>
      </c>
      <c r="DV28" s="2" t="s">
        <v>23</v>
      </c>
      <c r="DW28" s="2" t="s">
        <v>23</v>
      </c>
      <c r="DX28" s="2">
        <v>100</v>
      </c>
      <c r="DY28" s="2"/>
      <c r="DZ28" s="2"/>
      <c r="EA28" s="2"/>
      <c r="EB28" s="2"/>
      <c r="EC28" s="2"/>
      <c r="ED28" s="2"/>
      <c r="EE28" s="2">
        <v>16510488</v>
      </c>
      <c r="EF28" s="2">
        <v>2</v>
      </c>
      <c r="EG28" s="2" t="s">
        <v>31</v>
      </c>
      <c r="EH28" s="2">
        <v>0</v>
      </c>
      <c r="EI28" s="2" t="s">
        <v>4</v>
      </c>
      <c r="EJ28" s="2">
        <v>1</v>
      </c>
      <c r="EK28" s="2">
        <v>11001</v>
      </c>
      <c r="EL28" s="2" t="s">
        <v>18</v>
      </c>
      <c r="EM28" s="2" t="s">
        <v>32</v>
      </c>
      <c r="EN28" s="2"/>
      <c r="EO28" s="2" t="s">
        <v>33</v>
      </c>
      <c r="EP28" s="2"/>
      <c r="EQ28" s="2">
        <v>0</v>
      </c>
      <c r="ER28" s="2">
        <v>11028.89</v>
      </c>
      <c r="ES28" s="2">
        <v>10701.33</v>
      </c>
      <c r="ET28" s="2">
        <v>6.23</v>
      </c>
      <c r="EU28" s="2">
        <v>1.97</v>
      </c>
      <c r="EV28" s="2">
        <v>321.33</v>
      </c>
      <c r="EW28" s="2">
        <v>37.67</v>
      </c>
      <c r="EX28" s="2">
        <v>0.17</v>
      </c>
      <c r="EY28" s="2">
        <v>0</v>
      </c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>
        <v>0</v>
      </c>
      <c r="FR28" s="2">
        <f t="shared" si="42"/>
        <v>0</v>
      </c>
      <c r="FS28" s="2">
        <v>0</v>
      </c>
      <c r="FT28" s="2" t="s">
        <v>34</v>
      </c>
      <c r="FU28" s="2" t="s">
        <v>35</v>
      </c>
      <c r="FV28" s="2"/>
      <c r="FW28" s="2"/>
      <c r="FX28" s="2">
        <v>110.7</v>
      </c>
      <c r="FY28" s="2">
        <v>63.75</v>
      </c>
      <c r="FZ28" s="2"/>
      <c r="GA28" s="2" t="s">
        <v>4</v>
      </c>
      <c r="GB28" s="2"/>
      <c r="GC28" s="2"/>
      <c r="GD28" s="2">
        <v>0</v>
      </c>
      <c r="GE28" s="2"/>
      <c r="GF28" s="2">
        <v>1715562049</v>
      </c>
      <c r="GG28" s="2">
        <v>2</v>
      </c>
      <c r="GH28" s="2">
        <v>1</v>
      </c>
      <c r="GI28" s="2">
        <v>-2</v>
      </c>
      <c r="GJ28" s="2">
        <v>0</v>
      </c>
      <c r="GK28" s="2">
        <f>ROUND(R28*(R12)/100,2)</f>
        <v>0</v>
      </c>
      <c r="GL28" s="2">
        <f t="shared" si="43"/>
        <v>0</v>
      </c>
      <c r="GM28" s="2">
        <f t="shared" si="44"/>
        <v>4257.8500000000004</v>
      </c>
      <c r="GN28" s="2">
        <f t="shared" si="45"/>
        <v>4257.8500000000004</v>
      </c>
      <c r="GO28" s="2">
        <f t="shared" si="46"/>
        <v>0</v>
      </c>
      <c r="GP28" s="2">
        <f t="shared" si="47"/>
        <v>0</v>
      </c>
      <c r="GQ28" s="2"/>
      <c r="GR28" s="2">
        <v>0</v>
      </c>
      <c r="GS28" s="2">
        <v>3</v>
      </c>
      <c r="GT28" s="2">
        <v>0</v>
      </c>
      <c r="GU28" s="2" t="s">
        <v>4</v>
      </c>
      <c r="GV28" s="2">
        <f t="shared" si="48"/>
        <v>0</v>
      </c>
      <c r="GW28" s="2">
        <v>1</v>
      </c>
      <c r="GX28" s="2">
        <f t="shared" si="49"/>
        <v>0</v>
      </c>
      <c r="GY28" s="2"/>
      <c r="GZ28" s="2"/>
      <c r="HA28" s="2">
        <v>0</v>
      </c>
      <c r="HB28" s="2">
        <v>0</v>
      </c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>
        <v>0</v>
      </c>
      <c r="IL28" s="2"/>
      <c r="IM28" s="2"/>
      <c r="IN28" s="2"/>
      <c r="IO28" s="2"/>
      <c r="IP28" s="2"/>
      <c r="IQ28" s="2"/>
      <c r="IR28" s="2"/>
      <c r="IS28" s="2"/>
      <c r="IT28" s="2"/>
      <c r="IU28" s="2"/>
    </row>
    <row r="29" spans="1:255" x14ac:dyDescent="0.2">
      <c r="A29">
        <v>17</v>
      </c>
      <c r="B29">
        <v>1</v>
      </c>
      <c r="C29">
        <f>ROW(SmtRes!A22)</f>
        <v>22</v>
      </c>
      <c r="D29">
        <f>ROW(EtalonRes!A26)</f>
        <v>26</v>
      </c>
      <c r="E29" t="s">
        <v>25</v>
      </c>
      <c r="F29" t="s">
        <v>26</v>
      </c>
      <c r="G29" t="s">
        <v>27</v>
      </c>
      <c r="H29" t="s">
        <v>23</v>
      </c>
      <c r="I29">
        <f t="shared" si="50"/>
        <v>0.36299999999999999</v>
      </c>
      <c r="J29">
        <v>0</v>
      </c>
      <c r="O29">
        <f t="shared" si="14"/>
        <v>24451.02</v>
      </c>
      <c r="P29">
        <f t="shared" si="15"/>
        <v>23618.26</v>
      </c>
      <c r="Q29">
        <f t="shared" si="16"/>
        <v>17.190000000000001</v>
      </c>
      <c r="R29">
        <f t="shared" si="17"/>
        <v>5.43</v>
      </c>
      <c r="S29">
        <f t="shared" si="18"/>
        <v>815.57</v>
      </c>
      <c r="T29">
        <f t="shared" si="19"/>
        <v>0</v>
      </c>
      <c r="U29">
        <f t="shared" si="20"/>
        <v>15.725341499999997</v>
      </c>
      <c r="V29">
        <f t="shared" si="21"/>
        <v>7.7137500000000012E-2</v>
      </c>
      <c r="W29">
        <f t="shared" si="22"/>
        <v>0</v>
      </c>
      <c r="X29">
        <f t="shared" si="23"/>
        <v>911.31</v>
      </c>
      <c r="Y29">
        <f t="shared" si="24"/>
        <v>525.44000000000005</v>
      </c>
      <c r="AA29">
        <v>16501255</v>
      </c>
      <c r="AB29">
        <f t="shared" si="25"/>
        <v>11078.647000000001</v>
      </c>
      <c r="AC29">
        <f t="shared" si="26"/>
        <v>10701.33</v>
      </c>
      <c r="AD29">
        <f>ROUND(((((ET29*1.25))-((EU29*1.25)))+AE29),6)</f>
        <v>7.7874999999999996</v>
      </c>
      <c r="AE29">
        <f>ROUND(((EU29*1.25)),6)</f>
        <v>2.4624999999999999</v>
      </c>
      <c r="AF29">
        <f>ROUND(((EV29*1.15)),6)</f>
        <v>369.52949999999998</v>
      </c>
      <c r="AG29">
        <f t="shared" si="28"/>
        <v>0</v>
      </c>
      <c r="AH29">
        <f>((EW29*1.15))</f>
        <v>43.320499999999996</v>
      </c>
      <c r="AI29">
        <f>((EX29*1.25))</f>
        <v>0.21250000000000002</v>
      </c>
      <c r="AJ29">
        <f t="shared" si="30"/>
        <v>0</v>
      </c>
      <c r="AK29">
        <v>11028.89</v>
      </c>
      <c r="AL29">
        <v>10701.33</v>
      </c>
      <c r="AM29">
        <v>6.23</v>
      </c>
      <c r="AN29">
        <v>1.97</v>
      </c>
      <c r="AO29">
        <v>321.33</v>
      </c>
      <c r="AP29">
        <v>0</v>
      </c>
      <c r="AQ29">
        <v>37.67</v>
      </c>
      <c r="AR29">
        <v>0.17</v>
      </c>
      <c r="AS29">
        <v>0</v>
      </c>
      <c r="AT29">
        <v>111</v>
      </c>
      <c r="AU29">
        <v>64</v>
      </c>
      <c r="AV29">
        <v>1</v>
      </c>
      <c r="AW29">
        <v>1</v>
      </c>
      <c r="AZ29">
        <v>6.08</v>
      </c>
      <c r="BA29">
        <v>6.08</v>
      </c>
      <c r="BB29">
        <v>6.08</v>
      </c>
      <c r="BC29">
        <v>6.08</v>
      </c>
      <c r="BD29" t="s">
        <v>4</v>
      </c>
      <c r="BE29" t="s">
        <v>4</v>
      </c>
      <c r="BF29" t="s">
        <v>4</v>
      </c>
      <c r="BG29" t="s">
        <v>4</v>
      </c>
      <c r="BH29">
        <v>0</v>
      </c>
      <c r="BI29">
        <v>1</v>
      </c>
      <c r="BJ29" t="s">
        <v>28</v>
      </c>
      <c r="BM29">
        <v>11001</v>
      </c>
      <c r="BN29">
        <v>0</v>
      </c>
      <c r="BO29" t="s">
        <v>4</v>
      </c>
      <c r="BP29">
        <v>0</v>
      </c>
      <c r="BQ29">
        <v>2</v>
      </c>
      <c r="BR29">
        <v>0</v>
      </c>
      <c r="BS29">
        <v>6.08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4</v>
      </c>
      <c r="BZ29">
        <v>123</v>
      </c>
      <c r="CA29">
        <v>75</v>
      </c>
      <c r="CF29">
        <v>0</v>
      </c>
      <c r="CG29">
        <v>0</v>
      </c>
      <c r="CM29">
        <v>0</v>
      </c>
      <c r="CN29" t="s">
        <v>323</v>
      </c>
      <c r="CO29">
        <v>0</v>
      </c>
      <c r="CP29">
        <f t="shared" si="31"/>
        <v>24451.019999999997</v>
      </c>
      <c r="CQ29">
        <f t="shared" si="32"/>
        <v>65064.0864</v>
      </c>
      <c r="CR29">
        <f t="shared" si="33"/>
        <v>47.347999999999999</v>
      </c>
      <c r="CS29">
        <f t="shared" si="34"/>
        <v>14.972</v>
      </c>
      <c r="CT29">
        <f t="shared" si="35"/>
        <v>2246.73936</v>
      </c>
      <c r="CU29">
        <f t="shared" si="36"/>
        <v>0</v>
      </c>
      <c r="CV29">
        <f t="shared" si="37"/>
        <v>43.320499999999996</v>
      </c>
      <c r="CW29">
        <f t="shared" si="38"/>
        <v>0.21250000000000002</v>
      </c>
      <c r="CX29">
        <f t="shared" si="39"/>
        <v>0</v>
      </c>
      <c r="CY29">
        <f t="shared" si="40"/>
        <v>911.31</v>
      </c>
      <c r="CZ29">
        <f t="shared" si="41"/>
        <v>525.44000000000005</v>
      </c>
      <c r="DC29" t="s">
        <v>4</v>
      </c>
      <c r="DD29" t="s">
        <v>4</v>
      </c>
      <c r="DE29" t="s">
        <v>29</v>
      </c>
      <c r="DF29" t="s">
        <v>29</v>
      </c>
      <c r="DG29" t="s">
        <v>30</v>
      </c>
      <c r="DH29" t="s">
        <v>4</v>
      </c>
      <c r="DI29" t="s">
        <v>30</v>
      </c>
      <c r="DJ29" t="s">
        <v>29</v>
      </c>
      <c r="DK29" t="s">
        <v>4</v>
      </c>
      <c r="DL29" t="s">
        <v>4</v>
      </c>
      <c r="DM29" t="s">
        <v>4</v>
      </c>
      <c r="DN29">
        <v>0</v>
      </c>
      <c r="DO29">
        <v>0</v>
      </c>
      <c r="DP29">
        <v>1</v>
      </c>
      <c r="DQ29">
        <v>1</v>
      </c>
      <c r="DU29">
        <v>1005</v>
      </c>
      <c r="DV29" t="s">
        <v>23</v>
      </c>
      <c r="DW29" t="s">
        <v>23</v>
      </c>
      <c r="DX29">
        <v>100</v>
      </c>
      <c r="EE29">
        <v>16510488</v>
      </c>
      <c r="EF29">
        <v>2</v>
      </c>
      <c r="EG29" t="s">
        <v>31</v>
      </c>
      <c r="EH29">
        <v>0</v>
      </c>
      <c r="EI29" t="s">
        <v>4</v>
      </c>
      <c r="EJ29">
        <v>1</v>
      </c>
      <c r="EK29">
        <v>11001</v>
      </c>
      <c r="EL29" t="s">
        <v>18</v>
      </c>
      <c r="EM29" t="s">
        <v>32</v>
      </c>
      <c r="EO29" t="s">
        <v>33</v>
      </c>
      <c r="EQ29">
        <v>0</v>
      </c>
      <c r="ER29">
        <v>11028.89</v>
      </c>
      <c r="ES29">
        <v>10701.33</v>
      </c>
      <c r="ET29">
        <v>6.23</v>
      </c>
      <c r="EU29">
        <v>1.97</v>
      </c>
      <c r="EV29">
        <v>321.33</v>
      </c>
      <c r="EW29">
        <v>37.67</v>
      </c>
      <c r="EX29">
        <v>0.17</v>
      </c>
      <c r="EY29">
        <v>0</v>
      </c>
      <c r="FQ29">
        <v>0</v>
      </c>
      <c r="FR29">
        <f t="shared" si="42"/>
        <v>0</v>
      </c>
      <c r="FS29">
        <v>0</v>
      </c>
      <c r="FT29" t="s">
        <v>34</v>
      </c>
      <c r="FU29" t="s">
        <v>35</v>
      </c>
      <c r="FX29">
        <v>110.7</v>
      </c>
      <c r="FY29">
        <v>63.75</v>
      </c>
      <c r="GA29" t="s">
        <v>4</v>
      </c>
      <c r="GD29">
        <v>0</v>
      </c>
      <c r="GF29">
        <v>1715562049</v>
      </c>
      <c r="GG29">
        <v>1</v>
      </c>
      <c r="GH29">
        <v>1</v>
      </c>
      <c r="GI29">
        <v>4</v>
      </c>
      <c r="GJ29">
        <v>0</v>
      </c>
      <c r="GK29">
        <f>ROUND(R29*(S12)/100,2)</f>
        <v>0</v>
      </c>
      <c r="GL29">
        <f t="shared" si="43"/>
        <v>0</v>
      </c>
      <c r="GM29">
        <f t="shared" si="44"/>
        <v>25887.77</v>
      </c>
      <c r="GN29">
        <f t="shared" si="45"/>
        <v>25887.77</v>
      </c>
      <c r="GO29">
        <f t="shared" si="46"/>
        <v>0</v>
      </c>
      <c r="GP29">
        <f t="shared" si="47"/>
        <v>0</v>
      </c>
      <c r="GR29">
        <v>0</v>
      </c>
      <c r="GS29">
        <v>3</v>
      </c>
      <c r="GT29">
        <v>0</v>
      </c>
      <c r="GU29" t="s">
        <v>4</v>
      </c>
      <c r="GV29">
        <f t="shared" si="48"/>
        <v>0</v>
      </c>
      <c r="GW29">
        <v>1</v>
      </c>
      <c r="GX29">
        <f t="shared" si="49"/>
        <v>0</v>
      </c>
      <c r="HA29">
        <v>0</v>
      </c>
      <c r="HB29">
        <v>0</v>
      </c>
      <c r="IK29">
        <v>0</v>
      </c>
    </row>
    <row r="30" spans="1:255" x14ac:dyDescent="0.2">
      <c r="A30" s="2">
        <v>17</v>
      </c>
      <c r="B30" s="2">
        <v>1</v>
      </c>
      <c r="C30" s="2">
        <f>ROW(SmtRes!A28)</f>
        <v>28</v>
      </c>
      <c r="D30" s="2">
        <f>ROW(EtalonRes!A32)</f>
        <v>32</v>
      </c>
      <c r="E30" s="2" t="s">
        <v>36</v>
      </c>
      <c r="F30" s="2" t="s">
        <v>37</v>
      </c>
      <c r="G30" s="2" t="s">
        <v>38</v>
      </c>
      <c r="H30" s="2" t="s">
        <v>23</v>
      </c>
      <c r="I30" s="2">
        <f t="shared" si="50"/>
        <v>0.36299999999999999</v>
      </c>
      <c r="J30" s="2">
        <v>0</v>
      </c>
      <c r="K30" s="2"/>
      <c r="L30" s="2"/>
      <c r="M30" s="2"/>
      <c r="N30" s="2"/>
      <c r="O30" s="2">
        <f t="shared" si="14"/>
        <v>3764.31</v>
      </c>
      <c r="P30" s="2">
        <f t="shared" si="15"/>
        <v>3718.48</v>
      </c>
      <c r="Q30" s="2">
        <f t="shared" si="16"/>
        <v>2.75</v>
      </c>
      <c r="R30" s="2">
        <f t="shared" si="17"/>
        <v>0.79</v>
      </c>
      <c r="S30" s="2">
        <f t="shared" si="18"/>
        <v>43.08</v>
      </c>
      <c r="T30" s="2">
        <f t="shared" si="19"/>
        <v>0</v>
      </c>
      <c r="U30" s="2">
        <f t="shared" si="20"/>
        <v>5.0511449999999991</v>
      </c>
      <c r="V30" s="2">
        <f t="shared" si="21"/>
        <v>6.8062499999999998E-2</v>
      </c>
      <c r="W30" s="2">
        <f t="shared" si="22"/>
        <v>0</v>
      </c>
      <c r="X30" s="2">
        <f t="shared" si="23"/>
        <v>48.7</v>
      </c>
      <c r="Y30" s="2">
        <f t="shared" si="24"/>
        <v>28.08</v>
      </c>
      <c r="Z30" s="2"/>
      <c r="AA30" s="2">
        <v>16501254</v>
      </c>
      <c r="AB30" s="2">
        <f t="shared" si="25"/>
        <v>10369.9925</v>
      </c>
      <c r="AC30" s="2">
        <f>ROUND(((ES30*5)),6)</f>
        <v>10243.75</v>
      </c>
      <c r="AD30" s="2">
        <f>ROUND((((((ET30*5)*1.25))-(((EU30*5)*1.25)))+AE30),6)</f>
        <v>7.5625</v>
      </c>
      <c r="AE30" s="2">
        <f>ROUND((((EU30*5)*1.25)),6)</f>
        <v>2.1875</v>
      </c>
      <c r="AF30" s="2">
        <f>ROUND((((EV30*5)*1.15)),6)</f>
        <v>118.68</v>
      </c>
      <c r="AG30" s="2">
        <f t="shared" si="28"/>
        <v>0</v>
      </c>
      <c r="AH30" s="2">
        <f>(((EW30*5)*1.15))</f>
        <v>13.914999999999999</v>
      </c>
      <c r="AI30" s="2">
        <f>(((EX30*5)*1.25))</f>
        <v>0.1875</v>
      </c>
      <c r="AJ30" s="2">
        <f t="shared" si="30"/>
        <v>0</v>
      </c>
      <c r="AK30" s="2">
        <v>2070.6</v>
      </c>
      <c r="AL30" s="2">
        <v>2048.75</v>
      </c>
      <c r="AM30" s="2">
        <v>1.21</v>
      </c>
      <c r="AN30" s="2">
        <v>0.35</v>
      </c>
      <c r="AO30" s="2">
        <v>20.64</v>
      </c>
      <c r="AP30" s="2">
        <v>0</v>
      </c>
      <c r="AQ30" s="2">
        <v>2.42</v>
      </c>
      <c r="AR30" s="2">
        <v>0.03</v>
      </c>
      <c r="AS30" s="2">
        <v>0</v>
      </c>
      <c r="AT30" s="2">
        <v>111</v>
      </c>
      <c r="AU30" s="2">
        <v>64</v>
      </c>
      <c r="AV30" s="2">
        <v>1</v>
      </c>
      <c r="AW30" s="2">
        <v>1</v>
      </c>
      <c r="AX30" s="2"/>
      <c r="AY30" s="2"/>
      <c r="AZ30" s="2">
        <v>1</v>
      </c>
      <c r="BA30" s="2">
        <v>1</v>
      </c>
      <c r="BB30" s="2">
        <v>1</v>
      </c>
      <c r="BC30" s="2">
        <v>1</v>
      </c>
      <c r="BD30" s="2" t="s">
        <v>4</v>
      </c>
      <c r="BE30" s="2" t="s">
        <v>4</v>
      </c>
      <c r="BF30" s="2" t="s">
        <v>4</v>
      </c>
      <c r="BG30" s="2" t="s">
        <v>4</v>
      </c>
      <c r="BH30" s="2">
        <v>0</v>
      </c>
      <c r="BI30" s="2">
        <v>1</v>
      </c>
      <c r="BJ30" s="2" t="s">
        <v>39</v>
      </c>
      <c r="BK30" s="2"/>
      <c r="BL30" s="2"/>
      <c r="BM30" s="2">
        <v>11001</v>
      </c>
      <c r="BN30" s="2">
        <v>0</v>
      </c>
      <c r="BO30" s="2" t="s">
        <v>4</v>
      </c>
      <c r="BP30" s="2">
        <v>0</v>
      </c>
      <c r="BQ30" s="2">
        <v>2</v>
      </c>
      <c r="BR30" s="2">
        <v>0</v>
      </c>
      <c r="BS30" s="2">
        <v>1</v>
      </c>
      <c r="BT30" s="2">
        <v>1</v>
      </c>
      <c r="BU30" s="2">
        <v>1</v>
      </c>
      <c r="BV30" s="2">
        <v>1</v>
      </c>
      <c r="BW30" s="2">
        <v>1</v>
      </c>
      <c r="BX30" s="2">
        <v>1</v>
      </c>
      <c r="BY30" s="2" t="s">
        <v>4</v>
      </c>
      <c r="BZ30" s="2">
        <v>123</v>
      </c>
      <c r="CA30" s="2">
        <v>75</v>
      </c>
      <c r="CB30" s="2"/>
      <c r="CC30" s="2"/>
      <c r="CD30" s="2"/>
      <c r="CE30" s="2"/>
      <c r="CF30" s="2">
        <v>0</v>
      </c>
      <c r="CG30" s="2">
        <v>0</v>
      </c>
      <c r="CH30" s="2"/>
      <c r="CI30" s="2"/>
      <c r="CJ30" s="2"/>
      <c r="CK30" s="2"/>
      <c r="CL30" s="2"/>
      <c r="CM30" s="2">
        <v>0</v>
      </c>
      <c r="CN30" s="2" t="s">
        <v>323</v>
      </c>
      <c r="CO30" s="2">
        <v>0</v>
      </c>
      <c r="CP30" s="2">
        <f t="shared" si="31"/>
        <v>3764.31</v>
      </c>
      <c r="CQ30" s="2">
        <f t="shared" si="32"/>
        <v>10243.75</v>
      </c>
      <c r="CR30" s="2">
        <f t="shared" si="33"/>
        <v>7.5625</v>
      </c>
      <c r="CS30" s="2">
        <f t="shared" si="34"/>
        <v>2.1875</v>
      </c>
      <c r="CT30" s="2">
        <f t="shared" si="35"/>
        <v>118.68</v>
      </c>
      <c r="CU30" s="2">
        <f t="shared" si="36"/>
        <v>0</v>
      </c>
      <c r="CV30" s="2">
        <f t="shared" si="37"/>
        <v>13.914999999999999</v>
      </c>
      <c r="CW30" s="2">
        <f t="shared" si="38"/>
        <v>0.1875</v>
      </c>
      <c r="CX30" s="2">
        <f t="shared" si="39"/>
        <v>0</v>
      </c>
      <c r="CY30" s="2">
        <f t="shared" si="40"/>
        <v>48.695699999999995</v>
      </c>
      <c r="CZ30" s="2">
        <f t="shared" si="41"/>
        <v>28.076799999999999</v>
      </c>
      <c r="DA30" s="2"/>
      <c r="DB30" s="2"/>
      <c r="DC30" s="2" t="s">
        <v>4</v>
      </c>
      <c r="DD30" s="2" t="s">
        <v>40</v>
      </c>
      <c r="DE30" s="2" t="s">
        <v>41</v>
      </c>
      <c r="DF30" s="2" t="s">
        <v>41</v>
      </c>
      <c r="DG30" s="2" t="s">
        <v>42</v>
      </c>
      <c r="DH30" s="2" t="s">
        <v>4</v>
      </c>
      <c r="DI30" s="2" t="s">
        <v>42</v>
      </c>
      <c r="DJ30" s="2" t="s">
        <v>41</v>
      </c>
      <c r="DK30" s="2" t="s">
        <v>4</v>
      </c>
      <c r="DL30" s="2" t="s">
        <v>4</v>
      </c>
      <c r="DM30" s="2" t="s">
        <v>4</v>
      </c>
      <c r="DN30" s="2">
        <v>0</v>
      </c>
      <c r="DO30" s="2">
        <v>0</v>
      </c>
      <c r="DP30" s="2">
        <v>1</v>
      </c>
      <c r="DQ30" s="2">
        <v>1</v>
      </c>
      <c r="DR30" s="2"/>
      <c r="DS30" s="2"/>
      <c r="DT30" s="2"/>
      <c r="DU30" s="2">
        <v>1005</v>
      </c>
      <c r="DV30" s="2" t="s">
        <v>23</v>
      </c>
      <c r="DW30" s="2" t="s">
        <v>23</v>
      </c>
      <c r="DX30" s="2">
        <v>100</v>
      </c>
      <c r="DY30" s="2"/>
      <c r="DZ30" s="2"/>
      <c r="EA30" s="2"/>
      <c r="EB30" s="2"/>
      <c r="EC30" s="2"/>
      <c r="ED30" s="2"/>
      <c r="EE30" s="2">
        <v>16510488</v>
      </c>
      <c r="EF30" s="2">
        <v>2</v>
      </c>
      <c r="EG30" s="2" t="s">
        <v>31</v>
      </c>
      <c r="EH30" s="2">
        <v>0</v>
      </c>
      <c r="EI30" s="2" t="s">
        <v>4</v>
      </c>
      <c r="EJ30" s="2">
        <v>1</v>
      </c>
      <c r="EK30" s="2">
        <v>11001</v>
      </c>
      <c r="EL30" s="2" t="s">
        <v>18</v>
      </c>
      <c r="EM30" s="2" t="s">
        <v>32</v>
      </c>
      <c r="EN30" s="2"/>
      <c r="EO30" s="2" t="s">
        <v>33</v>
      </c>
      <c r="EP30" s="2"/>
      <c r="EQ30" s="2">
        <v>0</v>
      </c>
      <c r="ER30" s="2">
        <v>2070.6</v>
      </c>
      <c r="ES30" s="2">
        <v>2048.75</v>
      </c>
      <c r="ET30" s="2">
        <v>1.21</v>
      </c>
      <c r="EU30" s="2">
        <v>0.35</v>
      </c>
      <c r="EV30" s="2">
        <v>20.64</v>
      </c>
      <c r="EW30" s="2">
        <v>2.42</v>
      </c>
      <c r="EX30" s="2">
        <v>0.03</v>
      </c>
      <c r="EY30" s="2">
        <v>0</v>
      </c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>
        <v>0</v>
      </c>
      <c r="FR30" s="2">
        <f t="shared" si="42"/>
        <v>0</v>
      </c>
      <c r="FS30" s="2">
        <v>0</v>
      </c>
      <c r="FT30" s="2" t="s">
        <v>34</v>
      </c>
      <c r="FU30" s="2" t="s">
        <v>35</v>
      </c>
      <c r="FV30" s="2"/>
      <c r="FW30" s="2"/>
      <c r="FX30" s="2">
        <v>110.7</v>
      </c>
      <c r="FY30" s="2">
        <v>63.75</v>
      </c>
      <c r="FZ30" s="2"/>
      <c r="GA30" s="2" t="s">
        <v>4</v>
      </c>
      <c r="GB30" s="2"/>
      <c r="GC30" s="2"/>
      <c r="GD30" s="2">
        <v>0</v>
      </c>
      <c r="GE30" s="2"/>
      <c r="GF30" s="2">
        <v>337317905</v>
      </c>
      <c r="GG30" s="2">
        <v>2</v>
      </c>
      <c r="GH30" s="2">
        <v>1</v>
      </c>
      <c r="GI30" s="2">
        <v>-2</v>
      </c>
      <c r="GJ30" s="2">
        <v>0</v>
      </c>
      <c r="GK30" s="2">
        <f>ROUND(R30*(R12)/100,2)</f>
        <v>0</v>
      </c>
      <c r="GL30" s="2">
        <f t="shared" si="43"/>
        <v>0</v>
      </c>
      <c r="GM30" s="2">
        <f t="shared" si="44"/>
        <v>3841.09</v>
      </c>
      <c r="GN30" s="2">
        <f t="shared" si="45"/>
        <v>3841.09</v>
      </c>
      <c r="GO30" s="2">
        <f t="shared" si="46"/>
        <v>0</v>
      </c>
      <c r="GP30" s="2">
        <f t="shared" si="47"/>
        <v>0</v>
      </c>
      <c r="GQ30" s="2"/>
      <c r="GR30" s="2">
        <v>0</v>
      </c>
      <c r="GS30" s="2">
        <v>3</v>
      </c>
      <c r="GT30" s="2">
        <v>0</v>
      </c>
      <c r="GU30" s="2" t="s">
        <v>4</v>
      </c>
      <c r="GV30" s="2">
        <f t="shared" si="48"/>
        <v>0</v>
      </c>
      <c r="GW30" s="2">
        <v>1</v>
      </c>
      <c r="GX30" s="2">
        <f t="shared" si="49"/>
        <v>0</v>
      </c>
      <c r="GY30" s="2"/>
      <c r="GZ30" s="2"/>
      <c r="HA30" s="2">
        <v>0</v>
      </c>
      <c r="HB30" s="2">
        <v>0</v>
      </c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>
        <v>0</v>
      </c>
      <c r="IL30" s="2"/>
      <c r="IM30" s="2"/>
      <c r="IN30" s="2"/>
      <c r="IO30" s="2"/>
      <c r="IP30" s="2"/>
      <c r="IQ30" s="2"/>
      <c r="IR30" s="2"/>
      <c r="IS30" s="2"/>
      <c r="IT30" s="2"/>
      <c r="IU30" s="2"/>
    </row>
    <row r="31" spans="1:255" x14ac:dyDescent="0.2">
      <c r="A31">
        <v>17</v>
      </c>
      <c r="B31">
        <v>1</v>
      </c>
      <c r="C31">
        <f>ROW(SmtRes!A34)</f>
        <v>34</v>
      </c>
      <c r="D31">
        <f>ROW(EtalonRes!A38)</f>
        <v>38</v>
      </c>
      <c r="E31" t="s">
        <v>36</v>
      </c>
      <c r="F31" t="s">
        <v>37</v>
      </c>
      <c r="G31" t="s">
        <v>38</v>
      </c>
      <c r="H31" t="s">
        <v>23</v>
      </c>
      <c r="I31">
        <f t="shared" si="50"/>
        <v>0.36299999999999999</v>
      </c>
      <c r="J31">
        <v>0</v>
      </c>
      <c r="O31">
        <f t="shared" si="14"/>
        <v>22886.99</v>
      </c>
      <c r="P31">
        <f t="shared" si="15"/>
        <v>22608.37</v>
      </c>
      <c r="Q31">
        <f t="shared" si="16"/>
        <v>16.690000000000001</v>
      </c>
      <c r="R31">
        <f t="shared" si="17"/>
        <v>4.83</v>
      </c>
      <c r="S31">
        <f t="shared" si="18"/>
        <v>261.93</v>
      </c>
      <c r="T31">
        <f t="shared" si="19"/>
        <v>0</v>
      </c>
      <c r="U31">
        <f t="shared" si="20"/>
        <v>5.0511449999999991</v>
      </c>
      <c r="V31">
        <f t="shared" si="21"/>
        <v>6.8062499999999998E-2</v>
      </c>
      <c r="W31">
        <f t="shared" si="22"/>
        <v>0</v>
      </c>
      <c r="X31">
        <f t="shared" si="23"/>
        <v>296.10000000000002</v>
      </c>
      <c r="Y31">
        <f t="shared" si="24"/>
        <v>170.73</v>
      </c>
      <c r="AA31">
        <v>16501255</v>
      </c>
      <c r="AB31">
        <f t="shared" si="25"/>
        <v>10369.9925</v>
      </c>
      <c r="AC31">
        <f>ROUND(((ES31*5)),6)</f>
        <v>10243.75</v>
      </c>
      <c r="AD31">
        <f>ROUND((((((ET31*5)*1.25))-(((EU31*5)*1.25)))+AE31),6)</f>
        <v>7.5625</v>
      </c>
      <c r="AE31">
        <f>ROUND((((EU31*5)*1.25)),6)</f>
        <v>2.1875</v>
      </c>
      <c r="AF31">
        <f>ROUND((((EV31*5)*1.15)),6)</f>
        <v>118.68</v>
      </c>
      <c r="AG31">
        <f t="shared" si="28"/>
        <v>0</v>
      </c>
      <c r="AH31">
        <f>(((EW31*5)*1.15))</f>
        <v>13.914999999999999</v>
      </c>
      <c r="AI31">
        <f>(((EX31*5)*1.25))</f>
        <v>0.1875</v>
      </c>
      <c r="AJ31">
        <f t="shared" si="30"/>
        <v>0</v>
      </c>
      <c r="AK31">
        <v>2070.6</v>
      </c>
      <c r="AL31">
        <v>2048.75</v>
      </c>
      <c r="AM31">
        <v>1.21</v>
      </c>
      <c r="AN31">
        <v>0.35</v>
      </c>
      <c r="AO31">
        <v>20.64</v>
      </c>
      <c r="AP31">
        <v>0</v>
      </c>
      <c r="AQ31">
        <v>2.42</v>
      </c>
      <c r="AR31">
        <v>0.03</v>
      </c>
      <c r="AS31">
        <v>0</v>
      </c>
      <c r="AT31">
        <v>111</v>
      </c>
      <c r="AU31">
        <v>64</v>
      </c>
      <c r="AV31">
        <v>1</v>
      </c>
      <c r="AW31">
        <v>1</v>
      </c>
      <c r="AZ31">
        <v>6.08</v>
      </c>
      <c r="BA31">
        <v>6.08</v>
      </c>
      <c r="BB31">
        <v>6.08</v>
      </c>
      <c r="BC31">
        <v>6.08</v>
      </c>
      <c r="BD31" t="s">
        <v>4</v>
      </c>
      <c r="BE31" t="s">
        <v>4</v>
      </c>
      <c r="BF31" t="s">
        <v>4</v>
      </c>
      <c r="BG31" t="s">
        <v>4</v>
      </c>
      <c r="BH31">
        <v>0</v>
      </c>
      <c r="BI31">
        <v>1</v>
      </c>
      <c r="BJ31" t="s">
        <v>39</v>
      </c>
      <c r="BM31">
        <v>11001</v>
      </c>
      <c r="BN31">
        <v>0</v>
      </c>
      <c r="BO31" t="s">
        <v>4</v>
      </c>
      <c r="BP31">
        <v>0</v>
      </c>
      <c r="BQ31">
        <v>2</v>
      </c>
      <c r="BR31">
        <v>0</v>
      </c>
      <c r="BS31">
        <v>6.08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4</v>
      </c>
      <c r="BZ31">
        <v>123</v>
      </c>
      <c r="CA31">
        <v>75</v>
      </c>
      <c r="CF31">
        <v>0</v>
      </c>
      <c r="CG31">
        <v>0</v>
      </c>
      <c r="CM31">
        <v>0</v>
      </c>
      <c r="CN31" t="s">
        <v>323</v>
      </c>
      <c r="CO31">
        <v>0</v>
      </c>
      <c r="CP31">
        <f t="shared" si="31"/>
        <v>22886.989999999998</v>
      </c>
      <c r="CQ31">
        <f t="shared" si="32"/>
        <v>62282</v>
      </c>
      <c r="CR31">
        <f t="shared" si="33"/>
        <v>45.980000000000004</v>
      </c>
      <c r="CS31">
        <f t="shared" si="34"/>
        <v>13.3</v>
      </c>
      <c r="CT31">
        <f t="shared" si="35"/>
        <v>721.57440000000008</v>
      </c>
      <c r="CU31">
        <f t="shared" si="36"/>
        <v>0</v>
      </c>
      <c r="CV31">
        <f t="shared" si="37"/>
        <v>13.914999999999999</v>
      </c>
      <c r="CW31">
        <f t="shared" si="38"/>
        <v>0.1875</v>
      </c>
      <c r="CX31">
        <f t="shared" si="39"/>
        <v>0</v>
      </c>
      <c r="CY31">
        <f t="shared" si="40"/>
        <v>296.10360000000003</v>
      </c>
      <c r="CZ31">
        <f t="shared" si="41"/>
        <v>170.72639999999998</v>
      </c>
      <c r="DC31" t="s">
        <v>4</v>
      </c>
      <c r="DD31" t="s">
        <v>40</v>
      </c>
      <c r="DE31" t="s">
        <v>41</v>
      </c>
      <c r="DF31" t="s">
        <v>41</v>
      </c>
      <c r="DG31" t="s">
        <v>42</v>
      </c>
      <c r="DH31" t="s">
        <v>4</v>
      </c>
      <c r="DI31" t="s">
        <v>42</v>
      </c>
      <c r="DJ31" t="s">
        <v>41</v>
      </c>
      <c r="DK31" t="s">
        <v>4</v>
      </c>
      <c r="DL31" t="s">
        <v>4</v>
      </c>
      <c r="DM31" t="s">
        <v>4</v>
      </c>
      <c r="DN31">
        <v>0</v>
      </c>
      <c r="DO31">
        <v>0</v>
      </c>
      <c r="DP31">
        <v>1</v>
      </c>
      <c r="DQ31">
        <v>1</v>
      </c>
      <c r="DU31">
        <v>1005</v>
      </c>
      <c r="DV31" t="s">
        <v>23</v>
      </c>
      <c r="DW31" t="s">
        <v>23</v>
      </c>
      <c r="DX31">
        <v>100</v>
      </c>
      <c r="EE31">
        <v>16510488</v>
      </c>
      <c r="EF31">
        <v>2</v>
      </c>
      <c r="EG31" t="s">
        <v>31</v>
      </c>
      <c r="EH31">
        <v>0</v>
      </c>
      <c r="EI31" t="s">
        <v>4</v>
      </c>
      <c r="EJ31">
        <v>1</v>
      </c>
      <c r="EK31">
        <v>11001</v>
      </c>
      <c r="EL31" t="s">
        <v>18</v>
      </c>
      <c r="EM31" t="s">
        <v>32</v>
      </c>
      <c r="EO31" t="s">
        <v>33</v>
      </c>
      <c r="EQ31">
        <v>0</v>
      </c>
      <c r="ER31">
        <v>2070.6</v>
      </c>
      <c r="ES31">
        <v>2048.75</v>
      </c>
      <c r="ET31">
        <v>1.21</v>
      </c>
      <c r="EU31">
        <v>0.35</v>
      </c>
      <c r="EV31">
        <v>20.64</v>
      </c>
      <c r="EW31">
        <v>2.42</v>
      </c>
      <c r="EX31">
        <v>0.03</v>
      </c>
      <c r="EY31">
        <v>0</v>
      </c>
      <c r="FQ31">
        <v>0</v>
      </c>
      <c r="FR31">
        <f t="shared" si="42"/>
        <v>0</v>
      </c>
      <c r="FS31">
        <v>0</v>
      </c>
      <c r="FT31" t="s">
        <v>34</v>
      </c>
      <c r="FU31" t="s">
        <v>35</v>
      </c>
      <c r="FX31">
        <v>110.7</v>
      </c>
      <c r="FY31">
        <v>63.75</v>
      </c>
      <c r="GA31" t="s">
        <v>4</v>
      </c>
      <c r="GD31">
        <v>0</v>
      </c>
      <c r="GF31">
        <v>337317905</v>
      </c>
      <c r="GG31">
        <v>1</v>
      </c>
      <c r="GH31">
        <v>1</v>
      </c>
      <c r="GI31">
        <v>4</v>
      </c>
      <c r="GJ31">
        <v>0</v>
      </c>
      <c r="GK31">
        <f>ROUND(R31*(S12)/100,2)</f>
        <v>0</v>
      </c>
      <c r="GL31">
        <f t="shared" si="43"/>
        <v>0</v>
      </c>
      <c r="GM31">
        <f t="shared" si="44"/>
        <v>23353.82</v>
      </c>
      <c r="GN31">
        <f t="shared" si="45"/>
        <v>23353.82</v>
      </c>
      <c r="GO31">
        <f t="shared" si="46"/>
        <v>0</v>
      </c>
      <c r="GP31">
        <f t="shared" si="47"/>
        <v>0</v>
      </c>
      <c r="GR31">
        <v>0</v>
      </c>
      <c r="GS31">
        <v>3</v>
      </c>
      <c r="GT31">
        <v>0</v>
      </c>
      <c r="GU31" t="s">
        <v>4</v>
      </c>
      <c r="GV31">
        <f t="shared" si="48"/>
        <v>0</v>
      </c>
      <c r="GW31">
        <v>1</v>
      </c>
      <c r="GX31">
        <f t="shared" si="49"/>
        <v>0</v>
      </c>
      <c r="HA31">
        <v>0</v>
      </c>
      <c r="HB31">
        <v>0</v>
      </c>
      <c r="IK31">
        <v>0</v>
      </c>
    </row>
    <row r="32" spans="1:255" x14ac:dyDescent="0.2">
      <c r="A32" s="2">
        <v>17</v>
      </c>
      <c r="B32" s="2">
        <v>1</v>
      </c>
      <c r="C32" s="2">
        <f>ROW(SmtRes!A42)</f>
        <v>42</v>
      </c>
      <c r="D32" s="2">
        <f>ROW(EtalonRes!A45)</f>
        <v>45</v>
      </c>
      <c r="E32" s="2" t="s">
        <v>43</v>
      </c>
      <c r="F32" s="2" t="s">
        <v>44</v>
      </c>
      <c r="G32" s="2" t="s">
        <v>45</v>
      </c>
      <c r="H32" s="2" t="s">
        <v>23</v>
      </c>
      <c r="I32" s="2">
        <f t="shared" si="50"/>
        <v>0.36299999999999999</v>
      </c>
      <c r="J32" s="2">
        <v>0</v>
      </c>
      <c r="K32" s="2"/>
      <c r="L32" s="2"/>
      <c r="M32" s="2"/>
      <c r="N32" s="2"/>
      <c r="O32" s="2">
        <f t="shared" si="14"/>
        <v>167.28</v>
      </c>
      <c r="P32" s="2">
        <f t="shared" si="15"/>
        <v>0.33</v>
      </c>
      <c r="Q32" s="2">
        <f t="shared" si="16"/>
        <v>19.87</v>
      </c>
      <c r="R32" s="2">
        <f t="shared" si="17"/>
        <v>4.78</v>
      </c>
      <c r="S32" s="2">
        <f t="shared" si="18"/>
        <v>147.08000000000001</v>
      </c>
      <c r="T32" s="2">
        <f t="shared" si="19"/>
        <v>0</v>
      </c>
      <c r="U32" s="2">
        <f t="shared" si="20"/>
        <v>17.69988</v>
      </c>
      <c r="V32" s="2">
        <f t="shared" si="21"/>
        <v>0.38568749999999996</v>
      </c>
      <c r="W32" s="2">
        <f t="shared" si="22"/>
        <v>0</v>
      </c>
      <c r="X32" s="2">
        <f t="shared" si="23"/>
        <v>168.56</v>
      </c>
      <c r="Y32" s="2">
        <f t="shared" si="24"/>
        <v>97.19</v>
      </c>
      <c r="Z32" s="2"/>
      <c r="AA32" s="2">
        <v>16501254</v>
      </c>
      <c r="AB32" s="2">
        <f t="shared" si="25"/>
        <v>460.851</v>
      </c>
      <c r="AC32" s="2">
        <f t="shared" ref="AC32:AC75" si="51">ROUND((ES32),6)</f>
        <v>0.91</v>
      </c>
      <c r="AD32" s="2">
        <f>ROUND(((((ET32*1.25))-((EU32*1.25)))+AE32),6)</f>
        <v>54.75</v>
      </c>
      <c r="AE32" s="2">
        <f>ROUND(((EU32*1.25)),6)</f>
        <v>13.1625</v>
      </c>
      <c r="AF32" s="2">
        <f>ROUND(((EV32*1.15)),6)</f>
        <v>405.19099999999997</v>
      </c>
      <c r="AG32" s="2">
        <f t="shared" si="28"/>
        <v>0</v>
      </c>
      <c r="AH32" s="2">
        <f>((EW32*1.15))</f>
        <v>48.76</v>
      </c>
      <c r="AI32" s="2">
        <f>((EX32*1.25))</f>
        <v>1.0625</v>
      </c>
      <c r="AJ32" s="2">
        <f t="shared" si="30"/>
        <v>0</v>
      </c>
      <c r="AK32" s="2">
        <v>397.05</v>
      </c>
      <c r="AL32" s="2">
        <v>0.91</v>
      </c>
      <c r="AM32" s="2">
        <v>43.8</v>
      </c>
      <c r="AN32" s="2">
        <v>10.53</v>
      </c>
      <c r="AO32" s="2">
        <v>352.34</v>
      </c>
      <c r="AP32" s="2">
        <v>0</v>
      </c>
      <c r="AQ32" s="2">
        <v>42.4</v>
      </c>
      <c r="AR32" s="2">
        <v>0.85</v>
      </c>
      <c r="AS32" s="2">
        <v>0</v>
      </c>
      <c r="AT32" s="2">
        <v>111</v>
      </c>
      <c r="AU32" s="2">
        <v>64</v>
      </c>
      <c r="AV32" s="2">
        <v>1</v>
      </c>
      <c r="AW32" s="2">
        <v>1</v>
      </c>
      <c r="AX32" s="2"/>
      <c r="AY32" s="2"/>
      <c r="AZ32" s="2">
        <v>1</v>
      </c>
      <c r="BA32" s="2">
        <v>1</v>
      </c>
      <c r="BB32" s="2">
        <v>1</v>
      </c>
      <c r="BC32" s="2">
        <v>1</v>
      </c>
      <c r="BD32" s="2" t="s">
        <v>4</v>
      </c>
      <c r="BE32" s="2" t="s">
        <v>4</v>
      </c>
      <c r="BF32" s="2" t="s">
        <v>4</v>
      </c>
      <c r="BG32" s="2" t="s">
        <v>4</v>
      </c>
      <c r="BH32" s="2">
        <v>0</v>
      </c>
      <c r="BI32" s="2">
        <v>1</v>
      </c>
      <c r="BJ32" s="2" t="s">
        <v>46</v>
      </c>
      <c r="BK32" s="2"/>
      <c r="BL32" s="2"/>
      <c r="BM32" s="2">
        <v>11001</v>
      </c>
      <c r="BN32" s="2">
        <v>0</v>
      </c>
      <c r="BO32" s="2" t="s">
        <v>4</v>
      </c>
      <c r="BP32" s="2">
        <v>0</v>
      </c>
      <c r="BQ32" s="2">
        <v>2</v>
      </c>
      <c r="BR32" s="2">
        <v>0</v>
      </c>
      <c r="BS32" s="2">
        <v>1</v>
      </c>
      <c r="BT32" s="2">
        <v>1</v>
      </c>
      <c r="BU32" s="2">
        <v>1</v>
      </c>
      <c r="BV32" s="2">
        <v>1</v>
      </c>
      <c r="BW32" s="2">
        <v>1</v>
      </c>
      <c r="BX32" s="2">
        <v>1</v>
      </c>
      <c r="BY32" s="2" t="s">
        <v>4</v>
      </c>
      <c r="BZ32" s="2">
        <v>123</v>
      </c>
      <c r="CA32" s="2">
        <v>75</v>
      </c>
      <c r="CB32" s="2"/>
      <c r="CC32" s="2"/>
      <c r="CD32" s="2"/>
      <c r="CE32" s="2"/>
      <c r="CF32" s="2">
        <v>0</v>
      </c>
      <c r="CG32" s="2">
        <v>0</v>
      </c>
      <c r="CH32" s="2"/>
      <c r="CI32" s="2"/>
      <c r="CJ32" s="2"/>
      <c r="CK32" s="2"/>
      <c r="CL32" s="2"/>
      <c r="CM32" s="2">
        <v>0</v>
      </c>
      <c r="CN32" s="2" t="s">
        <v>323</v>
      </c>
      <c r="CO32" s="2">
        <v>0</v>
      </c>
      <c r="CP32" s="2">
        <f t="shared" si="31"/>
        <v>167.28</v>
      </c>
      <c r="CQ32" s="2">
        <f t="shared" si="32"/>
        <v>0.91</v>
      </c>
      <c r="CR32" s="2">
        <f t="shared" si="33"/>
        <v>54.75</v>
      </c>
      <c r="CS32" s="2">
        <f t="shared" si="34"/>
        <v>13.1625</v>
      </c>
      <c r="CT32" s="2">
        <f t="shared" si="35"/>
        <v>405.19099999999997</v>
      </c>
      <c r="CU32" s="2">
        <f t="shared" si="36"/>
        <v>0</v>
      </c>
      <c r="CV32" s="2">
        <f t="shared" si="37"/>
        <v>48.76</v>
      </c>
      <c r="CW32" s="2">
        <f t="shared" si="38"/>
        <v>1.0625</v>
      </c>
      <c r="CX32" s="2">
        <f t="shared" si="39"/>
        <v>0</v>
      </c>
      <c r="CY32" s="2">
        <f t="shared" si="40"/>
        <v>168.56460000000004</v>
      </c>
      <c r="CZ32" s="2">
        <f t="shared" si="41"/>
        <v>97.190400000000011</v>
      </c>
      <c r="DA32" s="2"/>
      <c r="DB32" s="2"/>
      <c r="DC32" s="2" t="s">
        <v>4</v>
      </c>
      <c r="DD32" s="2" t="s">
        <v>4</v>
      </c>
      <c r="DE32" s="2" t="s">
        <v>29</v>
      </c>
      <c r="DF32" s="2" t="s">
        <v>29</v>
      </c>
      <c r="DG32" s="2" t="s">
        <v>30</v>
      </c>
      <c r="DH32" s="2" t="s">
        <v>4</v>
      </c>
      <c r="DI32" s="2" t="s">
        <v>30</v>
      </c>
      <c r="DJ32" s="2" t="s">
        <v>29</v>
      </c>
      <c r="DK32" s="2" t="s">
        <v>4</v>
      </c>
      <c r="DL32" s="2" t="s">
        <v>4</v>
      </c>
      <c r="DM32" s="2" t="s">
        <v>4</v>
      </c>
      <c r="DN32" s="2">
        <v>0</v>
      </c>
      <c r="DO32" s="2">
        <v>0</v>
      </c>
      <c r="DP32" s="2">
        <v>1</v>
      </c>
      <c r="DQ32" s="2">
        <v>1</v>
      </c>
      <c r="DR32" s="2"/>
      <c r="DS32" s="2"/>
      <c r="DT32" s="2"/>
      <c r="DU32" s="2">
        <v>1005</v>
      </c>
      <c r="DV32" s="2" t="s">
        <v>23</v>
      </c>
      <c r="DW32" s="2" t="s">
        <v>23</v>
      </c>
      <c r="DX32" s="2">
        <v>100</v>
      </c>
      <c r="DY32" s="2"/>
      <c r="DZ32" s="2"/>
      <c r="EA32" s="2"/>
      <c r="EB32" s="2"/>
      <c r="EC32" s="2"/>
      <c r="ED32" s="2"/>
      <c r="EE32" s="2">
        <v>16510488</v>
      </c>
      <c r="EF32" s="2">
        <v>2</v>
      </c>
      <c r="EG32" s="2" t="s">
        <v>31</v>
      </c>
      <c r="EH32" s="2">
        <v>0</v>
      </c>
      <c r="EI32" s="2" t="s">
        <v>4</v>
      </c>
      <c r="EJ32" s="2">
        <v>1</v>
      </c>
      <c r="EK32" s="2">
        <v>11001</v>
      </c>
      <c r="EL32" s="2" t="s">
        <v>18</v>
      </c>
      <c r="EM32" s="2" t="s">
        <v>32</v>
      </c>
      <c r="EN32" s="2"/>
      <c r="EO32" s="2" t="s">
        <v>33</v>
      </c>
      <c r="EP32" s="2"/>
      <c r="EQ32" s="2">
        <v>0</v>
      </c>
      <c r="ER32" s="2">
        <v>397.05</v>
      </c>
      <c r="ES32" s="2">
        <v>0.91</v>
      </c>
      <c r="ET32" s="2">
        <v>43.8</v>
      </c>
      <c r="EU32" s="2">
        <v>10.53</v>
      </c>
      <c r="EV32" s="2">
        <v>352.34</v>
      </c>
      <c r="EW32" s="2">
        <v>42.4</v>
      </c>
      <c r="EX32" s="2">
        <v>0.85</v>
      </c>
      <c r="EY32" s="2">
        <v>0</v>
      </c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>
        <v>0</v>
      </c>
      <c r="FR32" s="2">
        <f t="shared" si="42"/>
        <v>0</v>
      </c>
      <c r="FS32" s="2">
        <v>0</v>
      </c>
      <c r="FT32" s="2" t="s">
        <v>34</v>
      </c>
      <c r="FU32" s="2" t="s">
        <v>35</v>
      </c>
      <c r="FV32" s="2"/>
      <c r="FW32" s="2"/>
      <c r="FX32" s="2">
        <v>110.7</v>
      </c>
      <c r="FY32" s="2">
        <v>63.75</v>
      </c>
      <c r="FZ32" s="2"/>
      <c r="GA32" s="2" t="s">
        <v>4</v>
      </c>
      <c r="GB32" s="2"/>
      <c r="GC32" s="2"/>
      <c r="GD32" s="2">
        <v>0</v>
      </c>
      <c r="GE32" s="2"/>
      <c r="GF32" s="2">
        <v>35623097</v>
      </c>
      <c r="GG32" s="2">
        <v>2</v>
      </c>
      <c r="GH32" s="2">
        <v>1</v>
      </c>
      <c r="GI32" s="2">
        <v>-2</v>
      </c>
      <c r="GJ32" s="2">
        <v>0</v>
      </c>
      <c r="GK32" s="2">
        <f>ROUND(R32*(R12)/100,2)</f>
        <v>0</v>
      </c>
      <c r="GL32" s="2">
        <f t="shared" si="43"/>
        <v>0</v>
      </c>
      <c r="GM32" s="2">
        <f t="shared" si="44"/>
        <v>433.03</v>
      </c>
      <c r="GN32" s="2">
        <f t="shared" si="45"/>
        <v>433.03</v>
      </c>
      <c r="GO32" s="2">
        <f t="shared" si="46"/>
        <v>0</v>
      </c>
      <c r="GP32" s="2">
        <f t="shared" si="47"/>
        <v>0</v>
      </c>
      <c r="GQ32" s="2"/>
      <c r="GR32" s="2">
        <v>0</v>
      </c>
      <c r="GS32" s="2">
        <v>3</v>
      </c>
      <c r="GT32" s="2">
        <v>0</v>
      </c>
      <c r="GU32" s="2" t="s">
        <v>4</v>
      </c>
      <c r="GV32" s="2">
        <f t="shared" si="48"/>
        <v>0</v>
      </c>
      <c r="GW32" s="2">
        <v>1</v>
      </c>
      <c r="GX32" s="2">
        <f t="shared" si="49"/>
        <v>0</v>
      </c>
      <c r="GY32" s="2"/>
      <c r="GZ32" s="2"/>
      <c r="HA32" s="2">
        <v>0</v>
      </c>
      <c r="HB32" s="2">
        <v>0</v>
      </c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>
        <v>0</v>
      </c>
      <c r="IL32" s="2"/>
      <c r="IM32" s="2"/>
      <c r="IN32" s="2"/>
      <c r="IO32" s="2"/>
      <c r="IP32" s="2"/>
      <c r="IQ32" s="2"/>
      <c r="IR32" s="2"/>
      <c r="IS32" s="2"/>
      <c r="IT32" s="2"/>
      <c r="IU32" s="2"/>
    </row>
    <row r="33" spans="1:255" x14ac:dyDescent="0.2">
      <c r="A33">
        <v>17</v>
      </c>
      <c r="B33">
        <v>1</v>
      </c>
      <c r="C33">
        <f>ROW(SmtRes!A50)</f>
        <v>50</v>
      </c>
      <c r="D33">
        <f>ROW(EtalonRes!A52)</f>
        <v>52</v>
      </c>
      <c r="E33" t="s">
        <v>43</v>
      </c>
      <c r="F33" t="s">
        <v>44</v>
      </c>
      <c r="G33" t="s">
        <v>45</v>
      </c>
      <c r="H33" t="s">
        <v>23</v>
      </c>
      <c r="I33">
        <f t="shared" si="50"/>
        <v>0.36299999999999999</v>
      </c>
      <c r="J33">
        <v>0</v>
      </c>
      <c r="O33">
        <f t="shared" si="14"/>
        <v>1017.12</v>
      </c>
      <c r="P33">
        <f t="shared" si="15"/>
        <v>2.0099999999999998</v>
      </c>
      <c r="Q33">
        <f t="shared" si="16"/>
        <v>120.84</v>
      </c>
      <c r="R33">
        <f t="shared" si="17"/>
        <v>29.05</v>
      </c>
      <c r="S33">
        <f t="shared" si="18"/>
        <v>894.27</v>
      </c>
      <c r="T33">
        <f t="shared" si="19"/>
        <v>0</v>
      </c>
      <c r="U33">
        <f t="shared" si="20"/>
        <v>17.69988</v>
      </c>
      <c r="V33">
        <f t="shared" si="21"/>
        <v>0.38568749999999996</v>
      </c>
      <c r="W33">
        <f t="shared" si="22"/>
        <v>0</v>
      </c>
      <c r="X33">
        <f t="shared" si="23"/>
        <v>1024.8900000000001</v>
      </c>
      <c r="Y33">
        <f t="shared" si="24"/>
        <v>590.91999999999996</v>
      </c>
      <c r="AA33">
        <v>16501255</v>
      </c>
      <c r="AB33">
        <f t="shared" si="25"/>
        <v>460.851</v>
      </c>
      <c r="AC33">
        <f t="shared" si="51"/>
        <v>0.91</v>
      </c>
      <c r="AD33">
        <f>ROUND(((((ET33*1.25))-((EU33*1.25)))+AE33),6)</f>
        <v>54.75</v>
      </c>
      <c r="AE33">
        <f>ROUND(((EU33*1.25)),6)</f>
        <v>13.1625</v>
      </c>
      <c r="AF33">
        <f>ROUND(((EV33*1.15)),6)</f>
        <v>405.19099999999997</v>
      </c>
      <c r="AG33">
        <f t="shared" si="28"/>
        <v>0</v>
      </c>
      <c r="AH33">
        <f>((EW33*1.15))</f>
        <v>48.76</v>
      </c>
      <c r="AI33">
        <f>((EX33*1.25))</f>
        <v>1.0625</v>
      </c>
      <c r="AJ33">
        <f t="shared" si="30"/>
        <v>0</v>
      </c>
      <c r="AK33">
        <v>397.05</v>
      </c>
      <c r="AL33">
        <v>0.91</v>
      </c>
      <c r="AM33">
        <v>43.8</v>
      </c>
      <c r="AN33">
        <v>10.53</v>
      </c>
      <c r="AO33">
        <v>352.34</v>
      </c>
      <c r="AP33">
        <v>0</v>
      </c>
      <c r="AQ33">
        <v>42.4</v>
      </c>
      <c r="AR33">
        <v>0.85</v>
      </c>
      <c r="AS33">
        <v>0</v>
      </c>
      <c r="AT33">
        <v>111</v>
      </c>
      <c r="AU33">
        <v>64</v>
      </c>
      <c r="AV33">
        <v>1</v>
      </c>
      <c r="AW33">
        <v>1</v>
      </c>
      <c r="AZ33">
        <v>6.08</v>
      </c>
      <c r="BA33">
        <v>6.08</v>
      </c>
      <c r="BB33">
        <v>6.08</v>
      </c>
      <c r="BC33">
        <v>6.08</v>
      </c>
      <c r="BD33" t="s">
        <v>4</v>
      </c>
      <c r="BE33" t="s">
        <v>4</v>
      </c>
      <c r="BF33" t="s">
        <v>4</v>
      </c>
      <c r="BG33" t="s">
        <v>4</v>
      </c>
      <c r="BH33">
        <v>0</v>
      </c>
      <c r="BI33">
        <v>1</v>
      </c>
      <c r="BJ33" t="s">
        <v>46</v>
      </c>
      <c r="BM33">
        <v>11001</v>
      </c>
      <c r="BN33">
        <v>0</v>
      </c>
      <c r="BO33" t="s">
        <v>4</v>
      </c>
      <c r="BP33">
        <v>0</v>
      </c>
      <c r="BQ33">
        <v>2</v>
      </c>
      <c r="BR33">
        <v>0</v>
      </c>
      <c r="BS33">
        <v>6.08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4</v>
      </c>
      <c r="BZ33">
        <v>123</v>
      </c>
      <c r="CA33">
        <v>75</v>
      </c>
      <c r="CF33">
        <v>0</v>
      </c>
      <c r="CG33">
        <v>0</v>
      </c>
      <c r="CM33">
        <v>0</v>
      </c>
      <c r="CN33" t="s">
        <v>323</v>
      </c>
      <c r="CO33">
        <v>0</v>
      </c>
      <c r="CP33">
        <f t="shared" si="31"/>
        <v>1017.12</v>
      </c>
      <c r="CQ33">
        <f t="shared" si="32"/>
        <v>5.5327999999999999</v>
      </c>
      <c r="CR33">
        <f t="shared" si="33"/>
        <v>332.88</v>
      </c>
      <c r="CS33">
        <f t="shared" si="34"/>
        <v>80.028000000000006</v>
      </c>
      <c r="CT33">
        <f t="shared" si="35"/>
        <v>2463.5612799999999</v>
      </c>
      <c r="CU33">
        <f t="shared" si="36"/>
        <v>0</v>
      </c>
      <c r="CV33">
        <f t="shared" si="37"/>
        <v>48.76</v>
      </c>
      <c r="CW33">
        <f t="shared" si="38"/>
        <v>1.0625</v>
      </c>
      <c r="CX33">
        <f t="shared" si="39"/>
        <v>0</v>
      </c>
      <c r="CY33">
        <f t="shared" si="40"/>
        <v>1024.8851999999999</v>
      </c>
      <c r="CZ33">
        <f t="shared" si="41"/>
        <v>590.9248</v>
      </c>
      <c r="DC33" t="s">
        <v>4</v>
      </c>
      <c r="DD33" t="s">
        <v>4</v>
      </c>
      <c r="DE33" t="s">
        <v>29</v>
      </c>
      <c r="DF33" t="s">
        <v>29</v>
      </c>
      <c r="DG33" t="s">
        <v>30</v>
      </c>
      <c r="DH33" t="s">
        <v>4</v>
      </c>
      <c r="DI33" t="s">
        <v>30</v>
      </c>
      <c r="DJ33" t="s">
        <v>29</v>
      </c>
      <c r="DK33" t="s">
        <v>4</v>
      </c>
      <c r="DL33" t="s">
        <v>4</v>
      </c>
      <c r="DM33" t="s">
        <v>4</v>
      </c>
      <c r="DN33">
        <v>0</v>
      </c>
      <c r="DO33">
        <v>0</v>
      </c>
      <c r="DP33">
        <v>1</v>
      </c>
      <c r="DQ33">
        <v>1</v>
      </c>
      <c r="DU33">
        <v>1005</v>
      </c>
      <c r="DV33" t="s">
        <v>23</v>
      </c>
      <c r="DW33" t="s">
        <v>23</v>
      </c>
      <c r="DX33">
        <v>100</v>
      </c>
      <c r="EE33">
        <v>16510488</v>
      </c>
      <c r="EF33">
        <v>2</v>
      </c>
      <c r="EG33" t="s">
        <v>31</v>
      </c>
      <c r="EH33">
        <v>0</v>
      </c>
      <c r="EI33" t="s">
        <v>4</v>
      </c>
      <c r="EJ33">
        <v>1</v>
      </c>
      <c r="EK33">
        <v>11001</v>
      </c>
      <c r="EL33" t="s">
        <v>18</v>
      </c>
      <c r="EM33" t="s">
        <v>32</v>
      </c>
      <c r="EO33" t="s">
        <v>33</v>
      </c>
      <c r="EQ33">
        <v>0</v>
      </c>
      <c r="ER33">
        <v>397.05</v>
      </c>
      <c r="ES33">
        <v>0.91</v>
      </c>
      <c r="ET33">
        <v>43.8</v>
      </c>
      <c r="EU33">
        <v>10.53</v>
      </c>
      <c r="EV33">
        <v>352.34</v>
      </c>
      <c r="EW33">
        <v>42.4</v>
      </c>
      <c r="EX33">
        <v>0.85</v>
      </c>
      <c r="EY33">
        <v>0</v>
      </c>
      <c r="FQ33">
        <v>0</v>
      </c>
      <c r="FR33">
        <f t="shared" si="42"/>
        <v>0</v>
      </c>
      <c r="FS33">
        <v>0</v>
      </c>
      <c r="FT33" t="s">
        <v>34</v>
      </c>
      <c r="FU33" t="s">
        <v>35</v>
      </c>
      <c r="FX33">
        <v>110.7</v>
      </c>
      <c r="FY33">
        <v>63.75</v>
      </c>
      <c r="GA33" t="s">
        <v>4</v>
      </c>
      <c r="GD33">
        <v>0</v>
      </c>
      <c r="GF33">
        <v>35623097</v>
      </c>
      <c r="GG33">
        <v>1</v>
      </c>
      <c r="GH33">
        <v>1</v>
      </c>
      <c r="GI33">
        <v>4</v>
      </c>
      <c r="GJ33">
        <v>0</v>
      </c>
      <c r="GK33">
        <f>ROUND(R33*(S12)/100,2)</f>
        <v>0</v>
      </c>
      <c r="GL33">
        <f t="shared" si="43"/>
        <v>0</v>
      </c>
      <c r="GM33">
        <f t="shared" si="44"/>
        <v>2632.93</v>
      </c>
      <c r="GN33">
        <f t="shared" si="45"/>
        <v>2632.93</v>
      </c>
      <c r="GO33">
        <f t="shared" si="46"/>
        <v>0</v>
      </c>
      <c r="GP33">
        <f t="shared" si="47"/>
        <v>0</v>
      </c>
      <c r="GR33">
        <v>0</v>
      </c>
      <c r="GS33">
        <v>3</v>
      </c>
      <c r="GT33">
        <v>0</v>
      </c>
      <c r="GU33" t="s">
        <v>4</v>
      </c>
      <c r="GV33">
        <f t="shared" si="48"/>
        <v>0</v>
      </c>
      <c r="GW33">
        <v>1</v>
      </c>
      <c r="GX33">
        <f t="shared" si="49"/>
        <v>0</v>
      </c>
      <c r="HA33">
        <v>0</v>
      </c>
      <c r="HB33">
        <v>0</v>
      </c>
      <c r="IK33">
        <v>0</v>
      </c>
    </row>
    <row r="34" spans="1:255" x14ac:dyDescent="0.2">
      <c r="A34" s="2">
        <v>18</v>
      </c>
      <c r="B34" s="2">
        <v>1</v>
      </c>
      <c r="C34" s="2">
        <v>39</v>
      </c>
      <c r="D34" s="2"/>
      <c r="E34" s="2" t="s">
        <v>47</v>
      </c>
      <c r="F34" s="2" t="s">
        <v>48</v>
      </c>
      <c r="G34" s="2" t="s">
        <v>49</v>
      </c>
      <c r="H34" s="2" t="s">
        <v>50</v>
      </c>
      <c r="I34" s="2">
        <f>I32*J34</f>
        <v>37.026000000000003</v>
      </c>
      <c r="J34" s="2">
        <v>102.00000000000001</v>
      </c>
      <c r="K34" s="2"/>
      <c r="L34" s="2"/>
      <c r="M34" s="2"/>
      <c r="N34" s="2"/>
      <c r="O34" s="2">
        <f t="shared" si="14"/>
        <v>0</v>
      </c>
      <c r="P34" s="2">
        <f t="shared" si="15"/>
        <v>0</v>
      </c>
      <c r="Q34" s="2">
        <f t="shared" si="16"/>
        <v>0</v>
      </c>
      <c r="R34" s="2">
        <f t="shared" si="17"/>
        <v>0</v>
      </c>
      <c r="S34" s="2">
        <f t="shared" si="18"/>
        <v>0</v>
      </c>
      <c r="T34" s="2">
        <f t="shared" si="19"/>
        <v>0</v>
      </c>
      <c r="U34" s="2">
        <f t="shared" si="20"/>
        <v>0</v>
      </c>
      <c r="V34" s="2">
        <f t="shared" si="21"/>
        <v>0</v>
      </c>
      <c r="W34" s="2">
        <f t="shared" si="22"/>
        <v>0</v>
      </c>
      <c r="X34" s="2">
        <f t="shared" si="23"/>
        <v>0</v>
      </c>
      <c r="Y34" s="2">
        <f t="shared" si="24"/>
        <v>0</v>
      </c>
      <c r="Z34" s="2"/>
      <c r="AA34" s="2">
        <v>16501254</v>
      </c>
      <c r="AB34" s="2">
        <f t="shared" si="25"/>
        <v>0</v>
      </c>
      <c r="AC34" s="2">
        <f t="shared" si="51"/>
        <v>0</v>
      </c>
      <c r="AD34" s="2">
        <f t="shared" ref="AD34:AD39" si="52">ROUND((((ET34)-(EU34))+AE34),6)</f>
        <v>0</v>
      </c>
      <c r="AE34" s="2">
        <f t="shared" ref="AE34:AF39" si="53">ROUND((EU34),6)</f>
        <v>0</v>
      </c>
      <c r="AF34" s="2">
        <f t="shared" si="53"/>
        <v>0</v>
      </c>
      <c r="AG34" s="2">
        <f t="shared" si="28"/>
        <v>0</v>
      </c>
      <c r="AH34" s="2">
        <f t="shared" ref="AH34:AI39" si="54">(EW34)</f>
        <v>0</v>
      </c>
      <c r="AI34" s="2">
        <f t="shared" si="54"/>
        <v>0</v>
      </c>
      <c r="AJ34" s="2">
        <f t="shared" si="30"/>
        <v>0</v>
      </c>
      <c r="AK34" s="2">
        <v>0</v>
      </c>
      <c r="AL34" s="2">
        <v>0</v>
      </c>
      <c r="AM34" s="2">
        <v>0</v>
      </c>
      <c r="AN34" s="2">
        <v>0</v>
      </c>
      <c r="AO34" s="2">
        <v>0</v>
      </c>
      <c r="AP34" s="2">
        <v>0</v>
      </c>
      <c r="AQ34" s="2">
        <v>0</v>
      </c>
      <c r="AR34" s="2">
        <v>0</v>
      </c>
      <c r="AS34" s="2">
        <v>0</v>
      </c>
      <c r="AT34" s="2">
        <v>111</v>
      </c>
      <c r="AU34" s="2">
        <v>64</v>
      </c>
      <c r="AV34" s="2">
        <v>1</v>
      </c>
      <c r="AW34" s="2">
        <v>1</v>
      </c>
      <c r="AX34" s="2"/>
      <c r="AY34" s="2"/>
      <c r="AZ34" s="2">
        <v>1</v>
      </c>
      <c r="BA34" s="2">
        <v>1</v>
      </c>
      <c r="BB34" s="2">
        <v>1</v>
      </c>
      <c r="BC34" s="2">
        <v>1</v>
      </c>
      <c r="BD34" s="2" t="s">
        <v>4</v>
      </c>
      <c r="BE34" s="2" t="s">
        <v>4</v>
      </c>
      <c r="BF34" s="2" t="s">
        <v>4</v>
      </c>
      <c r="BG34" s="2" t="s">
        <v>4</v>
      </c>
      <c r="BH34" s="2">
        <v>3</v>
      </c>
      <c r="BI34" s="2">
        <v>1</v>
      </c>
      <c r="BJ34" s="2" t="s">
        <v>4</v>
      </c>
      <c r="BK34" s="2"/>
      <c r="BL34" s="2"/>
      <c r="BM34" s="2">
        <v>11001</v>
      </c>
      <c r="BN34" s="2">
        <v>0</v>
      </c>
      <c r="BO34" s="2" t="s">
        <v>4</v>
      </c>
      <c r="BP34" s="2">
        <v>0</v>
      </c>
      <c r="BQ34" s="2">
        <v>2</v>
      </c>
      <c r="BR34" s="2">
        <v>0</v>
      </c>
      <c r="BS34" s="2">
        <v>1</v>
      </c>
      <c r="BT34" s="2">
        <v>1</v>
      </c>
      <c r="BU34" s="2">
        <v>1</v>
      </c>
      <c r="BV34" s="2">
        <v>1</v>
      </c>
      <c r="BW34" s="2">
        <v>1</v>
      </c>
      <c r="BX34" s="2">
        <v>1</v>
      </c>
      <c r="BY34" s="2" t="s">
        <v>4</v>
      </c>
      <c r="BZ34" s="2">
        <v>123</v>
      </c>
      <c r="CA34" s="2">
        <v>75</v>
      </c>
      <c r="CB34" s="2"/>
      <c r="CC34" s="2"/>
      <c r="CD34" s="2"/>
      <c r="CE34" s="2"/>
      <c r="CF34" s="2">
        <v>0</v>
      </c>
      <c r="CG34" s="2">
        <v>0</v>
      </c>
      <c r="CH34" s="2"/>
      <c r="CI34" s="2"/>
      <c r="CJ34" s="2"/>
      <c r="CK34" s="2"/>
      <c r="CL34" s="2"/>
      <c r="CM34" s="2">
        <v>0</v>
      </c>
      <c r="CN34" s="2" t="s">
        <v>4</v>
      </c>
      <c r="CO34" s="2">
        <v>0</v>
      </c>
      <c r="CP34" s="2">
        <f t="shared" si="31"/>
        <v>0</v>
      </c>
      <c r="CQ34" s="2">
        <f t="shared" si="32"/>
        <v>0</v>
      </c>
      <c r="CR34" s="2">
        <f t="shared" si="33"/>
        <v>0</v>
      </c>
      <c r="CS34" s="2">
        <f t="shared" si="34"/>
        <v>0</v>
      </c>
      <c r="CT34" s="2">
        <f t="shared" si="35"/>
        <v>0</v>
      </c>
      <c r="CU34" s="2">
        <f t="shared" si="36"/>
        <v>0</v>
      </c>
      <c r="CV34" s="2">
        <f t="shared" si="37"/>
        <v>0</v>
      </c>
      <c r="CW34" s="2">
        <f t="shared" si="38"/>
        <v>0</v>
      </c>
      <c r="CX34" s="2">
        <f t="shared" si="39"/>
        <v>0</v>
      </c>
      <c r="CY34" s="2">
        <f t="shared" si="40"/>
        <v>0</v>
      </c>
      <c r="CZ34" s="2">
        <f t="shared" si="41"/>
        <v>0</v>
      </c>
      <c r="DA34" s="2"/>
      <c r="DB34" s="2"/>
      <c r="DC34" s="2" t="s">
        <v>4</v>
      </c>
      <c r="DD34" s="2" t="s">
        <v>4</v>
      </c>
      <c r="DE34" s="2" t="s">
        <v>4</v>
      </c>
      <c r="DF34" s="2" t="s">
        <v>4</v>
      </c>
      <c r="DG34" s="2" t="s">
        <v>4</v>
      </c>
      <c r="DH34" s="2" t="s">
        <v>4</v>
      </c>
      <c r="DI34" s="2" t="s">
        <v>4</v>
      </c>
      <c r="DJ34" s="2" t="s">
        <v>4</v>
      </c>
      <c r="DK34" s="2" t="s">
        <v>4</v>
      </c>
      <c r="DL34" s="2" t="s">
        <v>4</v>
      </c>
      <c r="DM34" s="2" t="s">
        <v>4</v>
      </c>
      <c r="DN34" s="2">
        <v>0</v>
      </c>
      <c r="DO34" s="2">
        <v>0</v>
      </c>
      <c r="DP34" s="2">
        <v>1</v>
      </c>
      <c r="DQ34" s="2">
        <v>1</v>
      </c>
      <c r="DR34" s="2"/>
      <c r="DS34" s="2"/>
      <c r="DT34" s="2"/>
      <c r="DU34" s="2">
        <v>1005</v>
      </c>
      <c r="DV34" s="2" t="s">
        <v>50</v>
      </c>
      <c r="DW34" s="2" t="s">
        <v>50</v>
      </c>
      <c r="DX34" s="2">
        <v>1</v>
      </c>
      <c r="DY34" s="2"/>
      <c r="DZ34" s="2"/>
      <c r="EA34" s="2"/>
      <c r="EB34" s="2"/>
      <c r="EC34" s="2"/>
      <c r="ED34" s="2"/>
      <c r="EE34" s="2">
        <v>16510488</v>
      </c>
      <c r="EF34" s="2">
        <v>2</v>
      </c>
      <c r="EG34" s="2" t="s">
        <v>31</v>
      </c>
      <c r="EH34" s="2">
        <v>0</v>
      </c>
      <c r="EI34" s="2" t="s">
        <v>4</v>
      </c>
      <c r="EJ34" s="2">
        <v>1</v>
      </c>
      <c r="EK34" s="2">
        <v>11001</v>
      </c>
      <c r="EL34" s="2" t="s">
        <v>18</v>
      </c>
      <c r="EM34" s="2" t="s">
        <v>32</v>
      </c>
      <c r="EN34" s="2"/>
      <c r="EO34" s="2" t="s">
        <v>4</v>
      </c>
      <c r="EP34" s="2"/>
      <c r="EQ34" s="2">
        <v>0</v>
      </c>
      <c r="ER34" s="2">
        <v>0</v>
      </c>
      <c r="ES34" s="2">
        <v>0</v>
      </c>
      <c r="ET34" s="2">
        <v>0</v>
      </c>
      <c r="EU34" s="2">
        <v>0</v>
      </c>
      <c r="EV34" s="2">
        <v>0</v>
      </c>
      <c r="EW34" s="2">
        <v>0</v>
      </c>
      <c r="EX34" s="2">
        <v>0</v>
      </c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>
        <v>0</v>
      </c>
      <c r="FR34" s="2">
        <f t="shared" si="42"/>
        <v>0</v>
      </c>
      <c r="FS34" s="2">
        <v>0</v>
      </c>
      <c r="FT34" s="2" t="s">
        <v>34</v>
      </c>
      <c r="FU34" s="2" t="s">
        <v>35</v>
      </c>
      <c r="FV34" s="2"/>
      <c r="FW34" s="2"/>
      <c r="FX34" s="2">
        <v>110.7</v>
      </c>
      <c r="FY34" s="2">
        <v>63.75</v>
      </c>
      <c r="FZ34" s="2"/>
      <c r="GA34" s="2" t="s">
        <v>4</v>
      </c>
      <c r="GB34" s="2"/>
      <c r="GC34" s="2"/>
      <c r="GD34" s="2">
        <v>0</v>
      </c>
      <c r="GE34" s="2"/>
      <c r="GF34" s="2">
        <v>-919469713</v>
      </c>
      <c r="GG34" s="2">
        <v>2</v>
      </c>
      <c r="GH34" s="2">
        <v>1</v>
      </c>
      <c r="GI34" s="2">
        <v>-2</v>
      </c>
      <c r="GJ34" s="2">
        <v>0</v>
      </c>
      <c r="GK34" s="2">
        <f>ROUND(R34*(R12)/100,2)</f>
        <v>0</v>
      </c>
      <c r="GL34" s="2">
        <f t="shared" si="43"/>
        <v>0</v>
      </c>
      <c r="GM34" s="2">
        <f t="shared" si="44"/>
        <v>0</v>
      </c>
      <c r="GN34" s="2">
        <f t="shared" si="45"/>
        <v>0</v>
      </c>
      <c r="GO34" s="2">
        <f t="shared" si="46"/>
        <v>0</v>
      </c>
      <c r="GP34" s="2">
        <f t="shared" si="47"/>
        <v>0</v>
      </c>
      <c r="GQ34" s="2"/>
      <c r="GR34" s="2">
        <v>0</v>
      </c>
      <c r="GS34" s="2">
        <v>3</v>
      </c>
      <c r="GT34" s="2">
        <v>0</v>
      </c>
      <c r="GU34" s="2" t="s">
        <v>4</v>
      </c>
      <c r="GV34" s="2">
        <f t="shared" si="48"/>
        <v>0</v>
      </c>
      <c r="GW34" s="2">
        <v>1</v>
      </c>
      <c r="GX34" s="2">
        <f t="shared" si="49"/>
        <v>0</v>
      </c>
      <c r="GY34" s="2"/>
      <c r="GZ34" s="2"/>
      <c r="HA34" s="2">
        <v>0</v>
      </c>
      <c r="HB34" s="2">
        <v>0</v>
      </c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>
        <v>0</v>
      </c>
      <c r="IL34" s="2"/>
      <c r="IM34" s="2"/>
      <c r="IN34" s="2"/>
      <c r="IO34" s="2"/>
      <c r="IP34" s="2"/>
      <c r="IQ34" s="2"/>
      <c r="IR34" s="2"/>
      <c r="IS34" s="2"/>
      <c r="IT34" s="2"/>
      <c r="IU34" s="2"/>
    </row>
    <row r="35" spans="1:255" x14ac:dyDescent="0.2">
      <c r="A35">
        <v>18</v>
      </c>
      <c r="B35">
        <v>1</v>
      </c>
      <c r="C35">
        <v>47</v>
      </c>
      <c r="E35" t="s">
        <v>47</v>
      </c>
      <c r="F35" t="s">
        <v>48</v>
      </c>
      <c r="G35" t="s">
        <v>49</v>
      </c>
      <c r="H35" t="s">
        <v>50</v>
      </c>
      <c r="I35">
        <f>I33*J35</f>
        <v>37.026000000000003</v>
      </c>
      <c r="J35">
        <v>102.00000000000001</v>
      </c>
      <c r="O35">
        <f t="shared" si="14"/>
        <v>0</v>
      </c>
      <c r="P35">
        <f t="shared" si="15"/>
        <v>0</v>
      </c>
      <c r="Q35">
        <f t="shared" si="16"/>
        <v>0</v>
      </c>
      <c r="R35">
        <f t="shared" si="17"/>
        <v>0</v>
      </c>
      <c r="S35">
        <f t="shared" si="18"/>
        <v>0</v>
      </c>
      <c r="T35">
        <f t="shared" si="19"/>
        <v>0</v>
      </c>
      <c r="U35">
        <f t="shared" si="20"/>
        <v>0</v>
      </c>
      <c r="V35">
        <f t="shared" si="21"/>
        <v>0</v>
      </c>
      <c r="W35">
        <f t="shared" si="22"/>
        <v>0</v>
      </c>
      <c r="X35">
        <f t="shared" si="23"/>
        <v>0</v>
      </c>
      <c r="Y35">
        <f t="shared" si="24"/>
        <v>0</v>
      </c>
      <c r="AA35">
        <v>16501255</v>
      </c>
      <c r="AB35">
        <f t="shared" si="25"/>
        <v>0</v>
      </c>
      <c r="AC35">
        <f t="shared" si="51"/>
        <v>0</v>
      </c>
      <c r="AD35">
        <f t="shared" si="52"/>
        <v>0</v>
      </c>
      <c r="AE35">
        <f t="shared" si="53"/>
        <v>0</v>
      </c>
      <c r="AF35">
        <f t="shared" si="53"/>
        <v>0</v>
      </c>
      <c r="AG35">
        <f t="shared" si="28"/>
        <v>0</v>
      </c>
      <c r="AH35">
        <f t="shared" si="54"/>
        <v>0</v>
      </c>
      <c r="AI35">
        <f t="shared" si="54"/>
        <v>0</v>
      </c>
      <c r="AJ35">
        <f t="shared" si="30"/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111</v>
      </c>
      <c r="AU35">
        <v>64</v>
      </c>
      <c r="AV35">
        <v>1</v>
      </c>
      <c r="AW35">
        <v>1</v>
      </c>
      <c r="AZ35">
        <v>6.08</v>
      </c>
      <c r="BA35">
        <v>1</v>
      </c>
      <c r="BB35">
        <v>1</v>
      </c>
      <c r="BC35">
        <v>6.08</v>
      </c>
      <c r="BD35" t="s">
        <v>4</v>
      </c>
      <c r="BE35" t="s">
        <v>4</v>
      </c>
      <c r="BF35" t="s">
        <v>4</v>
      </c>
      <c r="BG35" t="s">
        <v>4</v>
      </c>
      <c r="BH35">
        <v>3</v>
      </c>
      <c r="BI35">
        <v>1</v>
      </c>
      <c r="BJ35" t="s">
        <v>4</v>
      </c>
      <c r="BM35">
        <v>11001</v>
      </c>
      <c r="BN35">
        <v>0</v>
      </c>
      <c r="BO35" t="s">
        <v>4</v>
      </c>
      <c r="BP35">
        <v>0</v>
      </c>
      <c r="BQ35">
        <v>2</v>
      </c>
      <c r="BR35">
        <v>0</v>
      </c>
      <c r="BS35">
        <v>1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4</v>
      </c>
      <c r="BZ35">
        <v>123</v>
      </c>
      <c r="CA35">
        <v>75</v>
      </c>
      <c r="CF35">
        <v>0</v>
      </c>
      <c r="CG35">
        <v>0</v>
      </c>
      <c r="CM35">
        <v>0</v>
      </c>
      <c r="CN35" t="s">
        <v>4</v>
      </c>
      <c r="CO35">
        <v>0</v>
      </c>
      <c r="CP35">
        <f t="shared" si="31"/>
        <v>0</v>
      </c>
      <c r="CQ35">
        <f t="shared" si="32"/>
        <v>0</v>
      </c>
      <c r="CR35">
        <f t="shared" si="33"/>
        <v>0</v>
      </c>
      <c r="CS35">
        <f t="shared" si="34"/>
        <v>0</v>
      </c>
      <c r="CT35">
        <f t="shared" si="35"/>
        <v>0</v>
      </c>
      <c r="CU35">
        <f t="shared" si="36"/>
        <v>0</v>
      </c>
      <c r="CV35">
        <f t="shared" si="37"/>
        <v>0</v>
      </c>
      <c r="CW35">
        <f t="shared" si="38"/>
        <v>0</v>
      </c>
      <c r="CX35">
        <f t="shared" si="39"/>
        <v>0</v>
      </c>
      <c r="CY35">
        <f t="shared" si="40"/>
        <v>0</v>
      </c>
      <c r="CZ35">
        <f t="shared" si="41"/>
        <v>0</v>
      </c>
      <c r="DC35" t="s">
        <v>4</v>
      </c>
      <c r="DD35" t="s">
        <v>4</v>
      </c>
      <c r="DE35" t="s">
        <v>4</v>
      </c>
      <c r="DF35" t="s">
        <v>4</v>
      </c>
      <c r="DG35" t="s">
        <v>4</v>
      </c>
      <c r="DH35" t="s">
        <v>4</v>
      </c>
      <c r="DI35" t="s">
        <v>4</v>
      </c>
      <c r="DJ35" t="s">
        <v>4</v>
      </c>
      <c r="DK35" t="s">
        <v>4</v>
      </c>
      <c r="DL35" t="s">
        <v>4</v>
      </c>
      <c r="DM35" t="s">
        <v>4</v>
      </c>
      <c r="DN35">
        <v>0</v>
      </c>
      <c r="DO35">
        <v>0</v>
      </c>
      <c r="DP35">
        <v>1</v>
      </c>
      <c r="DQ35">
        <v>1</v>
      </c>
      <c r="DU35">
        <v>1005</v>
      </c>
      <c r="DV35" t="s">
        <v>50</v>
      </c>
      <c r="DW35" t="s">
        <v>50</v>
      </c>
      <c r="DX35">
        <v>1</v>
      </c>
      <c r="EE35">
        <v>16510488</v>
      </c>
      <c r="EF35">
        <v>2</v>
      </c>
      <c r="EG35" t="s">
        <v>31</v>
      </c>
      <c r="EH35">
        <v>0</v>
      </c>
      <c r="EI35" t="s">
        <v>4</v>
      </c>
      <c r="EJ35">
        <v>1</v>
      </c>
      <c r="EK35">
        <v>11001</v>
      </c>
      <c r="EL35" t="s">
        <v>18</v>
      </c>
      <c r="EM35" t="s">
        <v>32</v>
      </c>
      <c r="EO35" t="s">
        <v>4</v>
      </c>
      <c r="EQ35">
        <v>0</v>
      </c>
      <c r="ER35">
        <v>0</v>
      </c>
      <c r="ES35">
        <v>0</v>
      </c>
      <c r="ET35">
        <v>0</v>
      </c>
      <c r="EU35">
        <v>0</v>
      </c>
      <c r="EV35">
        <v>0</v>
      </c>
      <c r="EW35">
        <v>0</v>
      </c>
      <c r="EX35">
        <v>0</v>
      </c>
      <c r="FQ35">
        <v>0</v>
      </c>
      <c r="FR35">
        <f t="shared" si="42"/>
        <v>0</v>
      </c>
      <c r="FS35">
        <v>0</v>
      </c>
      <c r="FT35" t="s">
        <v>34</v>
      </c>
      <c r="FU35" t="s">
        <v>35</v>
      </c>
      <c r="FX35">
        <v>110.7</v>
      </c>
      <c r="FY35">
        <v>63.75</v>
      </c>
      <c r="GA35" t="s">
        <v>4</v>
      </c>
      <c r="GD35">
        <v>0</v>
      </c>
      <c r="GF35">
        <v>-919469713</v>
      </c>
      <c r="GG35">
        <v>1</v>
      </c>
      <c r="GH35">
        <v>1</v>
      </c>
      <c r="GI35">
        <v>4</v>
      </c>
      <c r="GJ35">
        <v>0</v>
      </c>
      <c r="GK35">
        <f>ROUND(R35*(S12)/100,2)</f>
        <v>0</v>
      </c>
      <c r="GL35">
        <f t="shared" si="43"/>
        <v>0</v>
      </c>
      <c r="GM35">
        <f t="shared" si="44"/>
        <v>0</v>
      </c>
      <c r="GN35">
        <f t="shared" si="45"/>
        <v>0</v>
      </c>
      <c r="GO35">
        <f t="shared" si="46"/>
        <v>0</v>
      </c>
      <c r="GP35">
        <f t="shared" si="47"/>
        <v>0</v>
      </c>
      <c r="GR35">
        <v>0</v>
      </c>
      <c r="GS35">
        <v>3</v>
      </c>
      <c r="GT35">
        <v>0</v>
      </c>
      <c r="GU35" t="s">
        <v>4</v>
      </c>
      <c r="GV35">
        <f t="shared" si="48"/>
        <v>0</v>
      </c>
      <c r="GW35">
        <v>1</v>
      </c>
      <c r="GX35">
        <f t="shared" si="49"/>
        <v>0</v>
      </c>
      <c r="HA35">
        <v>0</v>
      </c>
      <c r="HB35">
        <v>0</v>
      </c>
      <c r="IK35">
        <v>0</v>
      </c>
    </row>
    <row r="36" spans="1:255" x14ac:dyDescent="0.2">
      <c r="A36" s="2">
        <v>18</v>
      </c>
      <c r="B36" s="2">
        <v>1</v>
      </c>
      <c r="C36" s="2">
        <v>40</v>
      </c>
      <c r="D36" s="2"/>
      <c r="E36" s="2" t="s">
        <v>51</v>
      </c>
      <c r="F36" s="2" t="s">
        <v>52</v>
      </c>
      <c r="G36" s="2" t="s">
        <v>53</v>
      </c>
      <c r="H36" s="2" t="s">
        <v>50</v>
      </c>
      <c r="I36" s="2">
        <f>I32*J36</f>
        <v>37.026000000000003</v>
      </c>
      <c r="J36" s="2">
        <v>102.00000000000001</v>
      </c>
      <c r="K36" s="2"/>
      <c r="L36" s="2"/>
      <c r="M36" s="2"/>
      <c r="N36" s="2"/>
      <c r="O36" s="2">
        <f t="shared" si="14"/>
        <v>2646.25</v>
      </c>
      <c r="P36" s="2">
        <f t="shared" si="15"/>
        <v>2646.25</v>
      </c>
      <c r="Q36" s="2">
        <f t="shared" si="16"/>
        <v>0</v>
      </c>
      <c r="R36" s="2">
        <f t="shared" si="17"/>
        <v>0</v>
      </c>
      <c r="S36" s="2">
        <f t="shared" si="18"/>
        <v>0</v>
      </c>
      <c r="T36" s="2">
        <f t="shared" si="19"/>
        <v>0</v>
      </c>
      <c r="U36" s="2">
        <f t="shared" si="20"/>
        <v>0</v>
      </c>
      <c r="V36" s="2">
        <f t="shared" si="21"/>
        <v>0</v>
      </c>
      <c r="W36" s="2">
        <f t="shared" si="22"/>
        <v>0</v>
      </c>
      <c r="X36" s="2">
        <f t="shared" si="23"/>
        <v>0</v>
      </c>
      <c r="Y36" s="2">
        <f t="shared" si="24"/>
        <v>0</v>
      </c>
      <c r="Z36" s="2"/>
      <c r="AA36" s="2">
        <v>16501254</v>
      </c>
      <c r="AB36" s="2">
        <f t="shared" si="25"/>
        <v>71.47</v>
      </c>
      <c r="AC36" s="2">
        <f t="shared" si="51"/>
        <v>71.47</v>
      </c>
      <c r="AD36" s="2">
        <f t="shared" si="52"/>
        <v>0</v>
      </c>
      <c r="AE36" s="2">
        <f t="shared" si="53"/>
        <v>0</v>
      </c>
      <c r="AF36" s="2">
        <f t="shared" si="53"/>
        <v>0</v>
      </c>
      <c r="AG36" s="2">
        <f t="shared" si="28"/>
        <v>0</v>
      </c>
      <c r="AH36" s="2">
        <f t="shared" si="54"/>
        <v>0</v>
      </c>
      <c r="AI36" s="2">
        <f t="shared" si="54"/>
        <v>0</v>
      </c>
      <c r="AJ36" s="2">
        <f t="shared" si="30"/>
        <v>0</v>
      </c>
      <c r="AK36" s="2">
        <v>71.47</v>
      </c>
      <c r="AL36" s="2">
        <v>71.47</v>
      </c>
      <c r="AM36" s="2">
        <v>0</v>
      </c>
      <c r="AN36" s="2">
        <v>0</v>
      </c>
      <c r="AO36" s="2">
        <v>0</v>
      </c>
      <c r="AP36" s="2">
        <v>0</v>
      </c>
      <c r="AQ36" s="2">
        <v>0</v>
      </c>
      <c r="AR36" s="2">
        <v>0</v>
      </c>
      <c r="AS36" s="2">
        <v>0</v>
      </c>
      <c r="AT36" s="2">
        <v>111</v>
      </c>
      <c r="AU36" s="2">
        <v>64</v>
      </c>
      <c r="AV36" s="2">
        <v>1</v>
      </c>
      <c r="AW36" s="2">
        <v>1</v>
      </c>
      <c r="AX36" s="2"/>
      <c r="AY36" s="2"/>
      <c r="AZ36" s="2">
        <v>1</v>
      </c>
      <c r="BA36" s="2">
        <v>1</v>
      </c>
      <c r="BB36" s="2">
        <v>1</v>
      </c>
      <c r="BC36" s="2">
        <v>1</v>
      </c>
      <c r="BD36" s="2" t="s">
        <v>4</v>
      </c>
      <c r="BE36" s="2" t="s">
        <v>4</v>
      </c>
      <c r="BF36" s="2" t="s">
        <v>4</v>
      </c>
      <c r="BG36" s="2" t="s">
        <v>4</v>
      </c>
      <c r="BH36" s="2">
        <v>3</v>
      </c>
      <c r="BI36" s="2">
        <v>1</v>
      </c>
      <c r="BJ36" s="2" t="s">
        <v>54</v>
      </c>
      <c r="BK36" s="2"/>
      <c r="BL36" s="2"/>
      <c r="BM36" s="2">
        <v>11001</v>
      </c>
      <c r="BN36" s="2">
        <v>0</v>
      </c>
      <c r="BO36" s="2" t="s">
        <v>4</v>
      </c>
      <c r="BP36" s="2">
        <v>0</v>
      </c>
      <c r="BQ36" s="2">
        <v>2</v>
      </c>
      <c r="BR36" s="2">
        <v>0</v>
      </c>
      <c r="BS36" s="2">
        <v>1</v>
      </c>
      <c r="BT36" s="2">
        <v>1</v>
      </c>
      <c r="BU36" s="2">
        <v>1</v>
      </c>
      <c r="BV36" s="2">
        <v>1</v>
      </c>
      <c r="BW36" s="2">
        <v>1</v>
      </c>
      <c r="BX36" s="2">
        <v>1</v>
      </c>
      <c r="BY36" s="2" t="s">
        <v>4</v>
      </c>
      <c r="BZ36" s="2">
        <v>123</v>
      </c>
      <c r="CA36" s="2">
        <v>75</v>
      </c>
      <c r="CB36" s="2"/>
      <c r="CC36" s="2"/>
      <c r="CD36" s="2"/>
      <c r="CE36" s="2"/>
      <c r="CF36" s="2">
        <v>0</v>
      </c>
      <c r="CG36" s="2">
        <v>0</v>
      </c>
      <c r="CH36" s="2"/>
      <c r="CI36" s="2"/>
      <c r="CJ36" s="2"/>
      <c r="CK36" s="2"/>
      <c r="CL36" s="2"/>
      <c r="CM36" s="2">
        <v>0</v>
      </c>
      <c r="CN36" s="2" t="s">
        <v>4</v>
      </c>
      <c r="CO36" s="2">
        <v>0</v>
      </c>
      <c r="CP36" s="2">
        <f t="shared" si="31"/>
        <v>2646.25</v>
      </c>
      <c r="CQ36" s="2">
        <f t="shared" si="32"/>
        <v>71.47</v>
      </c>
      <c r="CR36" s="2">
        <f t="shared" si="33"/>
        <v>0</v>
      </c>
      <c r="CS36" s="2">
        <f t="shared" si="34"/>
        <v>0</v>
      </c>
      <c r="CT36" s="2">
        <f t="shared" si="35"/>
        <v>0</v>
      </c>
      <c r="CU36" s="2">
        <f t="shared" si="36"/>
        <v>0</v>
      </c>
      <c r="CV36" s="2">
        <f t="shared" si="37"/>
        <v>0</v>
      </c>
      <c r="CW36" s="2">
        <f t="shared" si="38"/>
        <v>0</v>
      </c>
      <c r="CX36" s="2">
        <f t="shared" si="39"/>
        <v>0</v>
      </c>
      <c r="CY36" s="2">
        <f t="shared" si="40"/>
        <v>0</v>
      </c>
      <c r="CZ36" s="2">
        <f t="shared" si="41"/>
        <v>0</v>
      </c>
      <c r="DA36" s="2"/>
      <c r="DB36" s="2"/>
      <c r="DC36" s="2" t="s">
        <v>4</v>
      </c>
      <c r="DD36" s="2" t="s">
        <v>4</v>
      </c>
      <c r="DE36" s="2" t="s">
        <v>4</v>
      </c>
      <c r="DF36" s="2" t="s">
        <v>4</v>
      </c>
      <c r="DG36" s="2" t="s">
        <v>4</v>
      </c>
      <c r="DH36" s="2" t="s">
        <v>4</v>
      </c>
      <c r="DI36" s="2" t="s">
        <v>4</v>
      </c>
      <c r="DJ36" s="2" t="s">
        <v>4</v>
      </c>
      <c r="DK36" s="2" t="s">
        <v>4</v>
      </c>
      <c r="DL36" s="2" t="s">
        <v>4</v>
      </c>
      <c r="DM36" s="2" t="s">
        <v>4</v>
      </c>
      <c r="DN36" s="2">
        <v>0</v>
      </c>
      <c r="DO36" s="2">
        <v>0</v>
      </c>
      <c r="DP36" s="2">
        <v>1</v>
      </c>
      <c r="DQ36" s="2">
        <v>1</v>
      </c>
      <c r="DR36" s="2"/>
      <c r="DS36" s="2"/>
      <c r="DT36" s="2"/>
      <c r="DU36" s="2">
        <v>1005</v>
      </c>
      <c r="DV36" s="2" t="s">
        <v>50</v>
      </c>
      <c r="DW36" s="2" t="s">
        <v>50</v>
      </c>
      <c r="DX36" s="2">
        <v>1</v>
      </c>
      <c r="DY36" s="2"/>
      <c r="DZ36" s="2"/>
      <c r="EA36" s="2"/>
      <c r="EB36" s="2"/>
      <c r="EC36" s="2"/>
      <c r="ED36" s="2"/>
      <c r="EE36" s="2">
        <v>16510488</v>
      </c>
      <c r="EF36" s="2">
        <v>2</v>
      </c>
      <c r="EG36" s="2" t="s">
        <v>31</v>
      </c>
      <c r="EH36" s="2">
        <v>0</v>
      </c>
      <c r="EI36" s="2" t="s">
        <v>4</v>
      </c>
      <c r="EJ36" s="2">
        <v>1</v>
      </c>
      <c r="EK36" s="2">
        <v>11001</v>
      </c>
      <c r="EL36" s="2" t="s">
        <v>18</v>
      </c>
      <c r="EM36" s="2" t="s">
        <v>32</v>
      </c>
      <c r="EN36" s="2"/>
      <c r="EO36" s="2" t="s">
        <v>4</v>
      </c>
      <c r="EP36" s="2"/>
      <c r="EQ36" s="2">
        <v>0</v>
      </c>
      <c r="ER36" s="2">
        <v>71.47</v>
      </c>
      <c r="ES36" s="2">
        <v>71.47</v>
      </c>
      <c r="ET36" s="2">
        <v>0</v>
      </c>
      <c r="EU36" s="2">
        <v>0</v>
      </c>
      <c r="EV36" s="2">
        <v>0</v>
      </c>
      <c r="EW36" s="2">
        <v>0</v>
      </c>
      <c r="EX36" s="2">
        <v>0</v>
      </c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>
        <v>0</v>
      </c>
      <c r="FR36" s="2">
        <f t="shared" si="42"/>
        <v>0</v>
      </c>
      <c r="FS36" s="2">
        <v>0</v>
      </c>
      <c r="FT36" s="2" t="s">
        <v>34</v>
      </c>
      <c r="FU36" s="2" t="s">
        <v>35</v>
      </c>
      <c r="FV36" s="2"/>
      <c r="FW36" s="2"/>
      <c r="FX36" s="2">
        <v>110.7</v>
      </c>
      <c r="FY36" s="2">
        <v>63.75</v>
      </c>
      <c r="FZ36" s="2"/>
      <c r="GA36" s="2" t="s">
        <v>4</v>
      </c>
      <c r="GB36" s="2"/>
      <c r="GC36" s="2"/>
      <c r="GD36" s="2">
        <v>0</v>
      </c>
      <c r="GE36" s="2"/>
      <c r="GF36" s="2">
        <v>630556909</v>
      </c>
      <c r="GG36" s="2">
        <v>2</v>
      </c>
      <c r="GH36" s="2">
        <v>1</v>
      </c>
      <c r="GI36" s="2">
        <v>-2</v>
      </c>
      <c r="GJ36" s="2">
        <v>0</v>
      </c>
      <c r="GK36" s="2">
        <f>ROUND(R36*(R12)/100,2)</f>
        <v>0</v>
      </c>
      <c r="GL36" s="2">
        <f t="shared" si="43"/>
        <v>0</v>
      </c>
      <c r="GM36" s="2">
        <f t="shared" si="44"/>
        <v>2646.25</v>
      </c>
      <c r="GN36" s="2">
        <f t="shared" si="45"/>
        <v>2646.25</v>
      </c>
      <c r="GO36" s="2">
        <f t="shared" si="46"/>
        <v>0</v>
      </c>
      <c r="GP36" s="2">
        <f t="shared" si="47"/>
        <v>0</v>
      </c>
      <c r="GQ36" s="2"/>
      <c r="GR36" s="2">
        <v>0</v>
      </c>
      <c r="GS36" s="2">
        <v>3</v>
      </c>
      <c r="GT36" s="2">
        <v>0</v>
      </c>
      <c r="GU36" s="2" t="s">
        <v>4</v>
      </c>
      <c r="GV36" s="2">
        <f t="shared" si="48"/>
        <v>0</v>
      </c>
      <c r="GW36" s="2">
        <v>1</v>
      </c>
      <c r="GX36" s="2">
        <f t="shared" si="49"/>
        <v>0</v>
      </c>
      <c r="GY36" s="2"/>
      <c r="GZ36" s="2"/>
      <c r="HA36" s="2">
        <v>0</v>
      </c>
      <c r="HB36" s="2">
        <v>0</v>
      </c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>
        <v>0</v>
      </c>
      <c r="IL36" s="2"/>
      <c r="IM36" s="2"/>
      <c r="IN36" s="2"/>
      <c r="IO36" s="2"/>
      <c r="IP36" s="2"/>
      <c r="IQ36" s="2"/>
      <c r="IR36" s="2"/>
      <c r="IS36" s="2"/>
      <c r="IT36" s="2"/>
      <c r="IU36" s="2"/>
    </row>
    <row r="37" spans="1:255" x14ac:dyDescent="0.2">
      <c r="A37">
        <v>18</v>
      </c>
      <c r="B37">
        <v>1</v>
      </c>
      <c r="C37">
        <v>48</v>
      </c>
      <c r="E37" t="s">
        <v>51</v>
      </c>
      <c r="F37" t="s">
        <v>52</v>
      </c>
      <c r="G37" t="s">
        <v>53</v>
      </c>
      <c r="H37" t="s">
        <v>50</v>
      </c>
      <c r="I37">
        <f>I33*J37</f>
        <v>37.026000000000003</v>
      </c>
      <c r="J37">
        <v>102.00000000000001</v>
      </c>
      <c r="O37">
        <f t="shared" si="14"/>
        <v>16089.19</v>
      </c>
      <c r="P37">
        <f t="shared" si="15"/>
        <v>16089.19</v>
      </c>
      <c r="Q37">
        <f t="shared" si="16"/>
        <v>0</v>
      </c>
      <c r="R37">
        <f t="shared" si="17"/>
        <v>0</v>
      </c>
      <c r="S37">
        <f t="shared" si="18"/>
        <v>0</v>
      </c>
      <c r="T37">
        <f t="shared" si="19"/>
        <v>0</v>
      </c>
      <c r="U37">
        <f t="shared" si="20"/>
        <v>0</v>
      </c>
      <c r="V37">
        <f t="shared" si="21"/>
        <v>0</v>
      </c>
      <c r="W37">
        <f t="shared" si="22"/>
        <v>0</v>
      </c>
      <c r="X37">
        <f t="shared" si="23"/>
        <v>0</v>
      </c>
      <c r="Y37">
        <f t="shared" si="24"/>
        <v>0</v>
      </c>
      <c r="AA37">
        <v>16501255</v>
      </c>
      <c r="AB37">
        <f t="shared" si="25"/>
        <v>71.47</v>
      </c>
      <c r="AC37">
        <f t="shared" si="51"/>
        <v>71.47</v>
      </c>
      <c r="AD37">
        <f t="shared" si="52"/>
        <v>0</v>
      </c>
      <c r="AE37">
        <f t="shared" si="53"/>
        <v>0</v>
      </c>
      <c r="AF37">
        <f t="shared" si="53"/>
        <v>0</v>
      </c>
      <c r="AG37">
        <f t="shared" si="28"/>
        <v>0</v>
      </c>
      <c r="AH37">
        <f t="shared" si="54"/>
        <v>0</v>
      </c>
      <c r="AI37">
        <f t="shared" si="54"/>
        <v>0</v>
      </c>
      <c r="AJ37">
        <f t="shared" si="30"/>
        <v>0</v>
      </c>
      <c r="AK37">
        <v>71.47</v>
      </c>
      <c r="AL37">
        <v>71.47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111</v>
      </c>
      <c r="AU37">
        <v>64</v>
      </c>
      <c r="AV37">
        <v>1</v>
      </c>
      <c r="AW37">
        <v>1</v>
      </c>
      <c r="AZ37">
        <v>6.08</v>
      </c>
      <c r="BA37">
        <v>1</v>
      </c>
      <c r="BB37">
        <v>1</v>
      </c>
      <c r="BC37">
        <v>6.08</v>
      </c>
      <c r="BD37" t="s">
        <v>4</v>
      </c>
      <c r="BE37" t="s">
        <v>4</v>
      </c>
      <c r="BF37" t="s">
        <v>4</v>
      </c>
      <c r="BG37" t="s">
        <v>4</v>
      </c>
      <c r="BH37">
        <v>3</v>
      </c>
      <c r="BI37">
        <v>1</v>
      </c>
      <c r="BJ37" t="s">
        <v>54</v>
      </c>
      <c r="BM37">
        <v>11001</v>
      </c>
      <c r="BN37">
        <v>0</v>
      </c>
      <c r="BO37" t="s">
        <v>4</v>
      </c>
      <c r="BP37">
        <v>0</v>
      </c>
      <c r="BQ37">
        <v>2</v>
      </c>
      <c r="BR37">
        <v>0</v>
      </c>
      <c r="BS37">
        <v>1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4</v>
      </c>
      <c r="BZ37">
        <v>123</v>
      </c>
      <c r="CA37">
        <v>75</v>
      </c>
      <c r="CF37">
        <v>0</v>
      </c>
      <c r="CG37">
        <v>0</v>
      </c>
      <c r="CM37">
        <v>0</v>
      </c>
      <c r="CN37" t="s">
        <v>4</v>
      </c>
      <c r="CO37">
        <v>0</v>
      </c>
      <c r="CP37">
        <f t="shared" si="31"/>
        <v>16089.19</v>
      </c>
      <c r="CQ37">
        <f t="shared" si="32"/>
        <v>434.5376</v>
      </c>
      <c r="CR37">
        <f t="shared" si="33"/>
        <v>0</v>
      </c>
      <c r="CS37">
        <f t="shared" si="34"/>
        <v>0</v>
      </c>
      <c r="CT37">
        <f t="shared" si="35"/>
        <v>0</v>
      </c>
      <c r="CU37">
        <f t="shared" si="36"/>
        <v>0</v>
      </c>
      <c r="CV37">
        <f t="shared" si="37"/>
        <v>0</v>
      </c>
      <c r="CW37">
        <f t="shared" si="38"/>
        <v>0</v>
      </c>
      <c r="CX37">
        <f t="shared" si="39"/>
        <v>0</v>
      </c>
      <c r="CY37">
        <f t="shared" si="40"/>
        <v>0</v>
      </c>
      <c r="CZ37">
        <f t="shared" si="41"/>
        <v>0</v>
      </c>
      <c r="DC37" t="s">
        <v>4</v>
      </c>
      <c r="DD37" t="s">
        <v>4</v>
      </c>
      <c r="DE37" t="s">
        <v>4</v>
      </c>
      <c r="DF37" t="s">
        <v>4</v>
      </c>
      <c r="DG37" t="s">
        <v>4</v>
      </c>
      <c r="DH37" t="s">
        <v>4</v>
      </c>
      <c r="DI37" t="s">
        <v>4</v>
      </c>
      <c r="DJ37" t="s">
        <v>4</v>
      </c>
      <c r="DK37" t="s">
        <v>4</v>
      </c>
      <c r="DL37" t="s">
        <v>4</v>
      </c>
      <c r="DM37" t="s">
        <v>4</v>
      </c>
      <c r="DN37">
        <v>0</v>
      </c>
      <c r="DO37">
        <v>0</v>
      </c>
      <c r="DP37">
        <v>1</v>
      </c>
      <c r="DQ37">
        <v>1</v>
      </c>
      <c r="DU37">
        <v>1005</v>
      </c>
      <c r="DV37" t="s">
        <v>50</v>
      </c>
      <c r="DW37" t="s">
        <v>50</v>
      </c>
      <c r="DX37">
        <v>1</v>
      </c>
      <c r="EE37">
        <v>16510488</v>
      </c>
      <c r="EF37">
        <v>2</v>
      </c>
      <c r="EG37" t="s">
        <v>31</v>
      </c>
      <c r="EH37">
        <v>0</v>
      </c>
      <c r="EI37" t="s">
        <v>4</v>
      </c>
      <c r="EJ37">
        <v>1</v>
      </c>
      <c r="EK37">
        <v>11001</v>
      </c>
      <c r="EL37" t="s">
        <v>18</v>
      </c>
      <c r="EM37" t="s">
        <v>32</v>
      </c>
      <c r="EO37" t="s">
        <v>4</v>
      </c>
      <c r="EQ37">
        <v>0</v>
      </c>
      <c r="ER37">
        <v>71.47</v>
      </c>
      <c r="ES37">
        <v>71.47</v>
      </c>
      <c r="ET37">
        <v>0</v>
      </c>
      <c r="EU37">
        <v>0</v>
      </c>
      <c r="EV37">
        <v>0</v>
      </c>
      <c r="EW37">
        <v>0</v>
      </c>
      <c r="EX37">
        <v>0</v>
      </c>
      <c r="FQ37">
        <v>0</v>
      </c>
      <c r="FR37">
        <f t="shared" si="42"/>
        <v>0</v>
      </c>
      <c r="FS37">
        <v>0</v>
      </c>
      <c r="FT37" t="s">
        <v>34</v>
      </c>
      <c r="FU37" t="s">
        <v>35</v>
      </c>
      <c r="FX37">
        <v>110.7</v>
      </c>
      <c r="FY37">
        <v>63.75</v>
      </c>
      <c r="GA37" t="s">
        <v>4</v>
      </c>
      <c r="GD37">
        <v>0</v>
      </c>
      <c r="GF37">
        <v>630556909</v>
      </c>
      <c r="GG37">
        <v>1</v>
      </c>
      <c r="GH37">
        <v>1</v>
      </c>
      <c r="GI37">
        <v>4</v>
      </c>
      <c r="GJ37">
        <v>0</v>
      </c>
      <c r="GK37">
        <f>ROUND(R37*(S12)/100,2)</f>
        <v>0</v>
      </c>
      <c r="GL37">
        <f t="shared" si="43"/>
        <v>0</v>
      </c>
      <c r="GM37">
        <f t="shared" si="44"/>
        <v>16089.19</v>
      </c>
      <c r="GN37">
        <f t="shared" si="45"/>
        <v>16089.19</v>
      </c>
      <c r="GO37">
        <f t="shared" si="46"/>
        <v>0</v>
      </c>
      <c r="GP37">
        <f t="shared" si="47"/>
        <v>0</v>
      </c>
      <c r="GR37">
        <v>0</v>
      </c>
      <c r="GS37">
        <v>3</v>
      </c>
      <c r="GT37">
        <v>0</v>
      </c>
      <c r="GU37" t="s">
        <v>4</v>
      </c>
      <c r="GV37">
        <f t="shared" si="48"/>
        <v>0</v>
      </c>
      <c r="GW37">
        <v>1</v>
      </c>
      <c r="GX37">
        <f t="shared" si="49"/>
        <v>0</v>
      </c>
      <c r="HA37">
        <v>0</v>
      </c>
      <c r="HB37">
        <v>0</v>
      </c>
      <c r="IK37">
        <v>0</v>
      </c>
    </row>
    <row r="38" spans="1:255" x14ac:dyDescent="0.2">
      <c r="A38" s="2">
        <v>18</v>
      </c>
      <c r="B38" s="2">
        <v>1</v>
      </c>
      <c r="C38" s="2">
        <v>42</v>
      </c>
      <c r="D38" s="2"/>
      <c r="E38" s="2" t="s">
        <v>55</v>
      </c>
      <c r="F38" s="2" t="s">
        <v>56</v>
      </c>
      <c r="G38" s="2" t="s">
        <v>57</v>
      </c>
      <c r="H38" s="2" t="s">
        <v>58</v>
      </c>
      <c r="I38" s="2">
        <f>I32*J38</f>
        <v>1.8149999999999999E-2</v>
      </c>
      <c r="J38" s="2">
        <v>0.05</v>
      </c>
      <c r="K38" s="2"/>
      <c r="L38" s="2"/>
      <c r="M38" s="2"/>
      <c r="N38" s="2"/>
      <c r="O38" s="2">
        <f t="shared" si="14"/>
        <v>205.1</v>
      </c>
      <c r="P38" s="2">
        <f t="shared" si="15"/>
        <v>205.1</v>
      </c>
      <c r="Q38" s="2">
        <f t="shared" si="16"/>
        <v>0</v>
      </c>
      <c r="R38" s="2">
        <f t="shared" si="17"/>
        <v>0</v>
      </c>
      <c r="S38" s="2">
        <f t="shared" si="18"/>
        <v>0</v>
      </c>
      <c r="T38" s="2">
        <f t="shared" si="19"/>
        <v>0</v>
      </c>
      <c r="U38" s="2">
        <f t="shared" si="20"/>
        <v>0</v>
      </c>
      <c r="V38" s="2">
        <f t="shared" si="21"/>
        <v>0</v>
      </c>
      <c r="W38" s="2">
        <f t="shared" si="22"/>
        <v>0</v>
      </c>
      <c r="X38" s="2">
        <f t="shared" si="23"/>
        <v>0</v>
      </c>
      <c r="Y38" s="2">
        <f t="shared" si="24"/>
        <v>0</v>
      </c>
      <c r="Z38" s="2"/>
      <c r="AA38" s="2">
        <v>16501254</v>
      </c>
      <c r="AB38" s="2">
        <f t="shared" si="25"/>
        <v>11300</v>
      </c>
      <c r="AC38" s="2">
        <f t="shared" si="51"/>
        <v>11300</v>
      </c>
      <c r="AD38" s="2">
        <f t="shared" si="52"/>
        <v>0</v>
      </c>
      <c r="AE38" s="2">
        <f t="shared" si="53"/>
        <v>0</v>
      </c>
      <c r="AF38" s="2">
        <f t="shared" si="53"/>
        <v>0</v>
      </c>
      <c r="AG38" s="2">
        <f t="shared" si="28"/>
        <v>0</v>
      </c>
      <c r="AH38" s="2">
        <f t="shared" si="54"/>
        <v>0</v>
      </c>
      <c r="AI38" s="2">
        <f t="shared" si="54"/>
        <v>0</v>
      </c>
      <c r="AJ38" s="2">
        <f t="shared" si="30"/>
        <v>0</v>
      </c>
      <c r="AK38" s="2">
        <v>11300</v>
      </c>
      <c r="AL38" s="2">
        <v>11300</v>
      </c>
      <c r="AM38" s="2">
        <v>0</v>
      </c>
      <c r="AN38" s="2">
        <v>0</v>
      </c>
      <c r="AO38" s="2">
        <v>0</v>
      </c>
      <c r="AP38" s="2">
        <v>0</v>
      </c>
      <c r="AQ38" s="2">
        <v>0</v>
      </c>
      <c r="AR38" s="2">
        <v>0</v>
      </c>
      <c r="AS38" s="2">
        <v>0</v>
      </c>
      <c r="AT38" s="2">
        <v>111</v>
      </c>
      <c r="AU38" s="2">
        <v>64</v>
      </c>
      <c r="AV38" s="2">
        <v>1</v>
      </c>
      <c r="AW38" s="2">
        <v>1</v>
      </c>
      <c r="AX38" s="2"/>
      <c r="AY38" s="2"/>
      <c r="AZ38" s="2">
        <v>1</v>
      </c>
      <c r="BA38" s="2">
        <v>1</v>
      </c>
      <c r="BB38" s="2">
        <v>1</v>
      </c>
      <c r="BC38" s="2">
        <v>1</v>
      </c>
      <c r="BD38" s="2" t="s">
        <v>4</v>
      </c>
      <c r="BE38" s="2" t="s">
        <v>4</v>
      </c>
      <c r="BF38" s="2" t="s">
        <v>4</v>
      </c>
      <c r="BG38" s="2" t="s">
        <v>4</v>
      </c>
      <c r="BH38" s="2">
        <v>3</v>
      </c>
      <c r="BI38" s="2">
        <v>1</v>
      </c>
      <c r="BJ38" s="2" t="s">
        <v>59</v>
      </c>
      <c r="BK38" s="2"/>
      <c r="BL38" s="2"/>
      <c r="BM38" s="2">
        <v>11001</v>
      </c>
      <c r="BN38" s="2">
        <v>0</v>
      </c>
      <c r="BO38" s="2" t="s">
        <v>4</v>
      </c>
      <c r="BP38" s="2">
        <v>0</v>
      </c>
      <c r="BQ38" s="2">
        <v>2</v>
      </c>
      <c r="BR38" s="2">
        <v>0</v>
      </c>
      <c r="BS38" s="2">
        <v>1</v>
      </c>
      <c r="BT38" s="2">
        <v>1</v>
      </c>
      <c r="BU38" s="2">
        <v>1</v>
      </c>
      <c r="BV38" s="2">
        <v>1</v>
      </c>
      <c r="BW38" s="2">
        <v>1</v>
      </c>
      <c r="BX38" s="2">
        <v>1</v>
      </c>
      <c r="BY38" s="2" t="s">
        <v>4</v>
      </c>
      <c r="BZ38" s="2">
        <v>123</v>
      </c>
      <c r="CA38" s="2">
        <v>75</v>
      </c>
      <c r="CB38" s="2"/>
      <c r="CC38" s="2"/>
      <c r="CD38" s="2"/>
      <c r="CE38" s="2"/>
      <c r="CF38" s="2">
        <v>0</v>
      </c>
      <c r="CG38" s="2">
        <v>0</v>
      </c>
      <c r="CH38" s="2"/>
      <c r="CI38" s="2"/>
      <c r="CJ38" s="2"/>
      <c r="CK38" s="2"/>
      <c r="CL38" s="2"/>
      <c r="CM38" s="2">
        <v>0</v>
      </c>
      <c r="CN38" s="2" t="s">
        <v>4</v>
      </c>
      <c r="CO38" s="2">
        <v>0</v>
      </c>
      <c r="CP38" s="2">
        <f t="shared" si="31"/>
        <v>205.1</v>
      </c>
      <c r="CQ38" s="2">
        <f t="shared" si="32"/>
        <v>11300</v>
      </c>
      <c r="CR38" s="2">
        <f t="shared" si="33"/>
        <v>0</v>
      </c>
      <c r="CS38" s="2">
        <f t="shared" si="34"/>
        <v>0</v>
      </c>
      <c r="CT38" s="2">
        <f t="shared" si="35"/>
        <v>0</v>
      </c>
      <c r="CU38" s="2">
        <f t="shared" si="36"/>
        <v>0</v>
      </c>
      <c r="CV38" s="2">
        <f t="shared" si="37"/>
        <v>0</v>
      </c>
      <c r="CW38" s="2">
        <f t="shared" si="38"/>
        <v>0</v>
      </c>
      <c r="CX38" s="2">
        <f t="shared" si="39"/>
        <v>0</v>
      </c>
      <c r="CY38" s="2">
        <f t="shared" si="40"/>
        <v>0</v>
      </c>
      <c r="CZ38" s="2">
        <f t="shared" si="41"/>
        <v>0</v>
      </c>
      <c r="DA38" s="2"/>
      <c r="DB38" s="2"/>
      <c r="DC38" s="2" t="s">
        <v>4</v>
      </c>
      <c r="DD38" s="2" t="s">
        <v>4</v>
      </c>
      <c r="DE38" s="2" t="s">
        <v>4</v>
      </c>
      <c r="DF38" s="2" t="s">
        <v>4</v>
      </c>
      <c r="DG38" s="2" t="s">
        <v>4</v>
      </c>
      <c r="DH38" s="2" t="s">
        <v>4</v>
      </c>
      <c r="DI38" s="2" t="s">
        <v>4</v>
      </c>
      <c r="DJ38" s="2" t="s">
        <v>4</v>
      </c>
      <c r="DK38" s="2" t="s">
        <v>4</v>
      </c>
      <c r="DL38" s="2" t="s">
        <v>4</v>
      </c>
      <c r="DM38" s="2" t="s">
        <v>4</v>
      </c>
      <c r="DN38" s="2">
        <v>0</v>
      </c>
      <c r="DO38" s="2">
        <v>0</v>
      </c>
      <c r="DP38" s="2">
        <v>1</v>
      </c>
      <c r="DQ38" s="2">
        <v>1</v>
      </c>
      <c r="DR38" s="2"/>
      <c r="DS38" s="2"/>
      <c r="DT38" s="2"/>
      <c r="DU38" s="2">
        <v>1009</v>
      </c>
      <c r="DV38" s="2" t="s">
        <v>58</v>
      </c>
      <c r="DW38" s="2" t="s">
        <v>58</v>
      </c>
      <c r="DX38" s="2">
        <v>1000</v>
      </c>
      <c r="DY38" s="2"/>
      <c r="DZ38" s="2"/>
      <c r="EA38" s="2"/>
      <c r="EB38" s="2"/>
      <c r="EC38" s="2"/>
      <c r="ED38" s="2"/>
      <c r="EE38" s="2">
        <v>16510488</v>
      </c>
      <c r="EF38" s="2">
        <v>2</v>
      </c>
      <c r="EG38" s="2" t="s">
        <v>31</v>
      </c>
      <c r="EH38" s="2">
        <v>0</v>
      </c>
      <c r="EI38" s="2" t="s">
        <v>4</v>
      </c>
      <c r="EJ38" s="2">
        <v>1</v>
      </c>
      <c r="EK38" s="2">
        <v>11001</v>
      </c>
      <c r="EL38" s="2" t="s">
        <v>18</v>
      </c>
      <c r="EM38" s="2" t="s">
        <v>32</v>
      </c>
      <c r="EN38" s="2"/>
      <c r="EO38" s="2" t="s">
        <v>4</v>
      </c>
      <c r="EP38" s="2"/>
      <c r="EQ38" s="2">
        <v>0</v>
      </c>
      <c r="ER38" s="2">
        <v>11300</v>
      </c>
      <c r="ES38" s="2">
        <v>11300</v>
      </c>
      <c r="ET38" s="2">
        <v>0</v>
      </c>
      <c r="EU38" s="2">
        <v>0</v>
      </c>
      <c r="EV38" s="2">
        <v>0</v>
      </c>
      <c r="EW38" s="2">
        <v>0</v>
      </c>
      <c r="EX38" s="2">
        <v>0</v>
      </c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>
        <v>0</v>
      </c>
      <c r="FR38" s="2">
        <f t="shared" si="42"/>
        <v>0</v>
      </c>
      <c r="FS38" s="2">
        <v>0</v>
      </c>
      <c r="FT38" s="2" t="s">
        <v>34</v>
      </c>
      <c r="FU38" s="2" t="s">
        <v>35</v>
      </c>
      <c r="FV38" s="2"/>
      <c r="FW38" s="2"/>
      <c r="FX38" s="2">
        <v>110.7</v>
      </c>
      <c r="FY38" s="2">
        <v>63.75</v>
      </c>
      <c r="FZ38" s="2"/>
      <c r="GA38" s="2" t="s">
        <v>4</v>
      </c>
      <c r="GB38" s="2"/>
      <c r="GC38" s="2"/>
      <c r="GD38" s="2">
        <v>0</v>
      </c>
      <c r="GE38" s="2"/>
      <c r="GF38" s="2">
        <v>486476101</v>
      </c>
      <c r="GG38" s="2">
        <v>2</v>
      </c>
      <c r="GH38" s="2">
        <v>1</v>
      </c>
      <c r="GI38" s="2">
        <v>-2</v>
      </c>
      <c r="GJ38" s="2">
        <v>0</v>
      </c>
      <c r="GK38" s="2">
        <f>ROUND(R38*(R12)/100,2)</f>
        <v>0</v>
      </c>
      <c r="GL38" s="2">
        <f t="shared" si="43"/>
        <v>0</v>
      </c>
      <c r="GM38" s="2">
        <f t="shared" si="44"/>
        <v>205.1</v>
      </c>
      <c r="GN38" s="2">
        <f t="shared" si="45"/>
        <v>205.1</v>
      </c>
      <c r="GO38" s="2">
        <f t="shared" si="46"/>
        <v>0</v>
      </c>
      <c r="GP38" s="2">
        <f t="shared" si="47"/>
        <v>0</v>
      </c>
      <c r="GQ38" s="2"/>
      <c r="GR38" s="2">
        <v>0</v>
      </c>
      <c r="GS38" s="2">
        <v>3</v>
      </c>
      <c r="GT38" s="2">
        <v>0</v>
      </c>
      <c r="GU38" s="2" t="s">
        <v>4</v>
      </c>
      <c r="GV38" s="2">
        <f t="shared" si="48"/>
        <v>0</v>
      </c>
      <c r="GW38" s="2">
        <v>1</v>
      </c>
      <c r="GX38" s="2">
        <f t="shared" si="49"/>
        <v>0</v>
      </c>
      <c r="GY38" s="2"/>
      <c r="GZ38" s="2"/>
      <c r="HA38" s="2">
        <v>0</v>
      </c>
      <c r="HB38" s="2">
        <v>0</v>
      </c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>
        <v>0</v>
      </c>
      <c r="IL38" s="2"/>
      <c r="IM38" s="2"/>
      <c r="IN38" s="2"/>
      <c r="IO38" s="2"/>
      <c r="IP38" s="2"/>
      <c r="IQ38" s="2"/>
      <c r="IR38" s="2"/>
      <c r="IS38" s="2"/>
      <c r="IT38" s="2"/>
      <c r="IU38" s="2"/>
    </row>
    <row r="39" spans="1:255" x14ac:dyDescent="0.2">
      <c r="A39">
        <v>18</v>
      </c>
      <c r="B39">
        <v>1</v>
      </c>
      <c r="C39">
        <v>50</v>
      </c>
      <c r="E39" t="s">
        <v>55</v>
      </c>
      <c r="F39" t="s">
        <v>56</v>
      </c>
      <c r="G39" t="s">
        <v>57</v>
      </c>
      <c r="H39" t="s">
        <v>58</v>
      </c>
      <c r="I39">
        <f>I33*J39</f>
        <v>1.8149999999999999E-2</v>
      </c>
      <c r="J39">
        <v>0.05</v>
      </c>
      <c r="O39">
        <f t="shared" si="14"/>
        <v>1246.98</v>
      </c>
      <c r="P39">
        <f t="shared" si="15"/>
        <v>1246.98</v>
      </c>
      <c r="Q39">
        <f t="shared" si="16"/>
        <v>0</v>
      </c>
      <c r="R39">
        <f t="shared" si="17"/>
        <v>0</v>
      </c>
      <c r="S39">
        <f t="shared" si="18"/>
        <v>0</v>
      </c>
      <c r="T39">
        <f t="shared" si="19"/>
        <v>0</v>
      </c>
      <c r="U39">
        <f t="shared" si="20"/>
        <v>0</v>
      </c>
      <c r="V39">
        <f t="shared" si="21"/>
        <v>0</v>
      </c>
      <c r="W39">
        <f t="shared" si="22"/>
        <v>0</v>
      </c>
      <c r="X39">
        <f t="shared" si="23"/>
        <v>0</v>
      </c>
      <c r="Y39">
        <f t="shared" si="24"/>
        <v>0</v>
      </c>
      <c r="AA39">
        <v>16501255</v>
      </c>
      <c r="AB39">
        <f t="shared" si="25"/>
        <v>11300</v>
      </c>
      <c r="AC39">
        <f t="shared" si="51"/>
        <v>11300</v>
      </c>
      <c r="AD39">
        <f t="shared" si="52"/>
        <v>0</v>
      </c>
      <c r="AE39">
        <f t="shared" si="53"/>
        <v>0</v>
      </c>
      <c r="AF39">
        <f t="shared" si="53"/>
        <v>0</v>
      </c>
      <c r="AG39">
        <f t="shared" si="28"/>
        <v>0</v>
      </c>
      <c r="AH39">
        <f t="shared" si="54"/>
        <v>0</v>
      </c>
      <c r="AI39">
        <f t="shared" si="54"/>
        <v>0</v>
      </c>
      <c r="AJ39">
        <f t="shared" si="30"/>
        <v>0</v>
      </c>
      <c r="AK39">
        <v>11300</v>
      </c>
      <c r="AL39">
        <v>11300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111</v>
      </c>
      <c r="AU39">
        <v>64</v>
      </c>
      <c r="AV39">
        <v>1</v>
      </c>
      <c r="AW39">
        <v>1</v>
      </c>
      <c r="AZ39">
        <v>6.08</v>
      </c>
      <c r="BA39">
        <v>1</v>
      </c>
      <c r="BB39">
        <v>1</v>
      </c>
      <c r="BC39">
        <v>6.08</v>
      </c>
      <c r="BD39" t="s">
        <v>4</v>
      </c>
      <c r="BE39" t="s">
        <v>4</v>
      </c>
      <c r="BF39" t="s">
        <v>4</v>
      </c>
      <c r="BG39" t="s">
        <v>4</v>
      </c>
      <c r="BH39">
        <v>3</v>
      </c>
      <c r="BI39">
        <v>1</v>
      </c>
      <c r="BJ39" t="s">
        <v>59</v>
      </c>
      <c r="BM39">
        <v>11001</v>
      </c>
      <c r="BN39">
        <v>0</v>
      </c>
      <c r="BO39" t="s">
        <v>4</v>
      </c>
      <c r="BP39">
        <v>0</v>
      </c>
      <c r="BQ39">
        <v>2</v>
      </c>
      <c r="BR39">
        <v>0</v>
      </c>
      <c r="BS39">
        <v>1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4</v>
      </c>
      <c r="BZ39">
        <v>123</v>
      </c>
      <c r="CA39">
        <v>75</v>
      </c>
      <c r="CF39">
        <v>0</v>
      </c>
      <c r="CG39">
        <v>0</v>
      </c>
      <c r="CM39">
        <v>0</v>
      </c>
      <c r="CN39" t="s">
        <v>4</v>
      </c>
      <c r="CO39">
        <v>0</v>
      </c>
      <c r="CP39">
        <f t="shared" si="31"/>
        <v>1246.98</v>
      </c>
      <c r="CQ39">
        <f t="shared" si="32"/>
        <v>68704</v>
      </c>
      <c r="CR39">
        <f t="shared" si="33"/>
        <v>0</v>
      </c>
      <c r="CS39">
        <f t="shared" si="34"/>
        <v>0</v>
      </c>
      <c r="CT39">
        <f t="shared" si="35"/>
        <v>0</v>
      </c>
      <c r="CU39">
        <f t="shared" si="36"/>
        <v>0</v>
      </c>
      <c r="CV39">
        <f t="shared" si="37"/>
        <v>0</v>
      </c>
      <c r="CW39">
        <f t="shared" si="38"/>
        <v>0</v>
      </c>
      <c r="CX39">
        <f t="shared" si="39"/>
        <v>0</v>
      </c>
      <c r="CY39">
        <f t="shared" si="40"/>
        <v>0</v>
      </c>
      <c r="CZ39">
        <f t="shared" si="41"/>
        <v>0</v>
      </c>
      <c r="DC39" t="s">
        <v>4</v>
      </c>
      <c r="DD39" t="s">
        <v>4</v>
      </c>
      <c r="DE39" t="s">
        <v>4</v>
      </c>
      <c r="DF39" t="s">
        <v>4</v>
      </c>
      <c r="DG39" t="s">
        <v>4</v>
      </c>
      <c r="DH39" t="s">
        <v>4</v>
      </c>
      <c r="DI39" t="s">
        <v>4</v>
      </c>
      <c r="DJ39" t="s">
        <v>4</v>
      </c>
      <c r="DK39" t="s">
        <v>4</v>
      </c>
      <c r="DL39" t="s">
        <v>4</v>
      </c>
      <c r="DM39" t="s">
        <v>4</v>
      </c>
      <c r="DN39">
        <v>0</v>
      </c>
      <c r="DO39">
        <v>0</v>
      </c>
      <c r="DP39">
        <v>1</v>
      </c>
      <c r="DQ39">
        <v>1</v>
      </c>
      <c r="DU39">
        <v>1009</v>
      </c>
      <c r="DV39" t="s">
        <v>58</v>
      </c>
      <c r="DW39" t="s">
        <v>58</v>
      </c>
      <c r="DX39">
        <v>1000</v>
      </c>
      <c r="EE39">
        <v>16510488</v>
      </c>
      <c r="EF39">
        <v>2</v>
      </c>
      <c r="EG39" t="s">
        <v>31</v>
      </c>
      <c r="EH39">
        <v>0</v>
      </c>
      <c r="EI39" t="s">
        <v>4</v>
      </c>
      <c r="EJ39">
        <v>1</v>
      </c>
      <c r="EK39">
        <v>11001</v>
      </c>
      <c r="EL39" t="s">
        <v>18</v>
      </c>
      <c r="EM39" t="s">
        <v>32</v>
      </c>
      <c r="EO39" t="s">
        <v>4</v>
      </c>
      <c r="EQ39">
        <v>0</v>
      </c>
      <c r="ER39">
        <v>11300</v>
      </c>
      <c r="ES39">
        <v>11300</v>
      </c>
      <c r="ET39">
        <v>0</v>
      </c>
      <c r="EU39">
        <v>0</v>
      </c>
      <c r="EV39">
        <v>0</v>
      </c>
      <c r="EW39">
        <v>0</v>
      </c>
      <c r="EX39">
        <v>0</v>
      </c>
      <c r="FQ39">
        <v>0</v>
      </c>
      <c r="FR39">
        <f t="shared" si="42"/>
        <v>0</v>
      </c>
      <c r="FS39">
        <v>0</v>
      </c>
      <c r="FT39" t="s">
        <v>34</v>
      </c>
      <c r="FU39" t="s">
        <v>35</v>
      </c>
      <c r="FX39">
        <v>110.7</v>
      </c>
      <c r="FY39">
        <v>63.75</v>
      </c>
      <c r="GA39" t="s">
        <v>4</v>
      </c>
      <c r="GD39">
        <v>0</v>
      </c>
      <c r="GF39">
        <v>486476101</v>
      </c>
      <c r="GG39">
        <v>1</v>
      </c>
      <c r="GH39">
        <v>1</v>
      </c>
      <c r="GI39">
        <v>4</v>
      </c>
      <c r="GJ39">
        <v>0</v>
      </c>
      <c r="GK39">
        <f>ROUND(R39*(S12)/100,2)</f>
        <v>0</v>
      </c>
      <c r="GL39">
        <f t="shared" si="43"/>
        <v>0</v>
      </c>
      <c r="GM39">
        <f t="shared" si="44"/>
        <v>1246.98</v>
      </c>
      <c r="GN39">
        <f t="shared" si="45"/>
        <v>1246.98</v>
      </c>
      <c r="GO39">
        <f t="shared" si="46"/>
        <v>0</v>
      </c>
      <c r="GP39">
        <f t="shared" si="47"/>
        <v>0</v>
      </c>
      <c r="GR39">
        <v>0</v>
      </c>
      <c r="GS39">
        <v>3</v>
      </c>
      <c r="GT39">
        <v>0</v>
      </c>
      <c r="GU39" t="s">
        <v>4</v>
      </c>
      <c r="GV39">
        <f t="shared" si="48"/>
        <v>0</v>
      </c>
      <c r="GW39">
        <v>1</v>
      </c>
      <c r="GX39">
        <f t="shared" si="49"/>
        <v>0</v>
      </c>
      <c r="HA39">
        <v>0</v>
      </c>
      <c r="HB39">
        <v>0</v>
      </c>
      <c r="IK39">
        <v>0</v>
      </c>
    </row>
    <row r="40" spans="1:255" x14ac:dyDescent="0.2">
      <c r="A40" s="2">
        <v>17</v>
      </c>
      <c r="B40" s="2">
        <v>1</v>
      </c>
      <c r="C40" s="2">
        <f>ROW(SmtRes!A62)</f>
        <v>62</v>
      </c>
      <c r="D40" s="2">
        <f>ROW(EtalonRes!A64)</f>
        <v>64</v>
      </c>
      <c r="E40" s="2" t="s">
        <v>60</v>
      </c>
      <c r="F40" s="2" t="s">
        <v>61</v>
      </c>
      <c r="G40" s="2" t="s">
        <v>62</v>
      </c>
      <c r="H40" s="2" t="s">
        <v>15</v>
      </c>
      <c r="I40" s="2">
        <f>ROUND(23.2/100,9)</f>
        <v>0.23200000000000001</v>
      </c>
      <c r="J40" s="2">
        <v>0</v>
      </c>
      <c r="K40" s="2"/>
      <c r="L40" s="2"/>
      <c r="M40" s="2"/>
      <c r="N40" s="2"/>
      <c r="O40" s="2">
        <f t="shared" si="14"/>
        <v>34.06</v>
      </c>
      <c r="P40" s="2">
        <f t="shared" si="15"/>
        <v>17.079999999999998</v>
      </c>
      <c r="Q40" s="2">
        <f t="shared" si="16"/>
        <v>0.62</v>
      </c>
      <c r="R40" s="2">
        <f t="shared" si="17"/>
        <v>0.12</v>
      </c>
      <c r="S40" s="2">
        <f t="shared" si="18"/>
        <v>16.36</v>
      </c>
      <c r="T40" s="2">
        <f t="shared" si="19"/>
        <v>0</v>
      </c>
      <c r="U40" s="2">
        <f t="shared" si="20"/>
        <v>1.782224</v>
      </c>
      <c r="V40" s="2">
        <f t="shared" si="21"/>
        <v>1.1600000000000001E-2</v>
      </c>
      <c r="W40" s="2">
        <f t="shared" si="22"/>
        <v>0</v>
      </c>
      <c r="X40" s="2">
        <f t="shared" si="23"/>
        <v>18.29</v>
      </c>
      <c r="Y40" s="2">
        <f t="shared" si="24"/>
        <v>10.55</v>
      </c>
      <c r="Z40" s="2"/>
      <c r="AA40" s="2">
        <v>16501254</v>
      </c>
      <c r="AB40" s="2">
        <f t="shared" si="25"/>
        <v>146.82050000000001</v>
      </c>
      <c r="AC40" s="2">
        <f t="shared" si="51"/>
        <v>73.64</v>
      </c>
      <c r="AD40" s="2">
        <f>ROUND(((((ET40*1.25))-((EU40*1.25)))+AE40),6)</f>
        <v>2.6625000000000001</v>
      </c>
      <c r="AE40" s="2">
        <f>ROUND(((EU40*1.25)),6)</f>
        <v>0.52500000000000002</v>
      </c>
      <c r="AF40" s="2">
        <f>ROUND(((EV40*1.15)),6)</f>
        <v>70.518000000000001</v>
      </c>
      <c r="AG40" s="2">
        <f t="shared" si="28"/>
        <v>0</v>
      </c>
      <c r="AH40" s="2">
        <f>((EW40*1.15))</f>
        <v>7.6819999999999995</v>
      </c>
      <c r="AI40" s="2">
        <f>((EX40*1.25))</f>
        <v>0.05</v>
      </c>
      <c r="AJ40" s="2">
        <f t="shared" si="30"/>
        <v>0</v>
      </c>
      <c r="AK40" s="2">
        <v>137.09</v>
      </c>
      <c r="AL40" s="2">
        <v>73.64</v>
      </c>
      <c r="AM40" s="2">
        <v>2.13</v>
      </c>
      <c r="AN40" s="2">
        <v>0.42</v>
      </c>
      <c r="AO40" s="2">
        <v>61.32</v>
      </c>
      <c r="AP40" s="2">
        <v>0</v>
      </c>
      <c r="AQ40" s="2">
        <v>6.68</v>
      </c>
      <c r="AR40" s="2">
        <v>0.04</v>
      </c>
      <c r="AS40" s="2">
        <v>0</v>
      </c>
      <c r="AT40" s="2">
        <v>111</v>
      </c>
      <c r="AU40" s="2">
        <v>64</v>
      </c>
      <c r="AV40" s="2">
        <v>1</v>
      </c>
      <c r="AW40" s="2">
        <v>1</v>
      </c>
      <c r="AX40" s="2"/>
      <c r="AY40" s="2"/>
      <c r="AZ40" s="2">
        <v>1</v>
      </c>
      <c r="BA40" s="2">
        <v>1</v>
      </c>
      <c r="BB40" s="2">
        <v>1</v>
      </c>
      <c r="BC40" s="2">
        <v>1</v>
      </c>
      <c r="BD40" s="2" t="s">
        <v>4</v>
      </c>
      <c r="BE40" s="2" t="s">
        <v>4</v>
      </c>
      <c r="BF40" s="2" t="s">
        <v>4</v>
      </c>
      <c r="BG40" s="2" t="s">
        <v>4</v>
      </c>
      <c r="BH40" s="2">
        <v>0</v>
      </c>
      <c r="BI40" s="2">
        <v>1</v>
      </c>
      <c r="BJ40" s="2" t="s">
        <v>63</v>
      </c>
      <c r="BK40" s="2"/>
      <c r="BL40" s="2"/>
      <c r="BM40" s="2">
        <v>11001</v>
      </c>
      <c r="BN40" s="2">
        <v>0</v>
      </c>
      <c r="BO40" s="2" t="s">
        <v>4</v>
      </c>
      <c r="BP40" s="2">
        <v>0</v>
      </c>
      <c r="BQ40" s="2">
        <v>2</v>
      </c>
      <c r="BR40" s="2">
        <v>0</v>
      </c>
      <c r="BS40" s="2">
        <v>1</v>
      </c>
      <c r="BT40" s="2">
        <v>1</v>
      </c>
      <c r="BU40" s="2">
        <v>1</v>
      </c>
      <c r="BV40" s="2">
        <v>1</v>
      </c>
      <c r="BW40" s="2">
        <v>1</v>
      </c>
      <c r="BX40" s="2">
        <v>1</v>
      </c>
      <c r="BY40" s="2" t="s">
        <v>4</v>
      </c>
      <c r="BZ40" s="2">
        <v>123</v>
      </c>
      <c r="CA40" s="2">
        <v>75</v>
      </c>
      <c r="CB40" s="2"/>
      <c r="CC40" s="2"/>
      <c r="CD40" s="2"/>
      <c r="CE40" s="2"/>
      <c r="CF40" s="2">
        <v>0</v>
      </c>
      <c r="CG40" s="2">
        <v>0</v>
      </c>
      <c r="CH40" s="2"/>
      <c r="CI40" s="2"/>
      <c r="CJ40" s="2"/>
      <c r="CK40" s="2"/>
      <c r="CL40" s="2"/>
      <c r="CM40" s="2">
        <v>0</v>
      </c>
      <c r="CN40" s="2" t="s">
        <v>323</v>
      </c>
      <c r="CO40" s="2">
        <v>0</v>
      </c>
      <c r="CP40" s="2">
        <f t="shared" si="31"/>
        <v>34.06</v>
      </c>
      <c r="CQ40" s="2">
        <f t="shared" si="32"/>
        <v>73.64</v>
      </c>
      <c r="CR40" s="2">
        <f t="shared" si="33"/>
        <v>2.6625000000000001</v>
      </c>
      <c r="CS40" s="2">
        <f t="shared" si="34"/>
        <v>0.52500000000000002</v>
      </c>
      <c r="CT40" s="2">
        <f t="shared" si="35"/>
        <v>70.518000000000001</v>
      </c>
      <c r="CU40" s="2">
        <f t="shared" si="36"/>
        <v>0</v>
      </c>
      <c r="CV40" s="2">
        <f t="shared" si="37"/>
        <v>7.6819999999999995</v>
      </c>
      <c r="CW40" s="2">
        <f t="shared" si="38"/>
        <v>0.05</v>
      </c>
      <c r="CX40" s="2">
        <f t="shared" si="39"/>
        <v>0</v>
      </c>
      <c r="CY40" s="2">
        <f t="shared" si="40"/>
        <v>18.2928</v>
      </c>
      <c r="CZ40" s="2">
        <f t="shared" si="41"/>
        <v>10.5472</v>
      </c>
      <c r="DA40" s="2"/>
      <c r="DB40" s="2"/>
      <c r="DC40" s="2" t="s">
        <v>4</v>
      </c>
      <c r="DD40" s="2" t="s">
        <v>4</v>
      </c>
      <c r="DE40" s="2" t="s">
        <v>29</v>
      </c>
      <c r="DF40" s="2" t="s">
        <v>29</v>
      </c>
      <c r="DG40" s="2" t="s">
        <v>30</v>
      </c>
      <c r="DH40" s="2" t="s">
        <v>4</v>
      </c>
      <c r="DI40" s="2" t="s">
        <v>30</v>
      </c>
      <c r="DJ40" s="2" t="s">
        <v>29</v>
      </c>
      <c r="DK40" s="2" t="s">
        <v>4</v>
      </c>
      <c r="DL40" s="2" t="s">
        <v>4</v>
      </c>
      <c r="DM40" s="2" t="s">
        <v>4</v>
      </c>
      <c r="DN40" s="2">
        <v>0</v>
      </c>
      <c r="DO40" s="2">
        <v>0</v>
      </c>
      <c r="DP40" s="2">
        <v>1</v>
      </c>
      <c r="DQ40" s="2">
        <v>1</v>
      </c>
      <c r="DR40" s="2"/>
      <c r="DS40" s="2"/>
      <c r="DT40" s="2"/>
      <c r="DU40" s="2">
        <v>1003</v>
      </c>
      <c r="DV40" s="2" t="s">
        <v>15</v>
      </c>
      <c r="DW40" s="2" t="s">
        <v>15</v>
      </c>
      <c r="DX40" s="2">
        <v>100</v>
      </c>
      <c r="DY40" s="2"/>
      <c r="DZ40" s="2"/>
      <c r="EA40" s="2"/>
      <c r="EB40" s="2"/>
      <c r="EC40" s="2"/>
      <c r="ED40" s="2"/>
      <c r="EE40" s="2">
        <v>16510488</v>
      </c>
      <c r="EF40" s="2">
        <v>2</v>
      </c>
      <c r="EG40" s="2" t="s">
        <v>31</v>
      </c>
      <c r="EH40" s="2">
        <v>0</v>
      </c>
      <c r="EI40" s="2" t="s">
        <v>4</v>
      </c>
      <c r="EJ40" s="2">
        <v>1</v>
      </c>
      <c r="EK40" s="2">
        <v>11001</v>
      </c>
      <c r="EL40" s="2" t="s">
        <v>18</v>
      </c>
      <c r="EM40" s="2" t="s">
        <v>32</v>
      </c>
      <c r="EN40" s="2"/>
      <c r="EO40" s="2" t="s">
        <v>33</v>
      </c>
      <c r="EP40" s="2"/>
      <c r="EQ40" s="2">
        <v>0</v>
      </c>
      <c r="ER40" s="2">
        <v>137.09</v>
      </c>
      <c r="ES40" s="2">
        <v>73.64</v>
      </c>
      <c r="ET40" s="2">
        <v>2.13</v>
      </c>
      <c r="EU40" s="2">
        <v>0.42</v>
      </c>
      <c r="EV40" s="2">
        <v>61.32</v>
      </c>
      <c r="EW40" s="2">
        <v>6.68</v>
      </c>
      <c r="EX40" s="2">
        <v>0.04</v>
      </c>
      <c r="EY40" s="2">
        <v>0</v>
      </c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>
        <v>0</v>
      </c>
      <c r="FR40" s="2">
        <f t="shared" si="42"/>
        <v>0</v>
      </c>
      <c r="FS40" s="2">
        <v>0</v>
      </c>
      <c r="FT40" s="2" t="s">
        <v>34</v>
      </c>
      <c r="FU40" s="2" t="s">
        <v>35</v>
      </c>
      <c r="FV40" s="2"/>
      <c r="FW40" s="2"/>
      <c r="FX40" s="2">
        <v>110.7</v>
      </c>
      <c r="FY40" s="2">
        <v>63.75</v>
      </c>
      <c r="FZ40" s="2"/>
      <c r="GA40" s="2" t="s">
        <v>4</v>
      </c>
      <c r="GB40" s="2"/>
      <c r="GC40" s="2"/>
      <c r="GD40" s="2">
        <v>0</v>
      </c>
      <c r="GE40" s="2"/>
      <c r="GF40" s="2">
        <v>-1404287246</v>
      </c>
      <c r="GG40" s="2">
        <v>2</v>
      </c>
      <c r="GH40" s="2">
        <v>1</v>
      </c>
      <c r="GI40" s="2">
        <v>-2</v>
      </c>
      <c r="GJ40" s="2">
        <v>0</v>
      </c>
      <c r="GK40" s="2">
        <f>ROUND(R40*(R12)/100,2)</f>
        <v>0</v>
      </c>
      <c r="GL40" s="2">
        <f t="shared" si="43"/>
        <v>0</v>
      </c>
      <c r="GM40" s="2">
        <f t="shared" si="44"/>
        <v>62.9</v>
      </c>
      <c r="GN40" s="2">
        <f t="shared" si="45"/>
        <v>62.9</v>
      </c>
      <c r="GO40" s="2">
        <f t="shared" si="46"/>
        <v>0</v>
      </c>
      <c r="GP40" s="2">
        <f t="shared" si="47"/>
        <v>0</v>
      </c>
      <c r="GQ40" s="2"/>
      <c r="GR40" s="2">
        <v>0</v>
      </c>
      <c r="GS40" s="2">
        <v>3</v>
      </c>
      <c r="GT40" s="2">
        <v>0</v>
      </c>
      <c r="GU40" s="2" t="s">
        <v>4</v>
      </c>
      <c r="GV40" s="2">
        <f t="shared" si="48"/>
        <v>0</v>
      </c>
      <c r="GW40" s="2">
        <v>1</v>
      </c>
      <c r="GX40" s="2">
        <f t="shared" si="49"/>
        <v>0</v>
      </c>
      <c r="GY40" s="2"/>
      <c r="GZ40" s="2"/>
      <c r="HA40" s="2">
        <v>0</v>
      </c>
      <c r="HB40" s="2">
        <v>0</v>
      </c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>
        <v>0</v>
      </c>
      <c r="IL40" s="2"/>
      <c r="IM40" s="2"/>
      <c r="IN40" s="2"/>
      <c r="IO40" s="2"/>
      <c r="IP40" s="2"/>
      <c r="IQ40" s="2"/>
      <c r="IR40" s="2"/>
      <c r="IS40" s="2"/>
      <c r="IT40" s="2"/>
      <c r="IU40" s="2"/>
    </row>
    <row r="41" spans="1:255" x14ac:dyDescent="0.2">
      <c r="A41">
        <v>17</v>
      </c>
      <c r="B41">
        <v>1</v>
      </c>
      <c r="C41">
        <f>ROW(SmtRes!A74)</f>
        <v>74</v>
      </c>
      <c r="D41">
        <f>ROW(EtalonRes!A76)</f>
        <v>76</v>
      </c>
      <c r="E41" t="s">
        <v>60</v>
      </c>
      <c r="F41" t="s">
        <v>61</v>
      </c>
      <c r="G41" t="s">
        <v>62</v>
      </c>
      <c r="H41" t="s">
        <v>15</v>
      </c>
      <c r="I41">
        <f>ROUND(23.2/100,9)</f>
        <v>0.23200000000000001</v>
      </c>
      <c r="J41">
        <v>0</v>
      </c>
      <c r="O41">
        <f t="shared" si="14"/>
        <v>207.1</v>
      </c>
      <c r="P41">
        <f t="shared" si="15"/>
        <v>103.87</v>
      </c>
      <c r="Q41">
        <f t="shared" si="16"/>
        <v>3.76</v>
      </c>
      <c r="R41">
        <f t="shared" si="17"/>
        <v>0.74</v>
      </c>
      <c r="S41">
        <f t="shared" si="18"/>
        <v>99.47</v>
      </c>
      <c r="T41">
        <f t="shared" si="19"/>
        <v>0</v>
      </c>
      <c r="U41">
        <f t="shared" si="20"/>
        <v>1.782224</v>
      </c>
      <c r="V41">
        <f t="shared" si="21"/>
        <v>1.1600000000000001E-2</v>
      </c>
      <c r="W41">
        <f t="shared" si="22"/>
        <v>0</v>
      </c>
      <c r="X41">
        <f t="shared" si="23"/>
        <v>111.23</v>
      </c>
      <c r="Y41">
        <f t="shared" si="24"/>
        <v>64.13</v>
      </c>
      <c r="AA41">
        <v>16501255</v>
      </c>
      <c r="AB41">
        <f t="shared" si="25"/>
        <v>146.82050000000001</v>
      </c>
      <c r="AC41">
        <f t="shared" si="51"/>
        <v>73.64</v>
      </c>
      <c r="AD41">
        <f>ROUND(((((ET41*1.25))-((EU41*1.25)))+AE41),6)</f>
        <v>2.6625000000000001</v>
      </c>
      <c r="AE41">
        <f>ROUND(((EU41*1.25)),6)</f>
        <v>0.52500000000000002</v>
      </c>
      <c r="AF41">
        <f>ROUND(((EV41*1.15)),6)</f>
        <v>70.518000000000001</v>
      </c>
      <c r="AG41">
        <f t="shared" si="28"/>
        <v>0</v>
      </c>
      <c r="AH41">
        <f>((EW41*1.15))</f>
        <v>7.6819999999999995</v>
      </c>
      <c r="AI41">
        <f>((EX41*1.25))</f>
        <v>0.05</v>
      </c>
      <c r="AJ41">
        <f t="shared" si="30"/>
        <v>0</v>
      </c>
      <c r="AK41">
        <v>137.09</v>
      </c>
      <c r="AL41">
        <v>73.64</v>
      </c>
      <c r="AM41">
        <v>2.13</v>
      </c>
      <c r="AN41">
        <v>0.42</v>
      </c>
      <c r="AO41">
        <v>61.32</v>
      </c>
      <c r="AP41">
        <v>0</v>
      </c>
      <c r="AQ41">
        <v>6.68</v>
      </c>
      <c r="AR41">
        <v>0.04</v>
      </c>
      <c r="AS41">
        <v>0</v>
      </c>
      <c r="AT41">
        <v>111</v>
      </c>
      <c r="AU41">
        <v>64</v>
      </c>
      <c r="AV41">
        <v>1</v>
      </c>
      <c r="AW41">
        <v>1</v>
      </c>
      <c r="AZ41">
        <v>6.08</v>
      </c>
      <c r="BA41">
        <v>6.08</v>
      </c>
      <c r="BB41">
        <v>6.08</v>
      </c>
      <c r="BC41">
        <v>6.08</v>
      </c>
      <c r="BD41" t="s">
        <v>4</v>
      </c>
      <c r="BE41" t="s">
        <v>4</v>
      </c>
      <c r="BF41" t="s">
        <v>4</v>
      </c>
      <c r="BG41" t="s">
        <v>4</v>
      </c>
      <c r="BH41">
        <v>0</v>
      </c>
      <c r="BI41">
        <v>1</v>
      </c>
      <c r="BJ41" t="s">
        <v>63</v>
      </c>
      <c r="BM41">
        <v>11001</v>
      </c>
      <c r="BN41">
        <v>0</v>
      </c>
      <c r="BO41" t="s">
        <v>4</v>
      </c>
      <c r="BP41">
        <v>0</v>
      </c>
      <c r="BQ41">
        <v>2</v>
      </c>
      <c r="BR41">
        <v>0</v>
      </c>
      <c r="BS41">
        <v>6.08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4</v>
      </c>
      <c r="BZ41">
        <v>123</v>
      </c>
      <c r="CA41">
        <v>75</v>
      </c>
      <c r="CF41">
        <v>0</v>
      </c>
      <c r="CG41">
        <v>0</v>
      </c>
      <c r="CM41">
        <v>0</v>
      </c>
      <c r="CN41" t="s">
        <v>323</v>
      </c>
      <c r="CO41">
        <v>0</v>
      </c>
      <c r="CP41">
        <f t="shared" si="31"/>
        <v>207.10000000000002</v>
      </c>
      <c r="CQ41">
        <f t="shared" si="32"/>
        <v>447.7312</v>
      </c>
      <c r="CR41">
        <f t="shared" si="33"/>
        <v>16.188000000000002</v>
      </c>
      <c r="CS41">
        <f t="shared" si="34"/>
        <v>3.1920000000000002</v>
      </c>
      <c r="CT41">
        <f t="shared" si="35"/>
        <v>428.74943999999999</v>
      </c>
      <c r="CU41">
        <f t="shared" si="36"/>
        <v>0</v>
      </c>
      <c r="CV41">
        <f t="shared" si="37"/>
        <v>7.6819999999999995</v>
      </c>
      <c r="CW41">
        <f t="shared" si="38"/>
        <v>0.05</v>
      </c>
      <c r="CX41">
        <f t="shared" si="39"/>
        <v>0</v>
      </c>
      <c r="CY41">
        <f t="shared" si="40"/>
        <v>111.23309999999999</v>
      </c>
      <c r="CZ41">
        <f t="shared" si="41"/>
        <v>64.134399999999999</v>
      </c>
      <c r="DC41" t="s">
        <v>4</v>
      </c>
      <c r="DD41" t="s">
        <v>4</v>
      </c>
      <c r="DE41" t="s">
        <v>29</v>
      </c>
      <c r="DF41" t="s">
        <v>29</v>
      </c>
      <c r="DG41" t="s">
        <v>30</v>
      </c>
      <c r="DH41" t="s">
        <v>4</v>
      </c>
      <c r="DI41" t="s">
        <v>30</v>
      </c>
      <c r="DJ41" t="s">
        <v>29</v>
      </c>
      <c r="DK41" t="s">
        <v>4</v>
      </c>
      <c r="DL41" t="s">
        <v>4</v>
      </c>
      <c r="DM41" t="s">
        <v>4</v>
      </c>
      <c r="DN41">
        <v>0</v>
      </c>
      <c r="DO41">
        <v>0</v>
      </c>
      <c r="DP41">
        <v>1</v>
      </c>
      <c r="DQ41">
        <v>1</v>
      </c>
      <c r="DU41">
        <v>1003</v>
      </c>
      <c r="DV41" t="s">
        <v>15</v>
      </c>
      <c r="DW41" t="s">
        <v>15</v>
      </c>
      <c r="DX41">
        <v>100</v>
      </c>
      <c r="EE41">
        <v>16510488</v>
      </c>
      <c r="EF41">
        <v>2</v>
      </c>
      <c r="EG41" t="s">
        <v>31</v>
      </c>
      <c r="EH41">
        <v>0</v>
      </c>
      <c r="EI41" t="s">
        <v>4</v>
      </c>
      <c r="EJ41">
        <v>1</v>
      </c>
      <c r="EK41">
        <v>11001</v>
      </c>
      <c r="EL41" t="s">
        <v>18</v>
      </c>
      <c r="EM41" t="s">
        <v>32</v>
      </c>
      <c r="EO41" t="s">
        <v>33</v>
      </c>
      <c r="EQ41">
        <v>0</v>
      </c>
      <c r="ER41">
        <v>137.09</v>
      </c>
      <c r="ES41">
        <v>73.64</v>
      </c>
      <c r="ET41">
        <v>2.13</v>
      </c>
      <c r="EU41">
        <v>0.42</v>
      </c>
      <c r="EV41">
        <v>61.32</v>
      </c>
      <c r="EW41">
        <v>6.68</v>
      </c>
      <c r="EX41">
        <v>0.04</v>
      </c>
      <c r="EY41">
        <v>0</v>
      </c>
      <c r="FQ41">
        <v>0</v>
      </c>
      <c r="FR41">
        <f t="shared" si="42"/>
        <v>0</v>
      </c>
      <c r="FS41">
        <v>0</v>
      </c>
      <c r="FT41" t="s">
        <v>34</v>
      </c>
      <c r="FU41" t="s">
        <v>35</v>
      </c>
      <c r="FX41">
        <v>110.7</v>
      </c>
      <c r="FY41">
        <v>63.75</v>
      </c>
      <c r="GA41" t="s">
        <v>4</v>
      </c>
      <c r="GD41">
        <v>0</v>
      </c>
      <c r="GF41">
        <v>-1404287246</v>
      </c>
      <c r="GG41">
        <v>1</v>
      </c>
      <c r="GH41">
        <v>1</v>
      </c>
      <c r="GI41">
        <v>4</v>
      </c>
      <c r="GJ41">
        <v>0</v>
      </c>
      <c r="GK41">
        <f>ROUND(R41*(S12)/100,2)</f>
        <v>0</v>
      </c>
      <c r="GL41">
        <f t="shared" si="43"/>
        <v>0</v>
      </c>
      <c r="GM41">
        <f t="shared" si="44"/>
        <v>382.46</v>
      </c>
      <c r="GN41">
        <f t="shared" si="45"/>
        <v>382.46</v>
      </c>
      <c r="GO41">
        <f t="shared" si="46"/>
        <v>0</v>
      </c>
      <c r="GP41">
        <f t="shared" si="47"/>
        <v>0</v>
      </c>
      <c r="GR41">
        <v>0</v>
      </c>
      <c r="GS41">
        <v>3</v>
      </c>
      <c r="GT41">
        <v>0</v>
      </c>
      <c r="GU41" t="s">
        <v>4</v>
      </c>
      <c r="GV41">
        <f t="shared" si="48"/>
        <v>0</v>
      </c>
      <c r="GW41">
        <v>1</v>
      </c>
      <c r="GX41">
        <f t="shared" si="49"/>
        <v>0</v>
      </c>
      <c r="HA41">
        <v>0</v>
      </c>
      <c r="HB41">
        <v>0</v>
      </c>
      <c r="IK41">
        <v>0</v>
      </c>
    </row>
    <row r="42" spans="1:255" x14ac:dyDescent="0.2">
      <c r="A42" s="2">
        <v>18</v>
      </c>
      <c r="B42" s="2">
        <v>1</v>
      </c>
      <c r="C42" s="2">
        <v>58</v>
      </c>
      <c r="D42" s="2"/>
      <c r="E42" s="2" t="s">
        <v>64</v>
      </c>
      <c r="F42" s="2" t="s">
        <v>65</v>
      </c>
      <c r="G42" s="2" t="s">
        <v>66</v>
      </c>
      <c r="H42" s="2" t="s">
        <v>67</v>
      </c>
      <c r="I42" s="2">
        <f>I40*J42</f>
        <v>0.02</v>
      </c>
      <c r="J42" s="2">
        <v>8.620689655172413E-2</v>
      </c>
      <c r="K42" s="2"/>
      <c r="L42" s="2"/>
      <c r="M42" s="2"/>
      <c r="N42" s="2"/>
      <c r="O42" s="2">
        <f t="shared" si="14"/>
        <v>2.02</v>
      </c>
      <c r="P42" s="2">
        <f t="shared" si="15"/>
        <v>2.02</v>
      </c>
      <c r="Q42" s="2">
        <f t="shared" si="16"/>
        <v>0</v>
      </c>
      <c r="R42" s="2">
        <f t="shared" si="17"/>
        <v>0</v>
      </c>
      <c r="S42" s="2">
        <f t="shared" si="18"/>
        <v>0</v>
      </c>
      <c r="T42" s="2">
        <f t="shared" si="19"/>
        <v>0</v>
      </c>
      <c r="U42" s="2">
        <f t="shared" si="20"/>
        <v>0</v>
      </c>
      <c r="V42" s="2">
        <f t="shared" si="21"/>
        <v>0</v>
      </c>
      <c r="W42" s="2">
        <f t="shared" si="22"/>
        <v>0</v>
      </c>
      <c r="X42" s="2">
        <f t="shared" si="23"/>
        <v>0</v>
      </c>
      <c r="Y42" s="2">
        <f t="shared" si="24"/>
        <v>0</v>
      </c>
      <c r="Z42" s="2"/>
      <c r="AA42" s="2">
        <v>16501254</v>
      </c>
      <c r="AB42" s="2">
        <f t="shared" si="25"/>
        <v>101</v>
      </c>
      <c r="AC42" s="2">
        <f t="shared" si="51"/>
        <v>101</v>
      </c>
      <c r="AD42" s="2">
        <f t="shared" ref="AD42:AD53" si="55">ROUND((((ET42)-(EU42))+AE42),6)</f>
        <v>0</v>
      </c>
      <c r="AE42" s="2">
        <f t="shared" ref="AE42:AE53" si="56">ROUND((EU42),6)</f>
        <v>0</v>
      </c>
      <c r="AF42" s="2">
        <f t="shared" ref="AF42:AF53" si="57">ROUND((EV42),6)</f>
        <v>0</v>
      </c>
      <c r="AG42" s="2">
        <f t="shared" si="28"/>
        <v>0</v>
      </c>
      <c r="AH42" s="2">
        <f t="shared" ref="AH42:AH53" si="58">(EW42)</f>
        <v>0</v>
      </c>
      <c r="AI42" s="2">
        <f t="shared" ref="AI42:AI53" si="59">(EX42)</f>
        <v>0</v>
      </c>
      <c r="AJ42" s="2">
        <f t="shared" si="30"/>
        <v>0</v>
      </c>
      <c r="AK42" s="2">
        <v>101</v>
      </c>
      <c r="AL42" s="2">
        <v>101</v>
      </c>
      <c r="AM42" s="2">
        <v>0</v>
      </c>
      <c r="AN42" s="2">
        <v>0</v>
      </c>
      <c r="AO42" s="2">
        <v>0</v>
      </c>
      <c r="AP42" s="2">
        <v>0</v>
      </c>
      <c r="AQ42" s="2">
        <v>0</v>
      </c>
      <c r="AR42" s="2">
        <v>0</v>
      </c>
      <c r="AS42" s="2">
        <v>0</v>
      </c>
      <c r="AT42" s="2">
        <v>111</v>
      </c>
      <c r="AU42" s="2">
        <v>64</v>
      </c>
      <c r="AV42" s="2">
        <v>1</v>
      </c>
      <c r="AW42" s="2">
        <v>1</v>
      </c>
      <c r="AX42" s="2"/>
      <c r="AY42" s="2"/>
      <c r="AZ42" s="2">
        <v>1</v>
      </c>
      <c r="BA42" s="2">
        <v>1</v>
      </c>
      <c r="BB42" s="2">
        <v>1</v>
      </c>
      <c r="BC42" s="2">
        <v>1</v>
      </c>
      <c r="BD42" s="2" t="s">
        <v>4</v>
      </c>
      <c r="BE42" s="2" t="s">
        <v>4</v>
      </c>
      <c r="BF42" s="2" t="s">
        <v>4</v>
      </c>
      <c r="BG42" s="2" t="s">
        <v>4</v>
      </c>
      <c r="BH42" s="2">
        <v>3</v>
      </c>
      <c r="BI42" s="2">
        <v>1</v>
      </c>
      <c r="BJ42" s="2" t="s">
        <v>68</v>
      </c>
      <c r="BK42" s="2"/>
      <c r="BL42" s="2"/>
      <c r="BM42" s="2">
        <v>11001</v>
      </c>
      <c r="BN42" s="2">
        <v>0</v>
      </c>
      <c r="BO42" s="2" t="s">
        <v>4</v>
      </c>
      <c r="BP42" s="2">
        <v>0</v>
      </c>
      <c r="BQ42" s="2">
        <v>2</v>
      </c>
      <c r="BR42" s="2">
        <v>0</v>
      </c>
      <c r="BS42" s="2">
        <v>1</v>
      </c>
      <c r="BT42" s="2">
        <v>1</v>
      </c>
      <c r="BU42" s="2">
        <v>1</v>
      </c>
      <c r="BV42" s="2">
        <v>1</v>
      </c>
      <c r="BW42" s="2">
        <v>1</v>
      </c>
      <c r="BX42" s="2">
        <v>1</v>
      </c>
      <c r="BY42" s="2" t="s">
        <v>4</v>
      </c>
      <c r="BZ42" s="2">
        <v>123</v>
      </c>
      <c r="CA42" s="2">
        <v>75</v>
      </c>
      <c r="CB42" s="2"/>
      <c r="CC42" s="2"/>
      <c r="CD42" s="2"/>
      <c r="CE42" s="2"/>
      <c r="CF42" s="2">
        <v>0</v>
      </c>
      <c r="CG42" s="2">
        <v>0</v>
      </c>
      <c r="CH42" s="2"/>
      <c r="CI42" s="2"/>
      <c r="CJ42" s="2"/>
      <c r="CK42" s="2"/>
      <c r="CL42" s="2"/>
      <c r="CM42" s="2">
        <v>0</v>
      </c>
      <c r="CN42" s="2" t="s">
        <v>4</v>
      </c>
      <c r="CO42" s="2">
        <v>0</v>
      </c>
      <c r="CP42" s="2">
        <f t="shared" si="31"/>
        <v>2.02</v>
      </c>
      <c r="CQ42" s="2">
        <f t="shared" si="32"/>
        <v>101</v>
      </c>
      <c r="CR42" s="2">
        <f t="shared" si="33"/>
        <v>0</v>
      </c>
      <c r="CS42" s="2">
        <f t="shared" si="34"/>
        <v>0</v>
      </c>
      <c r="CT42" s="2">
        <f t="shared" si="35"/>
        <v>0</v>
      </c>
      <c r="CU42" s="2">
        <f t="shared" si="36"/>
        <v>0</v>
      </c>
      <c r="CV42" s="2">
        <f t="shared" si="37"/>
        <v>0</v>
      </c>
      <c r="CW42" s="2">
        <f t="shared" si="38"/>
        <v>0</v>
      </c>
      <c r="CX42" s="2">
        <f t="shared" si="39"/>
        <v>0</v>
      </c>
      <c r="CY42" s="2">
        <f t="shared" si="40"/>
        <v>0</v>
      </c>
      <c r="CZ42" s="2">
        <f t="shared" si="41"/>
        <v>0</v>
      </c>
      <c r="DA42" s="2"/>
      <c r="DB42" s="2"/>
      <c r="DC42" s="2" t="s">
        <v>4</v>
      </c>
      <c r="DD42" s="2" t="s">
        <v>4</v>
      </c>
      <c r="DE42" s="2" t="s">
        <v>4</v>
      </c>
      <c r="DF42" s="2" t="s">
        <v>4</v>
      </c>
      <c r="DG42" s="2" t="s">
        <v>4</v>
      </c>
      <c r="DH42" s="2" t="s">
        <v>4</v>
      </c>
      <c r="DI42" s="2" t="s">
        <v>4</v>
      </c>
      <c r="DJ42" s="2" t="s">
        <v>4</v>
      </c>
      <c r="DK42" s="2" t="s">
        <v>4</v>
      </c>
      <c r="DL42" s="2" t="s">
        <v>4</v>
      </c>
      <c r="DM42" s="2" t="s">
        <v>4</v>
      </c>
      <c r="DN42" s="2">
        <v>0</v>
      </c>
      <c r="DO42" s="2">
        <v>0</v>
      </c>
      <c r="DP42" s="2">
        <v>1</v>
      </c>
      <c r="DQ42" s="2">
        <v>1</v>
      </c>
      <c r="DR42" s="2"/>
      <c r="DS42" s="2"/>
      <c r="DT42" s="2"/>
      <c r="DU42" s="2">
        <v>1010</v>
      </c>
      <c r="DV42" s="2" t="s">
        <v>67</v>
      </c>
      <c r="DW42" s="2" t="s">
        <v>67</v>
      </c>
      <c r="DX42" s="2">
        <v>100</v>
      </c>
      <c r="DY42" s="2"/>
      <c r="DZ42" s="2"/>
      <c r="EA42" s="2"/>
      <c r="EB42" s="2"/>
      <c r="EC42" s="2"/>
      <c r="ED42" s="2"/>
      <c r="EE42" s="2">
        <v>16510488</v>
      </c>
      <c r="EF42" s="2">
        <v>2</v>
      </c>
      <c r="EG42" s="2" t="s">
        <v>31</v>
      </c>
      <c r="EH42" s="2">
        <v>0</v>
      </c>
      <c r="EI42" s="2" t="s">
        <v>4</v>
      </c>
      <c r="EJ42" s="2">
        <v>1</v>
      </c>
      <c r="EK42" s="2">
        <v>11001</v>
      </c>
      <c r="EL42" s="2" t="s">
        <v>18</v>
      </c>
      <c r="EM42" s="2" t="s">
        <v>32</v>
      </c>
      <c r="EN42" s="2"/>
      <c r="EO42" s="2" t="s">
        <v>4</v>
      </c>
      <c r="EP42" s="2"/>
      <c r="EQ42" s="2">
        <v>0</v>
      </c>
      <c r="ER42" s="2">
        <v>101</v>
      </c>
      <c r="ES42" s="2">
        <v>101</v>
      </c>
      <c r="ET42" s="2">
        <v>0</v>
      </c>
      <c r="EU42" s="2">
        <v>0</v>
      </c>
      <c r="EV42" s="2">
        <v>0</v>
      </c>
      <c r="EW42" s="2">
        <v>0</v>
      </c>
      <c r="EX42" s="2">
        <v>0</v>
      </c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>
        <v>0</v>
      </c>
      <c r="FR42" s="2">
        <f t="shared" si="42"/>
        <v>0</v>
      </c>
      <c r="FS42" s="2">
        <v>0</v>
      </c>
      <c r="FT42" s="2" t="s">
        <v>34</v>
      </c>
      <c r="FU42" s="2" t="s">
        <v>35</v>
      </c>
      <c r="FV42" s="2"/>
      <c r="FW42" s="2"/>
      <c r="FX42" s="2">
        <v>110.7</v>
      </c>
      <c r="FY42" s="2">
        <v>63.75</v>
      </c>
      <c r="FZ42" s="2"/>
      <c r="GA42" s="2" t="s">
        <v>4</v>
      </c>
      <c r="GB42" s="2"/>
      <c r="GC42" s="2"/>
      <c r="GD42" s="2">
        <v>0</v>
      </c>
      <c r="GE42" s="2"/>
      <c r="GF42" s="2">
        <v>766681708</v>
      </c>
      <c r="GG42" s="2">
        <v>2</v>
      </c>
      <c r="GH42" s="2">
        <v>1</v>
      </c>
      <c r="GI42" s="2">
        <v>-2</v>
      </c>
      <c r="GJ42" s="2">
        <v>0</v>
      </c>
      <c r="GK42" s="2">
        <f>ROUND(R42*(R12)/100,2)</f>
        <v>0</v>
      </c>
      <c r="GL42" s="2">
        <f t="shared" si="43"/>
        <v>0</v>
      </c>
      <c r="GM42" s="2">
        <f t="shared" si="44"/>
        <v>2.02</v>
      </c>
      <c r="GN42" s="2">
        <f t="shared" si="45"/>
        <v>2.02</v>
      </c>
      <c r="GO42" s="2">
        <f t="shared" si="46"/>
        <v>0</v>
      </c>
      <c r="GP42" s="2">
        <f t="shared" si="47"/>
        <v>0</v>
      </c>
      <c r="GQ42" s="2"/>
      <c r="GR42" s="2">
        <v>0</v>
      </c>
      <c r="GS42" s="2">
        <v>3</v>
      </c>
      <c r="GT42" s="2">
        <v>0</v>
      </c>
      <c r="GU42" s="2" t="s">
        <v>4</v>
      </c>
      <c r="GV42" s="2">
        <f t="shared" si="48"/>
        <v>0</v>
      </c>
      <c r="GW42" s="2">
        <v>1</v>
      </c>
      <c r="GX42" s="2">
        <f t="shared" si="49"/>
        <v>0</v>
      </c>
      <c r="GY42" s="2"/>
      <c r="GZ42" s="2"/>
      <c r="HA42" s="2">
        <v>0</v>
      </c>
      <c r="HB42" s="2">
        <v>0</v>
      </c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>
        <v>0</v>
      </c>
      <c r="IL42" s="2"/>
      <c r="IM42" s="2"/>
      <c r="IN42" s="2"/>
      <c r="IO42" s="2"/>
      <c r="IP42" s="2"/>
      <c r="IQ42" s="2"/>
      <c r="IR42" s="2"/>
      <c r="IS42" s="2"/>
      <c r="IT42" s="2"/>
      <c r="IU42" s="2"/>
    </row>
    <row r="43" spans="1:255" x14ac:dyDescent="0.2">
      <c r="A43">
        <v>18</v>
      </c>
      <c r="B43">
        <v>1</v>
      </c>
      <c r="C43">
        <v>70</v>
      </c>
      <c r="E43" t="s">
        <v>64</v>
      </c>
      <c r="F43" t="s">
        <v>65</v>
      </c>
      <c r="G43" t="s">
        <v>66</v>
      </c>
      <c r="H43" t="s">
        <v>67</v>
      </c>
      <c r="I43">
        <f>I41*J43</f>
        <v>0.02</v>
      </c>
      <c r="J43">
        <v>8.620689655172413E-2</v>
      </c>
      <c r="O43">
        <f t="shared" si="14"/>
        <v>12.28</v>
      </c>
      <c r="P43">
        <f t="shared" si="15"/>
        <v>12.28</v>
      </c>
      <c r="Q43">
        <f t="shared" si="16"/>
        <v>0</v>
      </c>
      <c r="R43">
        <f t="shared" si="17"/>
        <v>0</v>
      </c>
      <c r="S43">
        <f t="shared" si="18"/>
        <v>0</v>
      </c>
      <c r="T43">
        <f t="shared" si="19"/>
        <v>0</v>
      </c>
      <c r="U43">
        <f t="shared" si="20"/>
        <v>0</v>
      </c>
      <c r="V43">
        <f t="shared" si="21"/>
        <v>0</v>
      </c>
      <c r="W43">
        <f t="shared" si="22"/>
        <v>0</v>
      </c>
      <c r="X43">
        <f t="shared" si="23"/>
        <v>0</v>
      </c>
      <c r="Y43">
        <f t="shared" si="24"/>
        <v>0</v>
      </c>
      <c r="AA43">
        <v>16501255</v>
      </c>
      <c r="AB43">
        <f t="shared" si="25"/>
        <v>101</v>
      </c>
      <c r="AC43">
        <f t="shared" si="51"/>
        <v>101</v>
      </c>
      <c r="AD43">
        <f t="shared" si="55"/>
        <v>0</v>
      </c>
      <c r="AE43">
        <f t="shared" si="56"/>
        <v>0</v>
      </c>
      <c r="AF43">
        <f t="shared" si="57"/>
        <v>0</v>
      </c>
      <c r="AG43">
        <f t="shared" si="28"/>
        <v>0</v>
      </c>
      <c r="AH43">
        <f t="shared" si="58"/>
        <v>0</v>
      </c>
      <c r="AI43">
        <f t="shared" si="59"/>
        <v>0</v>
      </c>
      <c r="AJ43">
        <f t="shared" si="30"/>
        <v>0</v>
      </c>
      <c r="AK43">
        <v>101</v>
      </c>
      <c r="AL43">
        <v>101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111</v>
      </c>
      <c r="AU43">
        <v>64</v>
      </c>
      <c r="AV43">
        <v>1</v>
      </c>
      <c r="AW43">
        <v>1</v>
      </c>
      <c r="AZ43">
        <v>6.08</v>
      </c>
      <c r="BA43">
        <v>1</v>
      </c>
      <c r="BB43">
        <v>1</v>
      </c>
      <c r="BC43">
        <v>6.08</v>
      </c>
      <c r="BD43" t="s">
        <v>4</v>
      </c>
      <c r="BE43" t="s">
        <v>4</v>
      </c>
      <c r="BF43" t="s">
        <v>4</v>
      </c>
      <c r="BG43" t="s">
        <v>4</v>
      </c>
      <c r="BH43">
        <v>3</v>
      </c>
      <c r="BI43">
        <v>1</v>
      </c>
      <c r="BJ43" t="s">
        <v>68</v>
      </c>
      <c r="BM43">
        <v>11001</v>
      </c>
      <c r="BN43">
        <v>0</v>
      </c>
      <c r="BO43" t="s">
        <v>4</v>
      </c>
      <c r="BP43">
        <v>0</v>
      </c>
      <c r="BQ43">
        <v>2</v>
      </c>
      <c r="BR43">
        <v>0</v>
      </c>
      <c r="BS43">
        <v>1</v>
      </c>
      <c r="BT43">
        <v>1</v>
      </c>
      <c r="BU43">
        <v>1</v>
      </c>
      <c r="BV43">
        <v>1</v>
      </c>
      <c r="BW43">
        <v>1</v>
      </c>
      <c r="BX43">
        <v>1</v>
      </c>
      <c r="BY43" t="s">
        <v>4</v>
      </c>
      <c r="BZ43">
        <v>123</v>
      </c>
      <c r="CA43">
        <v>75</v>
      </c>
      <c r="CF43">
        <v>0</v>
      </c>
      <c r="CG43">
        <v>0</v>
      </c>
      <c r="CM43">
        <v>0</v>
      </c>
      <c r="CN43" t="s">
        <v>4</v>
      </c>
      <c r="CO43">
        <v>0</v>
      </c>
      <c r="CP43">
        <f t="shared" si="31"/>
        <v>12.28</v>
      </c>
      <c r="CQ43">
        <f t="shared" si="32"/>
        <v>614.08000000000004</v>
      </c>
      <c r="CR43">
        <f t="shared" si="33"/>
        <v>0</v>
      </c>
      <c r="CS43">
        <f t="shared" si="34"/>
        <v>0</v>
      </c>
      <c r="CT43">
        <f t="shared" si="35"/>
        <v>0</v>
      </c>
      <c r="CU43">
        <f t="shared" si="36"/>
        <v>0</v>
      </c>
      <c r="CV43">
        <f t="shared" si="37"/>
        <v>0</v>
      </c>
      <c r="CW43">
        <f t="shared" si="38"/>
        <v>0</v>
      </c>
      <c r="CX43">
        <f t="shared" si="39"/>
        <v>0</v>
      </c>
      <c r="CY43">
        <f t="shared" si="40"/>
        <v>0</v>
      </c>
      <c r="CZ43">
        <f t="shared" si="41"/>
        <v>0</v>
      </c>
      <c r="DC43" t="s">
        <v>4</v>
      </c>
      <c r="DD43" t="s">
        <v>4</v>
      </c>
      <c r="DE43" t="s">
        <v>4</v>
      </c>
      <c r="DF43" t="s">
        <v>4</v>
      </c>
      <c r="DG43" t="s">
        <v>4</v>
      </c>
      <c r="DH43" t="s">
        <v>4</v>
      </c>
      <c r="DI43" t="s">
        <v>4</v>
      </c>
      <c r="DJ43" t="s">
        <v>4</v>
      </c>
      <c r="DK43" t="s">
        <v>4</v>
      </c>
      <c r="DL43" t="s">
        <v>4</v>
      </c>
      <c r="DM43" t="s">
        <v>4</v>
      </c>
      <c r="DN43">
        <v>0</v>
      </c>
      <c r="DO43">
        <v>0</v>
      </c>
      <c r="DP43">
        <v>1</v>
      </c>
      <c r="DQ43">
        <v>1</v>
      </c>
      <c r="DU43">
        <v>1010</v>
      </c>
      <c r="DV43" t="s">
        <v>67</v>
      </c>
      <c r="DW43" t="s">
        <v>67</v>
      </c>
      <c r="DX43">
        <v>100</v>
      </c>
      <c r="EE43">
        <v>16510488</v>
      </c>
      <c r="EF43">
        <v>2</v>
      </c>
      <c r="EG43" t="s">
        <v>31</v>
      </c>
      <c r="EH43">
        <v>0</v>
      </c>
      <c r="EI43" t="s">
        <v>4</v>
      </c>
      <c r="EJ43">
        <v>1</v>
      </c>
      <c r="EK43">
        <v>11001</v>
      </c>
      <c r="EL43" t="s">
        <v>18</v>
      </c>
      <c r="EM43" t="s">
        <v>32</v>
      </c>
      <c r="EO43" t="s">
        <v>4</v>
      </c>
      <c r="EQ43">
        <v>0</v>
      </c>
      <c r="ER43">
        <v>101</v>
      </c>
      <c r="ES43">
        <v>101</v>
      </c>
      <c r="ET43">
        <v>0</v>
      </c>
      <c r="EU43">
        <v>0</v>
      </c>
      <c r="EV43">
        <v>0</v>
      </c>
      <c r="EW43">
        <v>0</v>
      </c>
      <c r="EX43">
        <v>0</v>
      </c>
      <c r="FQ43">
        <v>0</v>
      </c>
      <c r="FR43">
        <f t="shared" si="42"/>
        <v>0</v>
      </c>
      <c r="FS43">
        <v>0</v>
      </c>
      <c r="FT43" t="s">
        <v>34</v>
      </c>
      <c r="FU43" t="s">
        <v>35</v>
      </c>
      <c r="FX43">
        <v>110.7</v>
      </c>
      <c r="FY43">
        <v>63.75</v>
      </c>
      <c r="GA43" t="s">
        <v>4</v>
      </c>
      <c r="GD43">
        <v>0</v>
      </c>
      <c r="GF43">
        <v>766681708</v>
      </c>
      <c r="GG43">
        <v>1</v>
      </c>
      <c r="GH43">
        <v>1</v>
      </c>
      <c r="GI43">
        <v>4</v>
      </c>
      <c r="GJ43">
        <v>0</v>
      </c>
      <c r="GK43">
        <f>ROUND(R43*(S12)/100,2)</f>
        <v>0</v>
      </c>
      <c r="GL43">
        <f t="shared" si="43"/>
        <v>0</v>
      </c>
      <c r="GM43">
        <f t="shared" si="44"/>
        <v>12.28</v>
      </c>
      <c r="GN43">
        <f t="shared" si="45"/>
        <v>12.28</v>
      </c>
      <c r="GO43">
        <f t="shared" si="46"/>
        <v>0</v>
      </c>
      <c r="GP43">
        <f t="shared" si="47"/>
        <v>0</v>
      </c>
      <c r="GR43">
        <v>0</v>
      </c>
      <c r="GS43">
        <v>3</v>
      </c>
      <c r="GT43">
        <v>0</v>
      </c>
      <c r="GU43" t="s">
        <v>4</v>
      </c>
      <c r="GV43">
        <f t="shared" si="48"/>
        <v>0</v>
      </c>
      <c r="GW43">
        <v>1</v>
      </c>
      <c r="GX43">
        <f t="shared" si="49"/>
        <v>0</v>
      </c>
      <c r="HA43">
        <v>0</v>
      </c>
      <c r="HB43">
        <v>0</v>
      </c>
      <c r="IK43">
        <v>0</v>
      </c>
    </row>
    <row r="44" spans="1:255" x14ac:dyDescent="0.2">
      <c r="A44" s="2">
        <v>18</v>
      </c>
      <c r="B44" s="2">
        <v>1</v>
      </c>
      <c r="C44" s="2">
        <v>57</v>
      </c>
      <c r="D44" s="2"/>
      <c r="E44" s="2" t="s">
        <v>69</v>
      </c>
      <c r="F44" s="2" t="s">
        <v>70</v>
      </c>
      <c r="G44" s="2" t="s">
        <v>71</v>
      </c>
      <c r="H44" s="2" t="s">
        <v>72</v>
      </c>
      <c r="I44" s="2">
        <f>I40*J44</f>
        <v>23.431999999999999</v>
      </c>
      <c r="J44" s="2">
        <v>100.99999999999999</v>
      </c>
      <c r="K44" s="2"/>
      <c r="L44" s="2"/>
      <c r="M44" s="2"/>
      <c r="N44" s="2"/>
      <c r="O44" s="2">
        <f t="shared" si="14"/>
        <v>288.20999999999998</v>
      </c>
      <c r="P44" s="2">
        <f t="shared" si="15"/>
        <v>288.20999999999998</v>
      </c>
      <c r="Q44" s="2">
        <f t="shared" si="16"/>
        <v>0</v>
      </c>
      <c r="R44" s="2">
        <f t="shared" si="17"/>
        <v>0</v>
      </c>
      <c r="S44" s="2">
        <f t="shared" si="18"/>
        <v>0</v>
      </c>
      <c r="T44" s="2">
        <f t="shared" si="19"/>
        <v>0</v>
      </c>
      <c r="U44" s="2">
        <f t="shared" si="20"/>
        <v>0</v>
      </c>
      <c r="V44" s="2">
        <f t="shared" si="21"/>
        <v>0</v>
      </c>
      <c r="W44" s="2">
        <f t="shared" si="22"/>
        <v>0</v>
      </c>
      <c r="X44" s="2">
        <f t="shared" si="23"/>
        <v>0</v>
      </c>
      <c r="Y44" s="2">
        <f t="shared" si="24"/>
        <v>0</v>
      </c>
      <c r="Z44" s="2"/>
      <c r="AA44" s="2">
        <v>16501254</v>
      </c>
      <c r="AB44" s="2">
        <f t="shared" si="25"/>
        <v>12.3</v>
      </c>
      <c r="AC44" s="2">
        <f t="shared" si="51"/>
        <v>12.3</v>
      </c>
      <c r="AD44" s="2">
        <f t="shared" si="55"/>
        <v>0</v>
      </c>
      <c r="AE44" s="2">
        <f t="shared" si="56"/>
        <v>0</v>
      </c>
      <c r="AF44" s="2">
        <f t="shared" si="57"/>
        <v>0</v>
      </c>
      <c r="AG44" s="2">
        <f t="shared" si="28"/>
        <v>0</v>
      </c>
      <c r="AH44" s="2">
        <f t="shared" si="58"/>
        <v>0</v>
      </c>
      <c r="AI44" s="2">
        <f t="shared" si="59"/>
        <v>0</v>
      </c>
      <c r="AJ44" s="2">
        <f t="shared" si="30"/>
        <v>0</v>
      </c>
      <c r="AK44" s="2">
        <v>12.3</v>
      </c>
      <c r="AL44" s="2">
        <v>12.3</v>
      </c>
      <c r="AM44" s="2">
        <v>0</v>
      </c>
      <c r="AN44" s="2">
        <v>0</v>
      </c>
      <c r="AO44" s="2">
        <v>0</v>
      </c>
      <c r="AP44" s="2">
        <v>0</v>
      </c>
      <c r="AQ44" s="2">
        <v>0</v>
      </c>
      <c r="AR44" s="2">
        <v>0</v>
      </c>
      <c r="AS44" s="2">
        <v>0</v>
      </c>
      <c r="AT44" s="2">
        <v>111</v>
      </c>
      <c r="AU44" s="2">
        <v>64</v>
      </c>
      <c r="AV44" s="2">
        <v>1</v>
      </c>
      <c r="AW44" s="2">
        <v>1</v>
      </c>
      <c r="AX44" s="2"/>
      <c r="AY44" s="2"/>
      <c r="AZ44" s="2">
        <v>1</v>
      </c>
      <c r="BA44" s="2">
        <v>1</v>
      </c>
      <c r="BB44" s="2">
        <v>1</v>
      </c>
      <c r="BC44" s="2">
        <v>1</v>
      </c>
      <c r="BD44" s="2" t="s">
        <v>4</v>
      </c>
      <c r="BE44" s="2" t="s">
        <v>4</v>
      </c>
      <c r="BF44" s="2" t="s">
        <v>4</v>
      </c>
      <c r="BG44" s="2" t="s">
        <v>4</v>
      </c>
      <c r="BH44" s="2">
        <v>3</v>
      </c>
      <c r="BI44" s="2">
        <v>1</v>
      </c>
      <c r="BJ44" s="2" t="s">
        <v>73</v>
      </c>
      <c r="BK44" s="2"/>
      <c r="BL44" s="2"/>
      <c r="BM44" s="2">
        <v>11001</v>
      </c>
      <c r="BN44" s="2">
        <v>0</v>
      </c>
      <c r="BO44" s="2" t="s">
        <v>4</v>
      </c>
      <c r="BP44" s="2">
        <v>0</v>
      </c>
      <c r="BQ44" s="2">
        <v>2</v>
      </c>
      <c r="BR44" s="2">
        <v>0</v>
      </c>
      <c r="BS44" s="2">
        <v>1</v>
      </c>
      <c r="BT44" s="2">
        <v>1</v>
      </c>
      <c r="BU44" s="2">
        <v>1</v>
      </c>
      <c r="BV44" s="2">
        <v>1</v>
      </c>
      <c r="BW44" s="2">
        <v>1</v>
      </c>
      <c r="BX44" s="2">
        <v>1</v>
      </c>
      <c r="BY44" s="2" t="s">
        <v>4</v>
      </c>
      <c r="BZ44" s="2">
        <v>123</v>
      </c>
      <c r="CA44" s="2">
        <v>75</v>
      </c>
      <c r="CB44" s="2"/>
      <c r="CC44" s="2"/>
      <c r="CD44" s="2"/>
      <c r="CE44" s="2"/>
      <c r="CF44" s="2">
        <v>0</v>
      </c>
      <c r="CG44" s="2">
        <v>0</v>
      </c>
      <c r="CH44" s="2"/>
      <c r="CI44" s="2"/>
      <c r="CJ44" s="2"/>
      <c r="CK44" s="2"/>
      <c r="CL44" s="2"/>
      <c r="CM44" s="2">
        <v>0</v>
      </c>
      <c r="CN44" s="2" t="s">
        <v>4</v>
      </c>
      <c r="CO44" s="2">
        <v>0</v>
      </c>
      <c r="CP44" s="2">
        <f t="shared" si="31"/>
        <v>288.20999999999998</v>
      </c>
      <c r="CQ44" s="2">
        <f t="shared" si="32"/>
        <v>12.3</v>
      </c>
      <c r="CR44" s="2">
        <f t="shared" si="33"/>
        <v>0</v>
      </c>
      <c r="CS44" s="2">
        <f t="shared" si="34"/>
        <v>0</v>
      </c>
      <c r="CT44" s="2">
        <f t="shared" si="35"/>
        <v>0</v>
      </c>
      <c r="CU44" s="2">
        <f t="shared" si="36"/>
        <v>0</v>
      </c>
      <c r="CV44" s="2">
        <f t="shared" si="37"/>
        <v>0</v>
      </c>
      <c r="CW44" s="2">
        <f t="shared" si="38"/>
        <v>0</v>
      </c>
      <c r="CX44" s="2">
        <f t="shared" si="39"/>
        <v>0</v>
      </c>
      <c r="CY44" s="2">
        <f t="shared" si="40"/>
        <v>0</v>
      </c>
      <c r="CZ44" s="2">
        <f t="shared" si="41"/>
        <v>0</v>
      </c>
      <c r="DA44" s="2"/>
      <c r="DB44" s="2"/>
      <c r="DC44" s="2" t="s">
        <v>4</v>
      </c>
      <c r="DD44" s="2" t="s">
        <v>4</v>
      </c>
      <c r="DE44" s="2" t="s">
        <v>4</v>
      </c>
      <c r="DF44" s="2" t="s">
        <v>4</v>
      </c>
      <c r="DG44" s="2" t="s">
        <v>4</v>
      </c>
      <c r="DH44" s="2" t="s">
        <v>4</v>
      </c>
      <c r="DI44" s="2" t="s">
        <v>4</v>
      </c>
      <c r="DJ44" s="2" t="s">
        <v>4</v>
      </c>
      <c r="DK44" s="2" t="s">
        <v>4</v>
      </c>
      <c r="DL44" s="2" t="s">
        <v>4</v>
      </c>
      <c r="DM44" s="2" t="s">
        <v>4</v>
      </c>
      <c r="DN44" s="2">
        <v>0</v>
      </c>
      <c r="DO44" s="2">
        <v>0</v>
      </c>
      <c r="DP44" s="2">
        <v>1</v>
      </c>
      <c r="DQ44" s="2">
        <v>1</v>
      </c>
      <c r="DR44" s="2"/>
      <c r="DS44" s="2"/>
      <c r="DT44" s="2"/>
      <c r="DU44" s="2">
        <v>1003</v>
      </c>
      <c r="DV44" s="2" t="s">
        <v>72</v>
      </c>
      <c r="DW44" s="2" t="s">
        <v>72</v>
      </c>
      <c r="DX44" s="2">
        <v>1</v>
      </c>
      <c r="DY44" s="2"/>
      <c r="DZ44" s="2"/>
      <c r="EA44" s="2"/>
      <c r="EB44" s="2"/>
      <c r="EC44" s="2"/>
      <c r="ED44" s="2"/>
      <c r="EE44" s="2">
        <v>16510488</v>
      </c>
      <c r="EF44" s="2">
        <v>2</v>
      </c>
      <c r="EG44" s="2" t="s">
        <v>31</v>
      </c>
      <c r="EH44" s="2">
        <v>0</v>
      </c>
      <c r="EI44" s="2" t="s">
        <v>4</v>
      </c>
      <c r="EJ44" s="2">
        <v>1</v>
      </c>
      <c r="EK44" s="2">
        <v>11001</v>
      </c>
      <c r="EL44" s="2" t="s">
        <v>18</v>
      </c>
      <c r="EM44" s="2" t="s">
        <v>32</v>
      </c>
      <c r="EN44" s="2"/>
      <c r="EO44" s="2" t="s">
        <v>4</v>
      </c>
      <c r="EP44" s="2"/>
      <c r="EQ44" s="2">
        <v>0</v>
      </c>
      <c r="ER44" s="2">
        <v>12.3</v>
      </c>
      <c r="ES44" s="2">
        <v>12.3</v>
      </c>
      <c r="ET44" s="2">
        <v>0</v>
      </c>
      <c r="EU44" s="2">
        <v>0</v>
      </c>
      <c r="EV44" s="2">
        <v>0</v>
      </c>
      <c r="EW44" s="2">
        <v>0</v>
      </c>
      <c r="EX44" s="2">
        <v>0</v>
      </c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>
        <v>0</v>
      </c>
      <c r="FR44" s="2">
        <f t="shared" si="42"/>
        <v>0</v>
      </c>
      <c r="FS44" s="2">
        <v>0</v>
      </c>
      <c r="FT44" s="2" t="s">
        <v>34</v>
      </c>
      <c r="FU44" s="2" t="s">
        <v>35</v>
      </c>
      <c r="FV44" s="2"/>
      <c r="FW44" s="2"/>
      <c r="FX44" s="2">
        <v>110.7</v>
      </c>
      <c r="FY44" s="2">
        <v>63.75</v>
      </c>
      <c r="FZ44" s="2"/>
      <c r="GA44" s="2" t="s">
        <v>4</v>
      </c>
      <c r="GB44" s="2"/>
      <c r="GC44" s="2"/>
      <c r="GD44" s="2">
        <v>0</v>
      </c>
      <c r="GE44" s="2"/>
      <c r="GF44" s="2">
        <v>26470480</v>
      </c>
      <c r="GG44" s="2">
        <v>2</v>
      </c>
      <c r="GH44" s="2">
        <v>1</v>
      </c>
      <c r="GI44" s="2">
        <v>-2</v>
      </c>
      <c r="GJ44" s="2">
        <v>0</v>
      </c>
      <c r="GK44" s="2">
        <f>ROUND(R44*(R12)/100,2)</f>
        <v>0</v>
      </c>
      <c r="GL44" s="2">
        <f t="shared" si="43"/>
        <v>0</v>
      </c>
      <c r="GM44" s="2">
        <f t="shared" si="44"/>
        <v>288.20999999999998</v>
      </c>
      <c r="GN44" s="2">
        <f t="shared" si="45"/>
        <v>288.20999999999998</v>
      </c>
      <c r="GO44" s="2">
        <f t="shared" si="46"/>
        <v>0</v>
      </c>
      <c r="GP44" s="2">
        <f t="shared" si="47"/>
        <v>0</v>
      </c>
      <c r="GQ44" s="2"/>
      <c r="GR44" s="2">
        <v>0</v>
      </c>
      <c r="GS44" s="2">
        <v>3</v>
      </c>
      <c r="GT44" s="2">
        <v>0</v>
      </c>
      <c r="GU44" s="2" t="s">
        <v>4</v>
      </c>
      <c r="GV44" s="2">
        <f t="shared" si="48"/>
        <v>0</v>
      </c>
      <c r="GW44" s="2">
        <v>1</v>
      </c>
      <c r="GX44" s="2">
        <f t="shared" si="49"/>
        <v>0</v>
      </c>
      <c r="GY44" s="2"/>
      <c r="GZ44" s="2"/>
      <c r="HA44" s="2">
        <v>0</v>
      </c>
      <c r="HB44" s="2">
        <v>0</v>
      </c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>
        <v>0</v>
      </c>
      <c r="IL44" s="2"/>
      <c r="IM44" s="2"/>
      <c r="IN44" s="2"/>
      <c r="IO44" s="2"/>
      <c r="IP44" s="2"/>
      <c r="IQ44" s="2"/>
      <c r="IR44" s="2"/>
      <c r="IS44" s="2"/>
      <c r="IT44" s="2"/>
      <c r="IU44" s="2"/>
    </row>
    <row r="45" spans="1:255" x14ac:dyDescent="0.2">
      <c r="A45">
        <v>18</v>
      </c>
      <c r="B45">
        <v>1</v>
      </c>
      <c r="C45">
        <v>69</v>
      </c>
      <c r="E45" t="s">
        <v>69</v>
      </c>
      <c r="F45" t="s">
        <v>70</v>
      </c>
      <c r="G45" t="s">
        <v>71</v>
      </c>
      <c r="H45" t="s">
        <v>72</v>
      </c>
      <c r="I45">
        <f>I41*J45</f>
        <v>23.431999999999999</v>
      </c>
      <c r="J45">
        <v>100.99999999999999</v>
      </c>
      <c r="O45">
        <f t="shared" si="14"/>
        <v>1752.34</v>
      </c>
      <c r="P45">
        <f t="shared" si="15"/>
        <v>1752.34</v>
      </c>
      <c r="Q45">
        <f t="shared" si="16"/>
        <v>0</v>
      </c>
      <c r="R45">
        <f t="shared" si="17"/>
        <v>0</v>
      </c>
      <c r="S45">
        <f t="shared" si="18"/>
        <v>0</v>
      </c>
      <c r="T45">
        <f t="shared" si="19"/>
        <v>0</v>
      </c>
      <c r="U45">
        <f t="shared" si="20"/>
        <v>0</v>
      </c>
      <c r="V45">
        <f t="shared" si="21"/>
        <v>0</v>
      </c>
      <c r="W45">
        <f t="shared" si="22"/>
        <v>0</v>
      </c>
      <c r="X45">
        <f t="shared" si="23"/>
        <v>0</v>
      </c>
      <c r="Y45">
        <f t="shared" si="24"/>
        <v>0</v>
      </c>
      <c r="AA45">
        <v>16501255</v>
      </c>
      <c r="AB45">
        <f t="shared" si="25"/>
        <v>12.3</v>
      </c>
      <c r="AC45">
        <f t="shared" si="51"/>
        <v>12.3</v>
      </c>
      <c r="AD45">
        <f t="shared" si="55"/>
        <v>0</v>
      </c>
      <c r="AE45">
        <f t="shared" si="56"/>
        <v>0</v>
      </c>
      <c r="AF45">
        <f t="shared" si="57"/>
        <v>0</v>
      </c>
      <c r="AG45">
        <f t="shared" si="28"/>
        <v>0</v>
      </c>
      <c r="AH45">
        <f t="shared" si="58"/>
        <v>0</v>
      </c>
      <c r="AI45">
        <f t="shared" si="59"/>
        <v>0</v>
      </c>
      <c r="AJ45">
        <f t="shared" si="30"/>
        <v>0</v>
      </c>
      <c r="AK45">
        <v>12.3</v>
      </c>
      <c r="AL45">
        <v>12.3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111</v>
      </c>
      <c r="AU45">
        <v>64</v>
      </c>
      <c r="AV45">
        <v>1</v>
      </c>
      <c r="AW45">
        <v>1</v>
      </c>
      <c r="AZ45">
        <v>6.08</v>
      </c>
      <c r="BA45">
        <v>1</v>
      </c>
      <c r="BB45">
        <v>1</v>
      </c>
      <c r="BC45">
        <v>6.08</v>
      </c>
      <c r="BD45" t="s">
        <v>4</v>
      </c>
      <c r="BE45" t="s">
        <v>4</v>
      </c>
      <c r="BF45" t="s">
        <v>4</v>
      </c>
      <c r="BG45" t="s">
        <v>4</v>
      </c>
      <c r="BH45">
        <v>3</v>
      </c>
      <c r="BI45">
        <v>1</v>
      </c>
      <c r="BJ45" t="s">
        <v>73</v>
      </c>
      <c r="BM45">
        <v>11001</v>
      </c>
      <c r="BN45">
        <v>0</v>
      </c>
      <c r="BO45" t="s">
        <v>4</v>
      </c>
      <c r="BP45">
        <v>0</v>
      </c>
      <c r="BQ45">
        <v>2</v>
      </c>
      <c r="BR45">
        <v>0</v>
      </c>
      <c r="BS45">
        <v>1</v>
      </c>
      <c r="BT45">
        <v>1</v>
      </c>
      <c r="BU45">
        <v>1</v>
      </c>
      <c r="BV45">
        <v>1</v>
      </c>
      <c r="BW45">
        <v>1</v>
      </c>
      <c r="BX45">
        <v>1</v>
      </c>
      <c r="BY45" t="s">
        <v>4</v>
      </c>
      <c r="BZ45">
        <v>123</v>
      </c>
      <c r="CA45">
        <v>75</v>
      </c>
      <c r="CF45">
        <v>0</v>
      </c>
      <c r="CG45">
        <v>0</v>
      </c>
      <c r="CM45">
        <v>0</v>
      </c>
      <c r="CN45" t="s">
        <v>4</v>
      </c>
      <c r="CO45">
        <v>0</v>
      </c>
      <c r="CP45">
        <f t="shared" si="31"/>
        <v>1752.34</v>
      </c>
      <c r="CQ45">
        <f t="shared" si="32"/>
        <v>74.784000000000006</v>
      </c>
      <c r="CR45">
        <f t="shared" si="33"/>
        <v>0</v>
      </c>
      <c r="CS45">
        <f t="shared" si="34"/>
        <v>0</v>
      </c>
      <c r="CT45">
        <f t="shared" si="35"/>
        <v>0</v>
      </c>
      <c r="CU45">
        <f t="shared" si="36"/>
        <v>0</v>
      </c>
      <c r="CV45">
        <f t="shared" si="37"/>
        <v>0</v>
      </c>
      <c r="CW45">
        <f t="shared" si="38"/>
        <v>0</v>
      </c>
      <c r="CX45">
        <f t="shared" si="39"/>
        <v>0</v>
      </c>
      <c r="CY45">
        <f t="shared" si="40"/>
        <v>0</v>
      </c>
      <c r="CZ45">
        <f t="shared" si="41"/>
        <v>0</v>
      </c>
      <c r="DC45" t="s">
        <v>4</v>
      </c>
      <c r="DD45" t="s">
        <v>4</v>
      </c>
      <c r="DE45" t="s">
        <v>4</v>
      </c>
      <c r="DF45" t="s">
        <v>4</v>
      </c>
      <c r="DG45" t="s">
        <v>4</v>
      </c>
      <c r="DH45" t="s">
        <v>4</v>
      </c>
      <c r="DI45" t="s">
        <v>4</v>
      </c>
      <c r="DJ45" t="s">
        <v>4</v>
      </c>
      <c r="DK45" t="s">
        <v>4</v>
      </c>
      <c r="DL45" t="s">
        <v>4</v>
      </c>
      <c r="DM45" t="s">
        <v>4</v>
      </c>
      <c r="DN45">
        <v>0</v>
      </c>
      <c r="DO45">
        <v>0</v>
      </c>
      <c r="DP45">
        <v>1</v>
      </c>
      <c r="DQ45">
        <v>1</v>
      </c>
      <c r="DU45">
        <v>1003</v>
      </c>
      <c r="DV45" t="s">
        <v>72</v>
      </c>
      <c r="DW45" t="s">
        <v>72</v>
      </c>
      <c r="DX45">
        <v>1</v>
      </c>
      <c r="EE45">
        <v>16510488</v>
      </c>
      <c r="EF45">
        <v>2</v>
      </c>
      <c r="EG45" t="s">
        <v>31</v>
      </c>
      <c r="EH45">
        <v>0</v>
      </c>
      <c r="EI45" t="s">
        <v>4</v>
      </c>
      <c r="EJ45">
        <v>1</v>
      </c>
      <c r="EK45">
        <v>11001</v>
      </c>
      <c r="EL45" t="s">
        <v>18</v>
      </c>
      <c r="EM45" t="s">
        <v>32</v>
      </c>
      <c r="EO45" t="s">
        <v>4</v>
      </c>
      <c r="EQ45">
        <v>0</v>
      </c>
      <c r="ER45">
        <v>12.3</v>
      </c>
      <c r="ES45">
        <v>12.3</v>
      </c>
      <c r="ET45">
        <v>0</v>
      </c>
      <c r="EU45">
        <v>0</v>
      </c>
      <c r="EV45">
        <v>0</v>
      </c>
      <c r="EW45">
        <v>0</v>
      </c>
      <c r="EX45">
        <v>0</v>
      </c>
      <c r="FQ45">
        <v>0</v>
      </c>
      <c r="FR45">
        <f t="shared" si="42"/>
        <v>0</v>
      </c>
      <c r="FS45">
        <v>0</v>
      </c>
      <c r="FT45" t="s">
        <v>34</v>
      </c>
      <c r="FU45" t="s">
        <v>35</v>
      </c>
      <c r="FX45">
        <v>110.7</v>
      </c>
      <c r="FY45">
        <v>63.75</v>
      </c>
      <c r="GA45" t="s">
        <v>4</v>
      </c>
      <c r="GD45">
        <v>0</v>
      </c>
      <c r="GF45">
        <v>26470480</v>
      </c>
      <c r="GG45">
        <v>1</v>
      </c>
      <c r="GH45">
        <v>1</v>
      </c>
      <c r="GI45">
        <v>4</v>
      </c>
      <c r="GJ45">
        <v>0</v>
      </c>
      <c r="GK45">
        <f>ROUND(R45*(S12)/100,2)</f>
        <v>0</v>
      </c>
      <c r="GL45">
        <f t="shared" si="43"/>
        <v>0</v>
      </c>
      <c r="GM45">
        <f t="shared" si="44"/>
        <v>1752.34</v>
      </c>
      <c r="GN45">
        <f t="shared" si="45"/>
        <v>1752.34</v>
      </c>
      <c r="GO45">
        <f t="shared" si="46"/>
        <v>0</v>
      </c>
      <c r="GP45">
        <f t="shared" si="47"/>
        <v>0</v>
      </c>
      <c r="GR45">
        <v>0</v>
      </c>
      <c r="GS45">
        <v>3</v>
      </c>
      <c r="GT45">
        <v>0</v>
      </c>
      <c r="GU45" t="s">
        <v>4</v>
      </c>
      <c r="GV45">
        <f t="shared" si="48"/>
        <v>0</v>
      </c>
      <c r="GW45">
        <v>1</v>
      </c>
      <c r="GX45">
        <f t="shared" si="49"/>
        <v>0</v>
      </c>
      <c r="HA45">
        <v>0</v>
      </c>
      <c r="HB45">
        <v>0</v>
      </c>
      <c r="IK45">
        <v>0</v>
      </c>
    </row>
    <row r="46" spans="1:255" x14ac:dyDescent="0.2">
      <c r="A46" s="2">
        <v>18</v>
      </c>
      <c r="B46" s="2">
        <v>1</v>
      </c>
      <c r="C46" s="2">
        <v>59</v>
      </c>
      <c r="D46" s="2"/>
      <c r="E46" s="2" t="s">
        <v>74</v>
      </c>
      <c r="F46" s="2" t="s">
        <v>75</v>
      </c>
      <c r="G46" s="2" t="s">
        <v>76</v>
      </c>
      <c r="H46" s="2" t="s">
        <v>67</v>
      </c>
      <c r="I46" s="2">
        <f>I40*J46</f>
        <v>0.02</v>
      </c>
      <c r="J46" s="2">
        <v>8.620689655172413E-2</v>
      </c>
      <c r="K46" s="2"/>
      <c r="L46" s="2"/>
      <c r="M46" s="2"/>
      <c r="N46" s="2"/>
      <c r="O46" s="2">
        <f t="shared" si="14"/>
        <v>2.02</v>
      </c>
      <c r="P46" s="2">
        <f t="shared" si="15"/>
        <v>2.02</v>
      </c>
      <c r="Q46" s="2">
        <f t="shared" si="16"/>
        <v>0</v>
      </c>
      <c r="R46" s="2">
        <f t="shared" si="17"/>
        <v>0</v>
      </c>
      <c r="S46" s="2">
        <f t="shared" si="18"/>
        <v>0</v>
      </c>
      <c r="T46" s="2">
        <f t="shared" si="19"/>
        <v>0</v>
      </c>
      <c r="U46" s="2">
        <f t="shared" si="20"/>
        <v>0</v>
      </c>
      <c r="V46" s="2">
        <f t="shared" si="21"/>
        <v>0</v>
      </c>
      <c r="W46" s="2">
        <f t="shared" si="22"/>
        <v>0</v>
      </c>
      <c r="X46" s="2">
        <f t="shared" si="23"/>
        <v>0</v>
      </c>
      <c r="Y46" s="2">
        <f t="shared" si="24"/>
        <v>0</v>
      </c>
      <c r="Z46" s="2"/>
      <c r="AA46" s="2">
        <v>16501254</v>
      </c>
      <c r="AB46" s="2">
        <f t="shared" si="25"/>
        <v>101</v>
      </c>
      <c r="AC46" s="2">
        <f t="shared" si="51"/>
        <v>101</v>
      </c>
      <c r="AD46" s="2">
        <f t="shared" si="55"/>
        <v>0</v>
      </c>
      <c r="AE46" s="2">
        <f t="shared" si="56"/>
        <v>0</v>
      </c>
      <c r="AF46" s="2">
        <f t="shared" si="57"/>
        <v>0</v>
      </c>
      <c r="AG46" s="2">
        <f t="shared" si="28"/>
        <v>0</v>
      </c>
      <c r="AH46" s="2">
        <f t="shared" si="58"/>
        <v>0</v>
      </c>
      <c r="AI46" s="2">
        <f t="shared" si="59"/>
        <v>0</v>
      </c>
      <c r="AJ46" s="2">
        <f t="shared" si="30"/>
        <v>0</v>
      </c>
      <c r="AK46" s="2">
        <v>101</v>
      </c>
      <c r="AL46" s="2">
        <v>101</v>
      </c>
      <c r="AM46" s="2">
        <v>0</v>
      </c>
      <c r="AN46" s="2">
        <v>0</v>
      </c>
      <c r="AO46" s="2">
        <v>0</v>
      </c>
      <c r="AP46" s="2">
        <v>0</v>
      </c>
      <c r="AQ46" s="2">
        <v>0</v>
      </c>
      <c r="AR46" s="2">
        <v>0</v>
      </c>
      <c r="AS46" s="2">
        <v>0</v>
      </c>
      <c r="AT46" s="2">
        <v>111</v>
      </c>
      <c r="AU46" s="2">
        <v>64</v>
      </c>
      <c r="AV46" s="2">
        <v>1</v>
      </c>
      <c r="AW46" s="2">
        <v>1</v>
      </c>
      <c r="AX46" s="2"/>
      <c r="AY46" s="2"/>
      <c r="AZ46" s="2">
        <v>1</v>
      </c>
      <c r="BA46" s="2">
        <v>1</v>
      </c>
      <c r="BB46" s="2">
        <v>1</v>
      </c>
      <c r="BC46" s="2">
        <v>1</v>
      </c>
      <c r="BD46" s="2" t="s">
        <v>4</v>
      </c>
      <c r="BE46" s="2" t="s">
        <v>4</v>
      </c>
      <c r="BF46" s="2" t="s">
        <v>4</v>
      </c>
      <c r="BG46" s="2" t="s">
        <v>4</v>
      </c>
      <c r="BH46" s="2">
        <v>3</v>
      </c>
      <c r="BI46" s="2">
        <v>1</v>
      </c>
      <c r="BJ46" s="2" t="s">
        <v>77</v>
      </c>
      <c r="BK46" s="2"/>
      <c r="BL46" s="2"/>
      <c r="BM46" s="2">
        <v>11001</v>
      </c>
      <c r="BN46" s="2">
        <v>0</v>
      </c>
      <c r="BO46" s="2" t="s">
        <v>4</v>
      </c>
      <c r="BP46" s="2">
        <v>0</v>
      </c>
      <c r="BQ46" s="2">
        <v>2</v>
      </c>
      <c r="BR46" s="2">
        <v>0</v>
      </c>
      <c r="BS46" s="2">
        <v>1</v>
      </c>
      <c r="BT46" s="2">
        <v>1</v>
      </c>
      <c r="BU46" s="2">
        <v>1</v>
      </c>
      <c r="BV46" s="2">
        <v>1</v>
      </c>
      <c r="BW46" s="2">
        <v>1</v>
      </c>
      <c r="BX46" s="2">
        <v>1</v>
      </c>
      <c r="BY46" s="2" t="s">
        <v>4</v>
      </c>
      <c r="BZ46" s="2">
        <v>123</v>
      </c>
      <c r="CA46" s="2">
        <v>75</v>
      </c>
      <c r="CB46" s="2"/>
      <c r="CC46" s="2"/>
      <c r="CD46" s="2"/>
      <c r="CE46" s="2"/>
      <c r="CF46" s="2">
        <v>0</v>
      </c>
      <c r="CG46" s="2">
        <v>0</v>
      </c>
      <c r="CH46" s="2"/>
      <c r="CI46" s="2"/>
      <c r="CJ46" s="2"/>
      <c r="CK46" s="2"/>
      <c r="CL46" s="2"/>
      <c r="CM46" s="2">
        <v>0</v>
      </c>
      <c r="CN46" s="2" t="s">
        <v>4</v>
      </c>
      <c r="CO46" s="2">
        <v>0</v>
      </c>
      <c r="CP46" s="2">
        <f t="shared" si="31"/>
        <v>2.02</v>
      </c>
      <c r="CQ46" s="2">
        <f t="shared" si="32"/>
        <v>101</v>
      </c>
      <c r="CR46" s="2">
        <f t="shared" si="33"/>
        <v>0</v>
      </c>
      <c r="CS46" s="2">
        <f t="shared" si="34"/>
        <v>0</v>
      </c>
      <c r="CT46" s="2">
        <f t="shared" si="35"/>
        <v>0</v>
      </c>
      <c r="CU46" s="2">
        <f t="shared" si="36"/>
        <v>0</v>
      </c>
      <c r="CV46" s="2">
        <f t="shared" si="37"/>
        <v>0</v>
      </c>
      <c r="CW46" s="2">
        <f t="shared" si="38"/>
        <v>0</v>
      </c>
      <c r="CX46" s="2">
        <f t="shared" si="39"/>
        <v>0</v>
      </c>
      <c r="CY46" s="2">
        <f t="shared" si="40"/>
        <v>0</v>
      </c>
      <c r="CZ46" s="2">
        <f t="shared" si="41"/>
        <v>0</v>
      </c>
      <c r="DA46" s="2"/>
      <c r="DB46" s="2"/>
      <c r="DC46" s="2" t="s">
        <v>4</v>
      </c>
      <c r="DD46" s="2" t="s">
        <v>4</v>
      </c>
      <c r="DE46" s="2" t="s">
        <v>4</v>
      </c>
      <c r="DF46" s="2" t="s">
        <v>4</v>
      </c>
      <c r="DG46" s="2" t="s">
        <v>4</v>
      </c>
      <c r="DH46" s="2" t="s">
        <v>4</v>
      </c>
      <c r="DI46" s="2" t="s">
        <v>4</v>
      </c>
      <c r="DJ46" s="2" t="s">
        <v>4</v>
      </c>
      <c r="DK46" s="2" t="s">
        <v>4</v>
      </c>
      <c r="DL46" s="2" t="s">
        <v>4</v>
      </c>
      <c r="DM46" s="2" t="s">
        <v>4</v>
      </c>
      <c r="DN46" s="2">
        <v>0</v>
      </c>
      <c r="DO46" s="2">
        <v>0</v>
      </c>
      <c r="DP46" s="2">
        <v>1</v>
      </c>
      <c r="DQ46" s="2">
        <v>1</v>
      </c>
      <c r="DR46" s="2"/>
      <c r="DS46" s="2"/>
      <c r="DT46" s="2"/>
      <c r="DU46" s="2">
        <v>1010</v>
      </c>
      <c r="DV46" s="2" t="s">
        <v>67</v>
      </c>
      <c r="DW46" s="2" t="s">
        <v>67</v>
      </c>
      <c r="DX46" s="2">
        <v>100</v>
      </c>
      <c r="DY46" s="2"/>
      <c r="DZ46" s="2"/>
      <c r="EA46" s="2"/>
      <c r="EB46" s="2"/>
      <c r="EC46" s="2"/>
      <c r="ED46" s="2"/>
      <c r="EE46" s="2">
        <v>16510488</v>
      </c>
      <c r="EF46" s="2">
        <v>2</v>
      </c>
      <c r="EG46" s="2" t="s">
        <v>31</v>
      </c>
      <c r="EH46" s="2">
        <v>0</v>
      </c>
      <c r="EI46" s="2" t="s">
        <v>4</v>
      </c>
      <c r="EJ46" s="2">
        <v>1</v>
      </c>
      <c r="EK46" s="2">
        <v>11001</v>
      </c>
      <c r="EL46" s="2" t="s">
        <v>18</v>
      </c>
      <c r="EM46" s="2" t="s">
        <v>32</v>
      </c>
      <c r="EN46" s="2"/>
      <c r="EO46" s="2" t="s">
        <v>4</v>
      </c>
      <c r="EP46" s="2"/>
      <c r="EQ46" s="2">
        <v>0</v>
      </c>
      <c r="ER46" s="2">
        <v>101</v>
      </c>
      <c r="ES46" s="2">
        <v>101</v>
      </c>
      <c r="ET46" s="2">
        <v>0</v>
      </c>
      <c r="EU46" s="2">
        <v>0</v>
      </c>
      <c r="EV46" s="2">
        <v>0</v>
      </c>
      <c r="EW46" s="2">
        <v>0</v>
      </c>
      <c r="EX46" s="2">
        <v>0</v>
      </c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>
        <v>0</v>
      </c>
      <c r="FR46" s="2">
        <f t="shared" si="42"/>
        <v>0</v>
      </c>
      <c r="FS46" s="2">
        <v>0</v>
      </c>
      <c r="FT46" s="2" t="s">
        <v>34</v>
      </c>
      <c r="FU46" s="2" t="s">
        <v>35</v>
      </c>
      <c r="FV46" s="2"/>
      <c r="FW46" s="2"/>
      <c r="FX46" s="2">
        <v>110.7</v>
      </c>
      <c r="FY46" s="2">
        <v>63.75</v>
      </c>
      <c r="FZ46" s="2"/>
      <c r="GA46" s="2" t="s">
        <v>4</v>
      </c>
      <c r="GB46" s="2"/>
      <c r="GC46" s="2"/>
      <c r="GD46" s="2">
        <v>0</v>
      </c>
      <c r="GE46" s="2"/>
      <c r="GF46" s="2">
        <v>191136453</v>
      </c>
      <c r="GG46" s="2">
        <v>2</v>
      </c>
      <c r="GH46" s="2">
        <v>1</v>
      </c>
      <c r="GI46" s="2">
        <v>-2</v>
      </c>
      <c r="GJ46" s="2">
        <v>0</v>
      </c>
      <c r="GK46" s="2">
        <f>ROUND(R46*(R12)/100,2)</f>
        <v>0</v>
      </c>
      <c r="GL46" s="2">
        <f t="shared" si="43"/>
        <v>0</v>
      </c>
      <c r="GM46" s="2">
        <f t="shared" si="44"/>
        <v>2.02</v>
      </c>
      <c r="GN46" s="2">
        <f t="shared" si="45"/>
        <v>2.02</v>
      </c>
      <c r="GO46" s="2">
        <f t="shared" si="46"/>
        <v>0</v>
      </c>
      <c r="GP46" s="2">
        <f t="shared" si="47"/>
        <v>0</v>
      </c>
      <c r="GQ46" s="2"/>
      <c r="GR46" s="2">
        <v>0</v>
      </c>
      <c r="GS46" s="2">
        <v>3</v>
      </c>
      <c r="GT46" s="2">
        <v>0</v>
      </c>
      <c r="GU46" s="2" t="s">
        <v>4</v>
      </c>
      <c r="GV46" s="2">
        <f t="shared" si="48"/>
        <v>0</v>
      </c>
      <c r="GW46" s="2">
        <v>1</v>
      </c>
      <c r="GX46" s="2">
        <f t="shared" si="49"/>
        <v>0</v>
      </c>
      <c r="GY46" s="2"/>
      <c r="GZ46" s="2"/>
      <c r="HA46" s="2">
        <v>0</v>
      </c>
      <c r="HB46" s="2">
        <v>0</v>
      </c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>
        <v>0</v>
      </c>
      <c r="IL46" s="2"/>
      <c r="IM46" s="2"/>
      <c r="IN46" s="2"/>
      <c r="IO46" s="2"/>
      <c r="IP46" s="2"/>
      <c r="IQ46" s="2"/>
      <c r="IR46" s="2"/>
      <c r="IS46" s="2"/>
      <c r="IT46" s="2"/>
      <c r="IU46" s="2"/>
    </row>
    <row r="47" spans="1:255" x14ac:dyDescent="0.2">
      <c r="A47">
        <v>18</v>
      </c>
      <c r="B47">
        <v>1</v>
      </c>
      <c r="C47">
        <v>71</v>
      </c>
      <c r="E47" t="s">
        <v>74</v>
      </c>
      <c r="F47" t="s">
        <v>75</v>
      </c>
      <c r="G47" t="s">
        <v>76</v>
      </c>
      <c r="H47" t="s">
        <v>67</v>
      </c>
      <c r="I47">
        <f>I41*J47</f>
        <v>0.02</v>
      </c>
      <c r="J47">
        <v>8.620689655172413E-2</v>
      </c>
      <c r="O47">
        <f t="shared" si="14"/>
        <v>12.28</v>
      </c>
      <c r="P47">
        <f t="shared" si="15"/>
        <v>12.28</v>
      </c>
      <c r="Q47">
        <f t="shared" si="16"/>
        <v>0</v>
      </c>
      <c r="R47">
        <f t="shared" si="17"/>
        <v>0</v>
      </c>
      <c r="S47">
        <f t="shared" si="18"/>
        <v>0</v>
      </c>
      <c r="T47">
        <f t="shared" si="19"/>
        <v>0</v>
      </c>
      <c r="U47">
        <f t="shared" si="20"/>
        <v>0</v>
      </c>
      <c r="V47">
        <f t="shared" si="21"/>
        <v>0</v>
      </c>
      <c r="W47">
        <f t="shared" si="22"/>
        <v>0</v>
      </c>
      <c r="X47">
        <f t="shared" si="23"/>
        <v>0</v>
      </c>
      <c r="Y47">
        <f t="shared" si="24"/>
        <v>0</v>
      </c>
      <c r="AA47">
        <v>16501255</v>
      </c>
      <c r="AB47">
        <f t="shared" si="25"/>
        <v>101</v>
      </c>
      <c r="AC47">
        <f t="shared" si="51"/>
        <v>101</v>
      </c>
      <c r="AD47">
        <f t="shared" si="55"/>
        <v>0</v>
      </c>
      <c r="AE47">
        <f t="shared" si="56"/>
        <v>0</v>
      </c>
      <c r="AF47">
        <f t="shared" si="57"/>
        <v>0</v>
      </c>
      <c r="AG47">
        <f t="shared" si="28"/>
        <v>0</v>
      </c>
      <c r="AH47">
        <f t="shared" si="58"/>
        <v>0</v>
      </c>
      <c r="AI47">
        <f t="shared" si="59"/>
        <v>0</v>
      </c>
      <c r="AJ47">
        <f t="shared" si="30"/>
        <v>0</v>
      </c>
      <c r="AK47">
        <v>101</v>
      </c>
      <c r="AL47">
        <v>101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111</v>
      </c>
      <c r="AU47">
        <v>64</v>
      </c>
      <c r="AV47">
        <v>1</v>
      </c>
      <c r="AW47">
        <v>1</v>
      </c>
      <c r="AZ47">
        <v>6.08</v>
      </c>
      <c r="BA47">
        <v>1</v>
      </c>
      <c r="BB47">
        <v>1</v>
      </c>
      <c r="BC47">
        <v>6.08</v>
      </c>
      <c r="BD47" t="s">
        <v>4</v>
      </c>
      <c r="BE47" t="s">
        <v>4</v>
      </c>
      <c r="BF47" t="s">
        <v>4</v>
      </c>
      <c r="BG47" t="s">
        <v>4</v>
      </c>
      <c r="BH47">
        <v>3</v>
      </c>
      <c r="BI47">
        <v>1</v>
      </c>
      <c r="BJ47" t="s">
        <v>77</v>
      </c>
      <c r="BM47">
        <v>11001</v>
      </c>
      <c r="BN47">
        <v>0</v>
      </c>
      <c r="BO47" t="s">
        <v>4</v>
      </c>
      <c r="BP47">
        <v>0</v>
      </c>
      <c r="BQ47">
        <v>2</v>
      </c>
      <c r="BR47">
        <v>0</v>
      </c>
      <c r="BS47">
        <v>1</v>
      </c>
      <c r="BT47">
        <v>1</v>
      </c>
      <c r="BU47">
        <v>1</v>
      </c>
      <c r="BV47">
        <v>1</v>
      </c>
      <c r="BW47">
        <v>1</v>
      </c>
      <c r="BX47">
        <v>1</v>
      </c>
      <c r="BY47" t="s">
        <v>4</v>
      </c>
      <c r="BZ47">
        <v>123</v>
      </c>
      <c r="CA47">
        <v>75</v>
      </c>
      <c r="CF47">
        <v>0</v>
      </c>
      <c r="CG47">
        <v>0</v>
      </c>
      <c r="CM47">
        <v>0</v>
      </c>
      <c r="CN47" t="s">
        <v>4</v>
      </c>
      <c r="CO47">
        <v>0</v>
      </c>
      <c r="CP47">
        <f t="shared" si="31"/>
        <v>12.28</v>
      </c>
      <c r="CQ47">
        <f t="shared" si="32"/>
        <v>614.08000000000004</v>
      </c>
      <c r="CR47">
        <f t="shared" si="33"/>
        <v>0</v>
      </c>
      <c r="CS47">
        <f t="shared" si="34"/>
        <v>0</v>
      </c>
      <c r="CT47">
        <f t="shared" si="35"/>
        <v>0</v>
      </c>
      <c r="CU47">
        <f t="shared" si="36"/>
        <v>0</v>
      </c>
      <c r="CV47">
        <f t="shared" si="37"/>
        <v>0</v>
      </c>
      <c r="CW47">
        <f t="shared" si="38"/>
        <v>0</v>
      </c>
      <c r="CX47">
        <f t="shared" si="39"/>
        <v>0</v>
      </c>
      <c r="CY47">
        <f t="shared" si="40"/>
        <v>0</v>
      </c>
      <c r="CZ47">
        <f t="shared" si="41"/>
        <v>0</v>
      </c>
      <c r="DC47" t="s">
        <v>4</v>
      </c>
      <c r="DD47" t="s">
        <v>4</v>
      </c>
      <c r="DE47" t="s">
        <v>4</v>
      </c>
      <c r="DF47" t="s">
        <v>4</v>
      </c>
      <c r="DG47" t="s">
        <v>4</v>
      </c>
      <c r="DH47" t="s">
        <v>4</v>
      </c>
      <c r="DI47" t="s">
        <v>4</v>
      </c>
      <c r="DJ47" t="s">
        <v>4</v>
      </c>
      <c r="DK47" t="s">
        <v>4</v>
      </c>
      <c r="DL47" t="s">
        <v>4</v>
      </c>
      <c r="DM47" t="s">
        <v>4</v>
      </c>
      <c r="DN47">
        <v>0</v>
      </c>
      <c r="DO47">
        <v>0</v>
      </c>
      <c r="DP47">
        <v>1</v>
      </c>
      <c r="DQ47">
        <v>1</v>
      </c>
      <c r="DU47">
        <v>1010</v>
      </c>
      <c r="DV47" t="s">
        <v>67</v>
      </c>
      <c r="DW47" t="s">
        <v>67</v>
      </c>
      <c r="DX47">
        <v>100</v>
      </c>
      <c r="EE47">
        <v>16510488</v>
      </c>
      <c r="EF47">
        <v>2</v>
      </c>
      <c r="EG47" t="s">
        <v>31</v>
      </c>
      <c r="EH47">
        <v>0</v>
      </c>
      <c r="EI47" t="s">
        <v>4</v>
      </c>
      <c r="EJ47">
        <v>1</v>
      </c>
      <c r="EK47">
        <v>11001</v>
      </c>
      <c r="EL47" t="s">
        <v>18</v>
      </c>
      <c r="EM47" t="s">
        <v>32</v>
      </c>
      <c r="EO47" t="s">
        <v>4</v>
      </c>
      <c r="EQ47">
        <v>0</v>
      </c>
      <c r="ER47">
        <v>101</v>
      </c>
      <c r="ES47">
        <v>101</v>
      </c>
      <c r="ET47">
        <v>0</v>
      </c>
      <c r="EU47">
        <v>0</v>
      </c>
      <c r="EV47">
        <v>0</v>
      </c>
      <c r="EW47">
        <v>0</v>
      </c>
      <c r="EX47">
        <v>0</v>
      </c>
      <c r="FQ47">
        <v>0</v>
      </c>
      <c r="FR47">
        <f t="shared" si="42"/>
        <v>0</v>
      </c>
      <c r="FS47">
        <v>0</v>
      </c>
      <c r="FT47" t="s">
        <v>34</v>
      </c>
      <c r="FU47" t="s">
        <v>35</v>
      </c>
      <c r="FX47">
        <v>110.7</v>
      </c>
      <c r="FY47">
        <v>63.75</v>
      </c>
      <c r="GA47" t="s">
        <v>4</v>
      </c>
      <c r="GD47">
        <v>0</v>
      </c>
      <c r="GF47">
        <v>191136453</v>
      </c>
      <c r="GG47">
        <v>1</v>
      </c>
      <c r="GH47">
        <v>1</v>
      </c>
      <c r="GI47">
        <v>4</v>
      </c>
      <c r="GJ47">
        <v>0</v>
      </c>
      <c r="GK47">
        <f>ROUND(R47*(S12)/100,2)</f>
        <v>0</v>
      </c>
      <c r="GL47">
        <f t="shared" si="43"/>
        <v>0</v>
      </c>
      <c r="GM47">
        <f t="shared" si="44"/>
        <v>12.28</v>
      </c>
      <c r="GN47">
        <f t="shared" si="45"/>
        <v>12.28</v>
      </c>
      <c r="GO47">
        <f t="shared" si="46"/>
        <v>0</v>
      </c>
      <c r="GP47">
        <f t="shared" si="47"/>
        <v>0</v>
      </c>
      <c r="GR47">
        <v>0</v>
      </c>
      <c r="GS47">
        <v>3</v>
      </c>
      <c r="GT47">
        <v>0</v>
      </c>
      <c r="GU47" t="s">
        <v>4</v>
      </c>
      <c r="GV47">
        <f t="shared" si="48"/>
        <v>0</v>
      </c>
      <c r="GW47">
        <v>1</v>
      </c>
      <c r="GX47">
        <f t="shared" si="49"/>
        <v>0</v>
      </c>
      <c r="HA47">
        <v>0</v>
      </c>
      <c r="HB47">
        <v>0</v>
      </c>
      <c r="IK47">
        <v>0</v>
      </c>
    </row>
    <row r="48" spans="1:255" x14ac:dyDescent="0.2">
      <c r="A48" s="2">
        <v>18</v>
      </c>
      <c r="B48" s="2">
        <v>1</v>
      </c>
      <c r="C48" s="2">
        <v>60</v>
      </c>
      <c r="D48" s="2"/>
      <c r="E48" s="2" t="s">
        <v>78</v>
      </c>
      <c r="F48" s="2" t="s">
        <v>79</v>
      </c>
      <c r="G48" s="2" t="s">
        <v>80</v>
      </c>
      <c r="H48" s="2" t="s">
        <v>67</v>
      </c>
      <c r="I48" s="2">
        <f>I40*J48</f>
        <v>0.01</v>
      </c>
      <c r="J48" s="2">
        <v>4.3103448275862065E-2</v>
      </c>
      <c r="K48" s="2"/>
      <c r="L48" s="2"/>
      <c r="M48" s="2"/>
      <c r="N48" s="2"/>
      <c r="O48" s="2">
        <f t="shared" si="14"/>
        <v>1.28</v>
      </c>
      <c r="P48" s="2">
        <f t="shared" si="15"/>
        <v>1.28</v>
      </c>
      <c r="Q48" s="2">
        <f t="shared" si="16"/>
        <v>0</v>
      </c>
      <c r="R48" s="2">
        <f t="shared" si="17"/>
        <v>0</v>
      </c>
      <c r="S48" s="2">
        <f t="shared" si="18"/>
        <v>0</v>
      </c>
      <c r="T48" s="2">
        <f t="shared" si="19"/>
        <v>0</v>
      </c>
      <c r="U48" s="2">
        <f t="shared" si="20"/>
        <v>0</v>
      </c>
      <c r="V48" s="2">
        <f t="shared" si="21"/>
        <v>0</v>
      </c>
      <c r="W48" s="2">
        <f t="shared" si="22"/>
        <v>0</v>
      </c>
      <c r="X48" s="2">
        <f t="shared" si="23"/>
        <v>0</v>
      </c>
      <c r="Y48" s="2">
        <f t="shared" si="24"/>
        <v>0</v>
      </c>
      <c r="Z48" s="2"/>
      <c r="AA48" s="2">
        <v>16501254</v>
      </c>
      <c r="AB48" s="2">
        <f t="shared" si="25"/>
        <v>128</v>
      </c>
      <c r="AC48" s="2">
        <f t="shared" si="51"/>
        <v>128</v>
      </c>
      <c r="AD48" s="2">
        <f t="shared" si="55"/>
        <v>0</v>
      </c>
      <c r="AE48" s="2">
        <f t="shared" si="56"/>
        <v>0</v>
      </c>
      <c r="AF48" s="2">
        <f t="shared" si="57"/>
        <v>0</v>
      </c>
      <c r="AG48" s="2">
        <f t="shared" si="28"/>
        <v>0</v>
      </c>
      <c r="AH48" s="2">
        <f t="shared" si="58"/>
        <v>0</v>
      </c>
      <c r="AI48" s="2">
        <f t="shared" si="59"/>
        <v>0</v>
      </c>
      <c r="AJ48" s="2">
        <f t="shared" si="30"/>
        <v>0</v>
      </c>
      <c r="AK48" s="2">
        <v>128</v>
      </c>
      <c r="AL48" s="2">
        <v>128</v>
      </c>
      <c r="AM48" s="2">
        <v>0</v>
      </c>
      <c r="AN48" s="2">
        <v>0</v>
      </c>
      <c r="AO48" s="2">
        <v>0</v>
      </c>
      <c r="AP48" s="2">
        <v>0</v>
      </c>
      <c r="AQ48" s="2">
        <v>0</v>
      </c>
      <c r="AR48" s="2">
        <v>0</v>
      </c>
      <c r="AS48" s="2">
        <v>0</v>
      </c>
      <c r="AT48" s="2">
        <v>111</v>
      </c>
      <c r="AU48" s="2">
        <v>64</v>
      </c>
      <c r="AV48" s="2">
        <v>1</v>
      </c>
      <c r="AW48" s="2">
        <v>1</v>
      </c>
      <c r="AX48" s="2"/>
      <c r="AY48" s="2"/>
      <c r="AZ48" s="2">
        <v>1</v>
      </c>
      <c r="BA48" s="2">
        <v>1</v>
      </c>
      <c r="BB48" s="2">
        <v>1</v>
      </c>
      <c r="BC48" s="2">
        <v>1</v>
      </c>
      <c r="BD48" s="2" t="s">
        <v>4</v>
      </c>
      <c r="BE48" s="2" t="s">
        <v>4</v>
      </c>
      <c r="BF48" s="2" t="s">
        <v>4</v>
      </c>
      <c r="BG48" s="2" t="s">
        <v>4</v>
      </c>
      <c r="BH48" s="2">
        <v>3</v>
      </c>
      <c r="BI48" s="2">
        <v>1</v>
      </c>
      <c r="BJ48" s="2" t="s">
        <v>81</v>
      </c>
      <c r="BK48" s="2"/>
      <c r="BL48" s="2"/>
      <c r="BM48" s="2">
        <v>11001</v>
      </c>
      <c r="BN48" s="2">
        <v>0</v>
      </c>
      <c r="BO48" s="2" t="s">
        <v>4</v>
      </c>
      <c r="BP48" s="2">
        <v>0</v>
      </c>
      <c r="BQ48" s="2">
        <v>2</v>
      </c>
      <c r="BR48" s="2">
        <v>0</v>
      </c>
      <c r="BS48" s="2">
        <v>1</v>
      </c>
      <c r="BT48" s="2">
        <v>1</v>
      </c>
      <c r="BU48" s="2">
        <v>1</v>
      </c>
      <c r="BV48" s="2">
        <v>1</v>
      </c>
      <c r="BW48" s="2">
        <v>1</v>
      </c>
      <c r="BX48" s="2">
        <v>1</v>
      </c>
      <c r="BY48" s="2" t="s">
        <v>4</v>
      </c>
      <c r="BZ48" s="2">
        <v>123</v>
      </c>
      <c r="CA48" s="2">
        <v>75</v>
      </c>
      <c r="CB48" s="2"/>
      <c r="CC48" s="2"/>
      <c r="CD48" s="2"/>
      <c r="CE48" s="2"/>
      <c r="CF48" s="2">
        <v>0</v>
      </c>
      <c r="CG48" s="2">
        <v>0</v>
      </c>
      <c r="CH48" s="2"/>
      <c r="CI48" s="2"/>
      <c r="CJ48" s="2"/>
      <c r="CK48" s="2"/>
      <c r="CL48" s="2"/>
      <c r="CM48" s="2">
        <v>0</v>
      </c>
      <c r="CN48" s="2" t="s">
        <v>4</v>
      </c>
      <c r="CO48" s="2">
        <v>0</v>
      </c>
      <c r="CP48" s="2">
        <f t="shared" si="31"/>
        <v>1.28</v>
      </c>
      <c r="CQ48" s="2">
        <f t="shared" si="32"/>
        <v>128</v>
      </c>
      <c r="CR48" s="2">
        <f t="shared" si="33"/>
        <v>0</v>
      </c>
      <c r="CS48" s="2">
        <f t="shared" si="34"/>
        <v>0</v>
      </c>
      <c r="CT48" s="2">
        <f t="shared" si="35"/>
        <v>0</v>
      </c>
      <c r="CU48" s="2">
        <f t="shared" si="36"/>
        <v>0</v>
      </c>
      <c r="CV48" s="2">
        <f t="shared" si="37"/>
        <v>0</v>
      </c>
      <c r="CW48" s="2">
        <f t="shared" si="38"/>
        <v>0</v>
      </c>
      <c r="CX48" s="2">
        <f t="shared" si="39"/>
        <v>0</v>
      </c>
      <c r="CY48" s="2">
        <f t="shared" si="40"/>
        <v>0</v>
      </c>
      <c r="CZ48" s="2">
        <f t="shared" si="41"/>
        <v>0</v>
      </c>
      <c r="DA48" s="2"/>
      <c r="DB48" s="2"/>
      <c r="DC48" s="2" t="s">
        <v>4</v>
      </c>
      <c r="DD48" s="2" t="s">
        <v>4</v>
      </c>
      <c r="DE48" s="2" t="s">
        <v>4</v>
      </c>
      <c r="DF48" s="2" t="s">
        <v>4</v>
      </c>
      <c r="DG48" s="2" t="s">
        <v>4</v>
      </c>
      <c r="DH48" s="2" t="s">
        <v>4</v>
      </c>
      <c r="DI48" s="2" t="s">
        <v>4</v>
      </c>
      <c r="DJ48" s="2" t="s">
        <v>4</v>
      </c>
      <c r="DK48" s="2" t="s">
        <v>4</v>
      </c>
      <c r="DL48" s="2" t="s">
        <v>4</v>
      </c>
      <c r="DM48" s="2" t="s">
        <v>4</v>
      </c>
      <c r="DN48" s="2">
        <v>0</v>
      </c>
      <c r="DO48" s="2">
        <v>0</v>
      </c>
      <c r="DP48" s="2">
        <v>1</v>
      </c>
      <c r="DQ48" s="2">
        <v>1</v>
      </c>
      <c r="DR48" s="2"/>
      <c r="DS48" s="2"/>
      <c r="DT48" s="2"/>
      <c r="DU48" s="2">
        <v>1010</v>
      </c>
      <c r="DV48" s="2" t="s">
        <v>67</v>
      </c>
      <c r="DW48" s="2" t="s">
        <v>67</v>
      </c>
      <c r="DX48" s="2">
        <v>100</v>
      </c>
      <c r="DY48" s="2"/>
      <c r="DZ48" s="2"/>
      <c r="EA48" s="2"/>
      <c r="EB48" s="2"/>
      <c r="EC48" s="2"/>
      <c r="ED48" s="2"/>
      <c r="EE48" s="2">
        <v>16510488</v>
      </c>
      <c r="EF48" s="2">
        <v>2</v>
      </c>
      <c r="EG48" s="2" t="s">
        <v>31</v>
      </c>
      <c r="EH48" s="2">
        <v>0</v>
      </c>
      <c r="EI48" s="2" t="s">
        <v>4</v>
      </c>
      <c r="EJ48" s="2">
        <v>1</v>
      </c>
      <c r="EK48" s="2">
        <v>11001</v>
      </c>
      <c r="EL48" s="2" t="s">
        <v>18</v>
      </c>
      <c r="EM48" s="2" t="s">
        <v>32</v>
      </c>
      <c r="EN48" s="2"/>
      <c r="EO48" s="2" t="s">
        <v>4</v>
      </c>
      <c r="EP48" s="2"/>
      <c r="EQ48" s="2">
        <v>0</v>
      </c>
      <c r="ER48" s="2">
        <v>128</v>
      </c>
      <c r="ES48" s="2">
        <v>128</v>
      </c>
      <c r="ET48" s="2">
        <v>0</v>
      </c>
      <c r="EU48" s="2">
        <v>0</v>
      </c>
      <c r="EV48" s="2">
        <v>0</v>
      </c>
      <c r="EW48" s="2">
        <v>0</v>
      </c>
      <c r="EX48" s="2">
        <v>0</v>
      </c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>
        <v>0</v>
      </c>
      <c r="FR48" s="2">
        <f t="shared" si="42"/>
        <v>0</v>
      </c>
      <c r="FS48" s="2">
        <v>0</v>
      </c>
      <c r="FT48" s="2" t="s">
        <v>34</v>
      </c>
      <c r="FU48" s="2" t="s">
        <v>35</v>
      </c>
      <c r="FV48" s="2"/>
      <c r="FW48" s="2"/>
      <c r="FX48" s="2">
        <v>110.7</v>
      </c>
      <c r="FY48" s="2">
        <v>63.75</v>
      </c>
      <c r="FZ48" s="2"/>
      <c r="GA48" s="2" t="s">
        <v>4</v>
      </c>
      <c r="GB48" s="2"/>
      <c r="GC48" s="2"/>
      <c r="GD48" s="2">
        <v>0</v>
      </c>
      <c r="GE48" s="2"/>
      <c r="GF48" s="2">
        <v>1073883569</v>
      </c>
      <c r="GG48" s="2">
        <v>2</v>
      </c>
      <c r="GH48" s="2">
        <v>1</v>
      </c>
      <c r="GI48" s="2">
        <v>-2</v>
      </c>
      <c r="GJ48" s="2">
        <v>0</v>
      </c>
      <c r="GK48" s="2">
        <f>ROUND(R48*(R12)/100,2)</f>
        <v>0</v>
      </c>
      <c r="GL48" s="2">
        <f t="shared" si="43"/>
        <v>0</v>
      </c>
      <c r="GM48" s="2">
        <f t="shared" si="44"/>
        <v>1.28</v>
      </c>
      <c r="GN48" s="2">
        <f t="shared" si="45"/>
        <v>1.28</v>
      </c>
      <c r="GO48" s="2">
        <f t="shared" si="46"/>
        <v>0</v>
      </c>
      <c r="GP48" s="2">
        <f t="shared" si="47"/>
        <v>0</v>
      </c>
      <c r="GQ48" s="2"/>
      <c r="GR48" s="2">
        <v>0</v>
      </c>
      <c r="GS48" s="2">
        <v>3</v>
      </c>
      <c r="GT48" s="2">
        <v>0</v>
      </c>
      <c r="GU48" s="2" t="s">
        <v>4</v>
      </c>
      <c r="GV48" s="2">
        <f t="shared" si="48"/>
        <v>0</v>
      </c>
      <c r="GW48" s="2">
        <v>1</v>
      </c>
      <c r="GX48" s="2">
        <f t="shared" si="49"/>
        <v>0</v>
      </c>
      <c r="GY48" s="2"/>
      <c r="GZ48" s="2"/>
      <c r="HA48" s="2">
        <v>0</v>
      </c>
      <c r="HB48" s="2">
        <v>0</v>
      </c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>
        <v>0</v>
      </c>
      <c r="IL48" s="2"/>
      <c r="IM48" s="2"/>
      <c r="IN48" s="2"/>
      <c r="IO48" s="2"/>
      <c r="IP48" s="2"/>
      <c r="IQ48" s="2"/>
      <c r="IR48" s="2"/>
      <c r="IS48" s="2"/>
      <c r="IT48" s="2"/>
      <c r="IU48" s="2"/>
    </row>
    <row r="49" spans="1:255" x14ac:dyDescent="0.2">
      <c r="A49">
        <v>18</v>
      </c>
      <c r="B49">
        <v>1</v>
      </c>
      <c r="C49">
        <v>72</v>
      </c>
      <c r="E49" t="s">
        <v>78</v>
      </c>
      <c r="F49" t="s">
        <v>79</v>
      </c>
      <c r="G49" t="s">
        <v>80</v>
      </c>
      <c r="H49" t="s">
        <v>67</v>
      </c>
      <c r="I49">
        <f>I41*J49</f>
        <v>0.01</v>
      </c>
      <c r="J49">
        <v>4.3103448275862065E-2</v>
      </c>
      <c r="O49">
        <f t="shared" si="14"/>
        <v>7.78</v>
      </c>
      <c r="P49">
        <f t="shared" si="15"/>
        <v>7.78</v>
      </c>
      <c r="Q49">
        <f t="shared" si="16"/>
        <v>0</v>
      </c>
      <c r="R49">
        <f t="shared" si="17"/>
        <v>0</v>
      </c>
      <c r="S49">
        <f t="shared" si="18"/>
        <v>0</v>
      </c>
      <c r="T49">
        <f t="shared" si="19"/>
        <v>0</v>
      </c>
      <c r="U49">
        <f t="shared" si="20"/>
        <v>0</v>
      </c>
      <c r="V49">
        <f t="shared" si="21"/>
        <v>0</v>
      </c>
      <c r="W49">
        <f t="shared" si="22"/>
        <v>0</v>
      </c>
      <c r="X49">
        <f t="shared" si="23"/>
        <v>0</v>
      </c>
      <c r="Y49">
        <f t="shared" si="24"/>
        <v>0</v>
      </c>
      <c r="AA49">
        <v>16501255</v>
      </c>
      <c r="AB49">
        <f t="shared" si="25"/>
        <v>128</v>
      </c>
      <c r="AC49">
        <f t="shared" si="51"/>
        <v>128</v>
      </c>
      <c r="AD49">
        <f t="shared" si="55"/>
        <v>0</v>
      </c>
      <c r="AE49">
        <f t="shared" si="56"/>
        <v>0</v>
      </c>
      <c r="AF49">
        <f t="shared" si="57"/>
        <v>0</v>
      </c>
      <c r="AG49">
        <f t="shared" si="28"/>
        <v>0</v>
      </c>
      <c r="AH49">
        <f t="shared" si="58"/>
        <v>0</v>
      </c>
      <c r="AI49">
        <f t="shared" si="59"/>
        <v>0</v>
      </c>
      <c r="AJ49">
        <f t="shared" si="30"/>
        <v>0</v>
      </c>
      <c r="AK49">
        <v>128</v>
      </c>
      <c r="AL49">
        <v>128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111</v>
      </c>
      <c r="AU49">
        <v>64</v>
      </c>
      <c r="AV49">
        <v>1</v>
      </c>
      <c r="AW49">
        <v>1</v>
      </c>
      <c r="AZ49">
        <v>6.08</v>
      </c>
      <c r="BA49">
        <v>1</v>
      </c>
      <c r="BB49">
        <v>1</v>
      </c>
      <c r="BC49">
        <v>6.08</v>
      </c>
      <c r="BD49" t="s">
        <v>4</v>
      </c>
      <c r="BE49" t="s">
        <v>4</v>
      </c>
      <c r="BF49" t="s">
        <v>4</v>
      </c>
      <c r="BG49" t="s">
        <v>4</v>
      </c>
      <c r="BH49">
        <v>3</v>
      </c>
      <c r="BI49">
        <v>1</v>
      </c>
      <c r="BJ49" t="s">
        <v>81</v>
      </c>
      <c r="BM49">
        <v>11001</v>
      </c>
      <c r="BN49">
        <v>0</v>
      </c>
      <c r="BO49" t="s">
        <v>4</v>
      </c>
      <c r="BP49">
        <v>0</v>
      </c>
      <c r="BQ49">
        <v>2</v>
      </c>
      <c r="BR49">
        <v>0</v>
      </c>
      <c r="BS49">
        <v>1</v>
      </c>
      <c r="BT49">
        <v>1</v>
      </c>
      <c r="BU49">
        <v>1</v>
      </c>
      <c r="BV49">
        <v>1</v>
      </c>
      <c r="BW49">
        <v>1</v>
      </c>
      <c r="BX49">
        <v>1</v>
      </c>
      <c r="BY49" t="s">
        <v>4</v>
      </c>
      <c r="BZ49">
        <v>123</v>
      </c>
      <c r="CA49">
        <v>75</v>
      </c>
      <c r="CF49">
        <v>0</v>
      </c>
      <c r="CG49">
        <v>0</v>
      </c>
      <c r="CM49">
        <v>0</v>
      </c>
      <c r="CN49" t="s">
        <v>4</v>
      </c>
      <c r="CO49">
        <v>0</v>
      </c>
      <c r="CP49">
        <f t="shared" si="31"/>
        <v>7.78</v>
      </c>
      <c r="CQ49">
        <f t="shared" si="32"/>
        <v>778.24</v>
      </c>
      <c r="CR49">
        <f t="shared" si="33"/>
        <v>0</v>
      </c>
      <c r="CS49">
        <f t="shared" si="34"/>
        <v>0</v>
      </c>
      <c r="CT49">
        <f t="shared" si="35"/>
        <v>0</v>
      </c>
      <c r="CU49">
        <f t="shared" si="36"/>
        <v>0</v>
      </c>
      <c r="CV49">
        <f t="shared" si="37"/>
        <v>0</v>
      </c>
      <c r="CW49">
        <f t="shared" si="38"/>
        <v>0</v>
      </c>
      <c r="CX49">
        <f t="shared" si="39"/>
        <v>0</v>
      </c>
      <c r="CY49">
        <f t="shared" si="40"/>
        <v>0</v>
      </c>
      <c r="CZ49">
        <f t="shared" si="41"/>
        <v>0</v>
      </c>
      <c r="DC49" t="s">
        <v>4</v>
      </c>
      <c r="DD49" t="s">
        <v>4</v>
      </c>
      <c r="DE49" t="s">
        <v>4</v>
      </c>
      <c r="DF49" t="s">
        <v>4</v>
      </c>
      <c r="DG49" t="s">
        <v>4</v>
      </c>
      <c r="DH49" t="s">
        <v>4</v>
      </c>
      <c r="DI49" t="s">
        <v>4</v>
      </c>
      <c r="DJ49" t="s">
        <v>4</v>
      </c>
      <c r="DK49" t="s">
        <v>4</v>
      </c>
      <c r="DL49" t="s">
        <v>4</v>
      </c>
      <c r="DM49" t="s">
        <v>4</v>
      </c>
      <c r="DN49">
        <v>0</v>
      </c>
      <c r="DO49">
        <v>0</v>
      </c>
      <c r="DP49">
        <v>1</v>
      </c>
      <c r="DQ49">
        <v>1</v>
      </c>
      <c r="DU49">
        <v>1010</v>
      </c>
      <c r="DV49" t="s">
        <v>67</v>
      </c>
      <c r="DW49" t="s">
        <v>67</v>
      </c>
      <c r="DX49">
        <v>100</v>
      </c>
      <c r="EE49">
        <v>16510488</v>
      </c>
      <c r="EF49">
        <v>2</v>
      </c>
      <c r="EG49" t="s">
        <v>31</v>
      </c>
      <c r="EH49">
        <v>0</v>
      </c>
      <c r="EI49" t="s">
        <v>4</v>
      </c>
      <c r="EJ49">
        <v>1</v>
      </c>
      <c r="EK49">
        <v>11001</v>
      </c>
      <c r="EL49" t="s">
        <v>18</v>
      </c>
      <c r="EM49" t="s">
        <v>32</v>
      </c>
      <c r="EO49" t="s">
        <v>4</v>
      </c>
      <c r="EQ49">
        <v>0</v>
      </c>
      <c r="ER49">
        <v>128</v>
      </c>
      <c r="ES49">
        <v>128</v>
      </c>
      <c r="ET49">
        <v>0</v>
      </c>
      <c r="EU49">
        <v>0</v>
      </c>
      <c r="EV49">
        <v>0</v>
      </c>
      <c r="EW49">
        <v>0</v>
      </c>
      <c r="EX49">
        <v>0</v>
      </c>
      <c r="FQ49">
        <v>0</v>
      </c>
      <c r="FR49">
        <f t="shared" si="42"/>
        <v>0</v>
      </c>
      <c r="FS49">
        <v>0</v>
      </c>
      <c r="FT49" t="s">
        <v>34</v>
      </c>
      <c r="FU49" t="s">
        <v>35</v>
      </c>
      <c r="FX49">
        <v>110.7</v>
      </c>
      <c r="FY49">
        <v>63.75</v>
      </c>
      <c r="GA49" t="s">
        <v>4</v>
      </c>
      <c r="GD49">
        <v>0</v>
      </c>
      <c r="GF49">
        <v>1073883569</v>
      </c>
      <c r="GG49">
        <v>1</v>
      </c>
      <c r="GH49">
        <v>1</v>
      </c>
      <c r="GI49">
        <v>4</v>
      </c>
      <c r="GJ49">
        <v>0</v>
      </c>
      <c r="GK49">
        <f>ROUND(R49*(S12)/100,2)</f>
        <v>0</v>
      </c>
      <c r="GL49">
        <f t="shared" si="43"/>
        <v>0</v>
      </c>
      <c r="GM49">
        <f t="shared" si="44"/>
        <v>7.78</v>
      </c>
      <c r="GN49">
        <f t="shared" si="45"/>
        <v>7.78</v>
      </c>
      <c r="GO49">
        <f t="shared" si="46"/>
        <v>0</v>
      </c>
      <c r="GP49">
        <f t="shared" si="47"/>
        <v>0</v>
      </c>
      <c r="GR49">
        <v>0</v>
      </c>
      <c r="GS49">
        <v>3</v>
      </c>
      <c r="GT49">
        <v>0</v>
      </c>
      <c r="GU49" t="s">
        <v>4</v>
      </c>
      <c r="GV49">
        <f t="shared" si="48"/>
        <v>0</v>
      </c>
      <c r="GW49">
        <v>1</v>
      </c>
      <c r="GX49">
        <f t="shared" si="49"/>
        <v>0</v>
      </c>
      <c r="HA49">
        <v>0</v>
      </c>
      <c r="HB49">
        <v>0</v>
      </c>
      <c r="IK49">
        <v>0</v>
      </c>
    </row>
    <row r="50" spans="1:255" x14ac:dyDescent="0.2">
      <c r="A50" s="2">
        <v>18</v>
      </c>
      <c r="B50" s="2">
        <v>1</v>
      </c>
      <c r="C50" s="2">
        <v>61</v>
      </c>
      <c r="D50" s="2"/>
      <c r="E50" s="2" t="s">
        <v>82</v>
      </c>
      <c r="F50" s="2" t="s">
        <v>83</v>
      </c>
      <c r="G50" s="2" t="s">
        <v>84</v>
      </c>
      <c r="H50" s="2" t="s">
        <v>67</v>
      </c>
      <c r="I50" s="2">
        <f>I40*J50</f>
        <v>0.02</v>
      </c>
      <c r="J50" s="2">
        <v>8.620689655172413E-2</v>
      </c>
      <c r="K50" s="2"/>
      <c r="L50" s="2"/>
      <c r="M50" s="2"/>
      <c r="N50" s="2"/>
      <c r="O50" s="2">
        <f t="shared" si="14"/>
        <v>2.56</v>
      </c>
      <c r="P50" s="2">
        <f t="shared" si="15"/>
        <v>2.56</v>
      </c>
      <c r="Q50" s="2">
        <f t="shared" si="16"/>
        <v>0</v>
      </c>
      <c r="R50" s="2">
        <f t="shared" si="17"/>
        <v>0</v>
      </c>
      <c r="S50" s="2">
        <f t="shared" si="18"/>
        <v>0</v>
      </c>
      <c r="T50" s="2">
        <f t="shared" si="19"/>
        <v>0</v>
      </c>
      <c r="U50" s="2">
        <f t="shared" si="20"/>
        <v>0</v>
      </c>
      <c r="V50" s="2">
        <f t="shared" si="21"/>
        <v>0</v>
      </c>
      <c r="W50" s="2">
        <f t="shared" si="22"/>
        <v>0</v>
      </c>
      <c r="X50" s="2">
        <f t="shared" si="23"/>
        <v>0</v>
      </c>
      <c r="Y50" s="2">
        <f t="shared" si="24"/>
        <v>0</v>
      </c>
      <c r="Z50" s="2"/>
      <c r="AA50" s="2">
        <v>16501254</v>
      </c>
      <c r="AB50" s="2">
        <f t="shared" si="25"/>
        <v>128</v>
      </c>
      <c r="AC50" s="2">
        <f t="shared" si="51"/>
        <v>128</v>
      </c>
      <c r="AD50" s="2">
        <f t="shared" si="55"/>
        <v>0</v>
      </c>
      <c r="AE50" s="2">
        <f t="shared" si="56"/>
        <v>0</v>
      </c>
      <c r="AF50" s="2">
        <f t="shared" si="57"/>
        <v>0</v>
      </c>
      <c r="AG50" s="2">
        <f t="shared" si="28"/>
        <v>0</v>
      </c>
      <c r="AH50" s="2">
        <f t="shared" si="58"/>
        <v>0</v>
      </c>
      <c r="AI50" s="2">
        <f t="shared" si="59"/>
        <v>0</v>
      </c>
      <c r="AJ50" s="2">
        <f t="shared" si="30"/>
        <v>0</v>
      </c>
      <c r="AK50" s="2">
        <v>128</v>
      </c>
      <c r="AL50" s="2">
        <v>128</v>
      </c>
      <c r="AM50" s="2">
        <v>0</v>
      </c>
      <c r="AN50" s="2">
        <v>0</v>
      </c>
      <c r="AO50" s="2">
        <v>0</v>
      </c>
      <c r="AP50" s="2">
        <v>0</v>
      </c>
      <c r="AQ50" s="2">
        <v>0</v>
      </c>
      <c r="AR50" s="2">
        <v>0</v>
      </c>
      <c r="AS50" s="2">
        <v>0</v>
      </c>
      <c r="AT50" s="2">
        <v>111</v>
      </c>
      <c r="AU50" s="2">
        <v>64</v>
      </c>
      <c r="AV50" s="2">
        <v>1</v>
      </c>
      <c r="AW50" s="2">
        <v>1</v>
      </c>
      <c r="AX50" s="2"/>
      <c r="AY50" s="2"/>
      <c r="AZ50" s="2">
        <v>1</v>
      </c>
      <c r="BA50" s="2">
        <v>1</v>
      </c>
      <c r="BB50" s="2">
        <v>1</v>
      </c>
      <c r="BC50" s="2">
        <v>1</v>
      </c>
      <c r="BD50" s="2" t="s">
        <v>4</v>
      </c>
      <c r="BE50" s="2" t="s">
        <v>4</v>
      </c>
      <c r="BF50" s="2" t="s">
        <v>4</v>
      </c>
      <c r="BG50" s="2" t="s">
        <v>4</v>
      </c>
      <c r="BH50" s="2">
        <v>3</v>
      </c>
      <c r="BI50" s="2">
        <v>1</v>
      </c>
      <c r="BJ50" s="2" t="s">
        <v>85</v>
      </c>
      <c r="BK50" s="2"/>
      <c r="BL50" s="2"/>
      <c r="BM50" s="2">
        <v>11001</v>
      </c>
      <c r="BN50" s="2">
        <v>0</v>
      </c>
      <c r="BO50" s="2" t="s">
        <v>4</v>
      </c>
      <c r="BP50" s="2">
        <v>0</v>
      </c>
      <c r="BQ50" s="2">
        <v>2</v>
      </c>
      <c r="BR50" s="2">
        <v>0</v>
      </c>
      <c r="BS50" s="2">
        <v>1</v>
      </c>
      <c r="BT50" s="2">
        <v>1</v>
      </c>
      <c r="BU50" s="2">
        <v>1</v>
      </c>
      <c r="BV50" s="2">
        <v>1</v>
      </c>
      <c r="BW50" s="2">
        <v>1</v>
      </c>
      <c r="BX50" s="2">
        <v>1</v>
      </c>
      <c r="BY50" s="2" t="s">
        <v>4</v>
      </c>
      <c r="BZ50" s="2">
        <v>123</v>
      </c>
      <c r="CA50" s="2">
        <v>75</v>
      </c>
      <c r="CB50" s="2"/>
      <c r="CC50" s="2"/>
      <c r="CD50" s="2"/>
      <c r="CE50" s="2"/>
      <c r="CF50" s="2">
        <v>0</v>
      </c>
      <c r="CG50" s="2">
        <v>0</v>
      </c>
      <c r="CH50" s="2"/>
      <c r="CI50" s="2"/>
      <c r="CJ50" s="2"/>
      <c r="CK50" s="2"/>
      <c r="CL50" s="2"/>
      <c r="CM50" s="2">
        <v>0</v>
      </c>
      <c r="CN50" s="2" t="s">
        <v>4</v>
      </c>
      <c r="CO50" s="2">
        <v>0</v>
      </c>
      <c r="CP50" s="2">
        <f t="shared" si="31"/>
        <v>2.56</v>
      </c>
      <c r="CQ50" s="2">
        <f t="shared" si="32"/>
        <v>128</v>
      </c>
      <c r="CR50" s="2">
        <f t="shared" si="33"/>
        <v>0</v>
      </c>
      <c r="CS50" s="2">
        <f t="shared" si="34"/>
        <v>0</v>
      </c>
      <c r="CT50" s="2">
        <f t="shared" si="35"/>
        <v>0</v>
      </c>
      <c r="CU50" s="2">
        <f t="shared" si="36"/>
        <v>0</v>
      </c>
      <c r="CV50" s="2">
        <f t="shared" si="37"/>
        <v>0</v>
      </c>
      <c r="CW50" s="2">
        <f t="shared" si="38"/>
        <v>0</v>
      </c>
      <c r="CX50" s="2">
        <f t="shared" si="39"/>
        <v>0</v>
      </c>
      <c r="CY50" s="2">
        <f t="shared" si="40"/>
        <v>0</v>
      </c>
      <c r="CZ50" s="2">
        <f t="shared" si="41"/>
        <v>0</v>
      </c>
      <c r="DA50" s="2"/>
      <c r="DB50" s="2"/>
      <c r="DC50" s="2" t="s">
        <v>4</v>
      </c>
      <c r="DD50" s="2" t="s">
        <v>4</v>
      </c>
      <c r="DE50" s="2" t="s">
        <v>4</v>
      </c>
      <c r="DF50" s="2" t="s">
        <v>4</v>
      </c>
      <c r="DG50" s="2" t="s">
        <v>4</v>
      </c>
      <c r="DH50" s="2" t="s">
        <v>4</v>
      </c>
      <c r="DI50" s="2" t="s">
        <v>4</v>
      </c>
      <c r="DJ50" s="2" t="s">
        <v>4</v>
      </c>
      <c r="DK50" s="2" t="s">
        <v>4</v>
      </c>
      <c r="DL50" s="2" t="s">
        <v>4</v>
      </c>
      <c r="DM50" s="2" t="s">
        <v>4</v>
      </c>
      <c r="DN50" s="2">
        <v>0</v>
      </c>
      <c r="DO50" s="2">
        <v>0</v>
      </c>
      <c r="DP50" s="2">
        <v>1</v>
      </c>
      <c r="DQ50" s="2">
        <v>1</v>
      </c>
      <c r="DR50" s="2"/>
      <c r="DS50" s="2"/>
      <c r="DT50" s="2"/>
      <c r="DU50" s="2">
        <v>1010</v>
      </c>
      <c r="DV50" s="2" t="s">
        <v>67</v>
      </c>
      <c r="DW50" s="2" t="s">
        <v>67</v>
      </c>
      <c r="DX50" s="2">
        <v>100</v>
      </c>
      <c r="DY50" s="2"/>
      <c r="DZ50" s="2"/>
      <c r="EA50" s="2"/>
      <c r="EB50" s="2"/>
      <c r="EC50" s="2"/>
      <c r="ED50" s="2"/>
      <c r="EE50" s="2">
        <v>16510488</v>
      </c>
      <c r="EF50" s="2">
        <v>2</v>
      </c>
      <c r="EG50" s="2" t="s">
        <v>31</v>
      </c>
      <c r="EH50" s="2">
        <v>0</v>
      </c>
      <c r="EI50" s="2" t="s">
        <v>4</v>
      </c>
      <c r="EJ50" s="2">
        <v>1</v>
      </c>
      <c r="EK50" s="2">
        <v>11001</v>
      </c>
      <c r="EL50" s="2" t="s">
        <v>18</v>
      </c>
      <c r="EM50" s="2" t="s">
        <v>32</v>
      </c>
      <c r="EN50" s="2"/>
      <c r="EO50" s="2" t="s">
        <v>4</v>
      </c>
      <c r="EP50" s="2"/>
      <c r="EQ50" s="2">
        <v>0</v>
      </c>
      <c r="ER50" s="2">
        <v>128</v>
      </c>
      <c r="ES50" s="2">
        <v>128</v>
      </c>
      <c r="ET50" s="2">
        <v>0</v>
      </c>
      <c r="EU50" s="2">
        <v>0</v>
      </c>
      <c r="EV50" s="2">
        <v>0</v>
      </c>
      <c r="EW50" s="2">
        <v>0</v>
      </c>
      <c r="EX50" s="2">
        <v>0</v>
      </c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>
        <v>0</v>
      </c>
      <c r="FR50" s="2">
        <f t="shared" si="42"/>
        <v>0</v>
      </c>
      <c r="FS50" s="2">
        <v>0</v>
      </c>
      <c r="FT50" s="2" t="s">
        <v>34</v>
      </c>
      <c r="FU50" s="2" t="s">
        <v>35</v>
      </c>
      <c r="FV50" s="2"/>
      <c r="FW50" s="2"/>
      <c r="FX50" s="2">
        <v>110.7</v>
      </c>
      <c r="FY50" s="2">
        <v>63.75</v>
      </c>
      <c r="FZ50" s="2"/>
      <c r="GA50" s="2" t="s">
        <v>4</v>
      </c>
      <c r="GB50" s="2"/>
      <c r="GC50" s="2"/>
      <c r="GD50" s="2">
        <v>0</v>
      </c>
      <c r="GE50" s="2"/>
      <c r="GF50" s="2">
        <v>1800897042</v>
      </c>
      <c r="GG50" s="2">
        <v>2</v>
      </c>
      <c r="GH50" s="2">
        <v>1</v>
      </c>
      <c r="GI50" s="2">
        <v>-2</v>
      </c>
      <c r="GJ50" s="2">
        <v>0</v>
      </c>
      <c r="GK50" s="2">
        <f>ROUND(R50*(R12)/100,2)</f>
        <v>0</v>
      </c>
      <c r="GL50" s="2">
        <f t="shared" si="43"/>
        <v>0</v>
      </c>
      <c r="GM50" s="2">
        <f t="shared" si="44"/>
        <v>2.56</v>
      </c>
      <c r="GN50" s="2">
        <f t="shared" si="45"/>
        <v>2.56</v>
      </c>
      <c r="GO50" s="2">
        <f t="shared" si="46"/>
        <v>0</v>
      </c>
      <c r="GP50" s="2">
        <f t="shared" si="47"/>
        <v>0</v>
      </c>
      <c r="GQ50" s="2"/>
      <c r="GR50" s="2">
        <v>0</v>
      </c>
      <c r="GS50" s="2">
        <v>3</v>
      </c>
      <c r="GT50" s="2">
        <v>0</v>
      </c>
      <c r="GU50" s="2" t="s">
        <v>4</v>
      </c>
      <c r="GV50" s="2">
        <f t="shared" si="48"/>
        <v>0</v>
      </c>
      <c r="GW50" s="2">
        <v>1</v>
      </c>
      <c r="GX50" s="2">
        <f t="shared" si="49"/>
        <v>0</v>
      </c>
      <c r="GY50" s="2"/>
      <c r="GZ50" s="2"/>
      <c r="HA50" s="2">
        <v>0</v>
      </c>
      <c r="HB50" s="2">
        <v>0</v>
      </c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>
        <v>0</v>
      </c>
      <c r="IL50" s="2"/>
      <c r="IM50" s="2"/>
      <c r="IN50" s="2"/>
      <c r="IO50" s="2"/>
      <c r="IP50" s="2"/>
      <c r="IQ50" s="2"/>
      <c r="IR50" s="2"/>
      <c r="IS50" s="2"/>
      <c r="IT50" s="2"/>
      <c r="IU50" s="2"/>
    </row>
    <row r="51" spans="1:255" x14ac:dyDescent="0.2">
      <c r="A51">
        <v>18</v>
      </c>
      <c r="B51">
        <v>1</v>
      </c>
      <c r="C51">
        <v>73</v>
      </c>
      <c r="E51" t="s">
        <v>82</v>
      </c>
      <c r="F51" t="s">
        <v>83</v>
      </c>
      <c r="G51" t="s">
        <v>84</v>
      </c>
      <c r="H51" t="s">
        <v>67</v>
      </c>
      <c r="I51">
        <f>I41*J51</f>
        <v>0.02</v>
      </c>
      <c r="J51">
        <v>8.620689655172413E-2</v>
      </c>
      <c r="O51">
        <f t="shared" si="14"/>
        <v>15.56</v>
      </c>
      <c r="P51">
        <f t="shared" si="15"/>
        <v>15.56</v>
      </c>
      <c r="Q51">
        <f t="shared" si="16"/>
        <v>0</v>
      </c>
      <c r="R51">
        <f t="shared" si="17"/>
        <v>0</v>
      </c>
      <c r="S51">
        <f t="shared" si="18"/>
        <v>0</v>
      </c>
      <c r="T51">
        <f t="shared" si="19"/>
        <v>0</v>
      </c>
      <c r="U51">
        <f t="shared" si="20"/>
        <v>0</v>
      </c>
      <c r="V51">
        <f t="shared" si="21"/>
        <v>0</v>
      </c>
      <c r="W51">
        <f t="shared" si="22"/>
        <v>0</v>
      </c>
      <c r="X51">
        <f t="shared" si="23"/>
        <v>0</v>
      </c>
      <c r="Y51">
        <f t="shared" si="24"/>
        <v>0</v>
      </c>
      <c r="AA51">
        <v>16501255</v>
      </c>
      <c r="AB51">
        <f t="shared" si="25"/>
        <v>128</v>
      </c>
      <c r="AC51">
        <f t="shared" si="51"/>
        <v>128</v>
      </c>
      <c r="AD51">
        <f t="shared" si="55"/>
        <v>0</v>
      </c>
      <c r="AE51">
        <f t="shared" si="56"/>
        <v>0</v>
      </c>
      <c r="AF51">
        <f t="shared" si="57"/>
        <v>0</v>
      </c>
      <c r="AG51">
        <f t="shared" si="28"/>
        <v>0</v>
      </c>
      <c r="AH51">
        <f t="shared" si="58"/>
        <v>0</v>
      </c>
      <c r="AI51">
        <f t="shared" si="59"/>
        <v>0</v>
      </c>
      <c r="AJ51">
        <f t="shared" si="30"/>
        <v>0</v>
      </c>
      <c r="AK51">
        <v>128</v>
      </c>
      <c r="AL51">
        <v>128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111</v>
      </c>
      <c r="AU51">
        <v>64</v>
      </c>
      <c r="AV51">
        <v>1</v>
      </c>
      <c r="AW51">
        <v>1</v>
      </c>
      <c r="AZ51">
        <v>6.08</v>
      </c>
      <c r="BA51">
        <v>1</v>
      </c>
      <c r="BB51">
        <v>1</v>
      </c>
      <c r="BC51">
        <v>6.08</v>
      </c>
      <c r="BD51" t="s">
        <v>4</v>
      </c>
      <c r="BE51" t="s">
        <v>4</v>
      </c>
      <c r="BF51" t="s">
        <v>4</v>
      </c>
      <c r="BG51" t="s">
        <v>4</v>
      </c>
      <c r="BH51">
        <v>3</v>
      </c>
      <c r="BI51">
        <v>1</v>
      </c>
      <c r="BJ51" t="s">
        <v>85</v>
      </c>
      <c r="BM51">
        <v>11001</v>
      </c>
      <c r="BN51">
        <v>0</v>
      </c>
      <c r="BO51" t="s">
        <v>4</v>
      </c>
      <c r="BP51">
        <v>0</v>
      </c>
      <c r="BQ51">
        <v>2</v>
      </c>
      <c r="BR51">
        <v>0</v>
      </c>
      <c r="BS51">
        <v>1</v>
      </c>
      <c r="BT51">
        <v>1</v>
      </c>
      <c r="BU51">
        <v>1</v>
      </c>
      <c r="BV51">
        <v>1</v>
      </c>
      <c r="BW51">
        <v>1</v>
      </c>
      <c r="BX51">
        <v>1</v>
      </c>
      <c r="BY51" t="s">
        <v>4</v>
      </c>
      <c r="BZ51">
        <v>123</v>
      </c>
      <c r="CA51">
        <v>75</v>
      </c>
      <c r="CF51">
        <v>0</v>
      </c>
      <c r="CG51">
        <v>0</v>
      </c>
      <c r="CM51">
        <v>0</v>
      </c>
      <c r="CN51" t="s">
        <v>4</v>
      </c>
      <c r="CO51">
        <v>0</v>
      </c>
      <c r="CP51">
        <f t="shared" si="31"/>
        <v>15.56</v>
      </c>
      <c r="CQ51">
        <f t="shared" si="32"/>
        <v>778.24</v>
      </c>
      <c r="CR51">
        <f t="shared" si="33"/>
        <v>0</v>
      </c>
      <c r="CS51">
        <f t="shared" si="34"/>
        <v>0</v>
      </c>
      <c r="CT51">
        <f t="shared" si="35"/>
        <v>0</v>
      </c>
      <c r="CU51">
        <f t="shared" si="36"/>
        <v>0</v>
      </c>
      <c r="CV51">
        <f t="shared" si="37"/>
        <v>0</v>
      </c>
      <c r="CW51">
        <f t="shared" si="38"/>
        <v>0</v>
      </c>
      <c r="CX51">
        <f t="shared" si="39"/>
        <v>0</v>
      </c>
      <c r="CY51">
        <f t="shared" si="40"/>
        <v>0</v>
      </c>
      <c r="CZ51">
        <f t="shared" si="41"/>
        <v>0</v>
      </c>
      <c r="DC51" t="s">
        <v>4</v>
      </c>
      <c r="DD51" t="s">
        <v>4</v>
      </c>
      <c r="DE51" t="s">
        <v>4</v>
      </c>
      <c r="DF51" t="s">
        <v>4</v>
      </c>
      <c r="DG51" t="s">
        <v>4</v>
      </c>
      <c r="DH51" t="s">
        <v>4</v>
      </c>
      <c r="DI51" t="s">
        <v>4</v>
      </c>
      <c r="DJ51" t="s">
        <v>4</v>
      </c>
      <c r="DK51" t="s">
        <v>4</v>
      </c>
      <c r="DL51" t="s">
        <v>4</v>
      </c>
      <c r="DM51" t="s">
        <v>4</v>
      </c>
      <c r="DN51">
        <v>0</v>
      </c>
      <c r="DO51">
        <v>0</v>
      </c>
      <c r="DP51">
        <v>1</v>
      </c>
      <c r="DQ51">
        <v>1</v>
      </c>
      <c r="DU51">
        <v>1010</v>
      </c>
      <c r="DV51" t="s">
        <v>67</v>
      </c>
      <c r="DW51" t="s">
        <v>67</v>
      </c>
      <c r="DX51">
        <v>100</v>
      </c>
      <c r="EE51">
        <v>16510488</v>
      </c>
      <c r="EF51">
        <v>2</v>
      </c>
      <c r="EG51" t="s">
        <v>31</v>
      </c>
      <c r="EH51">
        <v>0</v>
      </c>
      <c r="EI51" t="s">
        <v>4</v>
      </c>
      <c r="EJ51">
        <v>1</v>
      </c>
      <c r="EK51">
        <v>11001</v>
      </c>
      <c r="EL51" t="s">
        <v>18</v>
      </c>
      <c r="EM51" t="s">
        <v>32</v>
      </c>
      <c r="EO51" t="s">
        <v>4</v>
      </c>
      <c r="EQ51">
        <v>0</v>
      </c>
      <c r="ER51">
        <v>128</v>
      </c>
      <c r="ES51">
        <v>128</v>
      </c>
      <c r="ET51">
        <v>0</v>
      </c>
      <c r="EU51">
        <v>0</v>
      </c>
      <c r="EV51">
        <v>0</v>
      </c>
      <c r="EW51">
        <v>0</v>
      </c>
      <c r="EX51">
        <v>0</v>
      </c>
      <c r="FQ51">
        <v>0</v>
      </c>
      <c r="FR51">
        <f t="shared" si="42"/>
        <v>0</v>
      </c>
      <c r="FS51">
        <v>0</v>
      </c>
      <c r="FT51" t="s">
        <v>34</v>
      </c>
      <c r="FU51" t="s">
        <v>35</v>
      </c>
      <c r="FX51">
        <v>110.7</v>
      </c>
      <c r="FY51">
        <v>63.75</v>
      </c>
      <c r="GA51" t="s">
        <v>4</v>
      </c>
      <c r="GD51">
        <v>0</v>
      </c>
      <c r="GF51">
        <v>1800897042</v>
      </c>
      <c r="GG51">
        <v>1</v>
      </c>
      <c r="GH51">
        <v>1</v>
      </c>
      <c r="GI51">
        <v>4</v>
      </c>
      <c r="GJ51">
        <v>0</v>
      </c>
      <c r="GK51">
        <f>ROUND(R51*(S12)/100,2)</f>
        <v>0</v>
      </c>
      <c r="GL51">
        <f t="shared" si="43"/>
        <v>0</v>
      </c>
      <c r="GM51">
        <f t="shared" si="44"/>
        <v>15.56</v>
      </c>
      <c r="GN51">
        <f t="shared" si="45"/>
        <v>15.56</v>
      </c>
      <c r="GO51">
        <f t="shared" si="46"/>
        <v>0</v>
      </c>
      <c r="GP51">
        <f t="shared" si="47"/>
        <v>0</v>
      </c>
      <c r="GR51">
        <v>0</v>
      </c>
      <c r="GS51">
        <v>3</v>
      </c>
      <c r="GT51">
        <v>0</v>
      </c>
      <c r="GU51" t="s">
        <v>4</v>
      </c>
      <c r="GV51">
        <f t="shared" si="48"/>
        <v>0</v>
      </c>
      <c r="GW51">
        <v>1</v>
      </c>
      <c r="GX51">
        <f t="shared" si="49"/>
        <v>0</v>
      </c>
      <c r="HA51">
        <v>0</v>
      </c>
      <c r="HB51">
        <v>0</v>
      </c>
      <c r="IK51">
        <v>0</v>
      </c>
    </row>
    <row r="52" spans="1:255" x14ac:dyDescent="0.2">
      <c r="A52" s="2">
        <v>18</v>
      </c>
      <c r="B52" s="2">
        <v>1</v>
      </c>
      <c r="C52" s="2">
        <v>62</v>
      </c>
      <c r="D52" s="2"/>
      <c r="E52" s="2" t="s">
        <v>86</v>
      </c>
      <c r="F52" s="2" t="s">
        <v>87</v>
      </c>
      <c r="G52" s="2" t="s">
        <v>88</v>
      </c>
      <c r="H52" s="2" t="s">
        <v>67</v>
      </c>
      <c r="I52" s="2">
        <f>I40*J52</f>
        <v>0.02</v>
      </c>
      <c r="J52" s="2">
        <v>8.620689655172413E-2</v>
      </c>
      <c r="K52" s="2"/>
      <c r="L52" s="2"/>
      <c r="M52" s="2"/>
      <c r="N52" s="2"/>
      <c r="O52" s="2">
        <f t="shared" si="14"/>
        <v>2.56</v>
      </c>
      <c r="P52" s="2">
        <f t="shared" si="15"/>
        <v>2.56</v>
      </c>
      <c r="Q52" s="2">
        <f t="shared" si="16"/>
        <v>0</v>
      </c>
      <c r="R52" s="2">
        <f t="shared" si="17"/>
        <v>0</v>
      </c>
      <c r="S52" s="2">
        <f t="shared" si="18"/>
        <v>0</v>
      </c>
      <c r="T52" s="2">
        <f t="shared" si="19"/>
        <v>0</v>
      </c>
      <c r="U52" s="2">
        <f t="shared" si="20"/>
        <v>0</v>
      </c>
      <c r="V52" s="2">
        <f t="shared" si="21"/>
        <v>0</v>
      </c>
      <c r="W52" s="2">
        <f t="shared" si="22"/>
        <v>0</v>
      </c>
      <c r="X52" s="2">
        <f t="shared" si="23"/>
        <v>0</v>
      </c>
      <c r="Y52" s="2">
        <f t="shared" si="24"/>
        <v>0</v>
      </c>
      <c r="Z52" s="2"/>
      <c r="AA52" s="2">
        <v>16501254</v>
      </c>
      <c r="AB52" s="2">
        <f t="shared" si="25"/>
        <v>128</v>
      </c>
      <c r="AC52" s="2">
        <f t="shared" si="51"/>
        <v>128</v>
      </c>
      <c r="AD52" s="2">
        <f t="shared" si="55"/>
        <v>0</v>
      </c>
      <c r="AE52" s="2">
        <f t="shared" si="56"/>
        <v>0</v>
      </c>
      <c r="AF52" s="2">
        <f t="shared" si="57"/>
        <v>0</v>
      </c>
      <c r="AG52" s="2">
        <f t="shared" si="28"/>
        <v>0</v>
      </c>
      <c r="AH52" s="2">
        <f t="shared" si="58"/>
        <v>0</v>
      </c>
      <c r="AI52" s="2">
        <f t="shared" si="59"/>
        <v>0</v>
      </c>
      <c r="AJ52" s="2">
        <f t="shared" si="30"/>
        <v>0</v>
      </c>
      <c r="AK52" s="2">
        <v>128</v>
      </c>
      <c r="AL52" s="2">
        <v>128</v>
      </c>
      <c r="AM52" s="2">
        <v>0</v>
      </c>
      <c r="AN52" s="2">
        <v>0</v>
      </c>
      <c r="AO52" s="2">
        <v>0</v>
      </c>
      <c r="AP52" s="2">
        <v>0</v>
      </c>
      <c r="AQ52" s="2">
        <v>0</v>
      </c>
      <c r="AR52" s="2">
        <v>0</v>
      </c>
      <c r="AS52" s="2">
        <v>0</v>
      </c>
      <c r="AT52" s="2">
        <v>111</v>
      </c>
      <c r="AU52" s="2">
        <v>64</v>
      </c>
      <c r="AV52" s="2">
        <v>1</v>
      </c>
      <c r="AW52" s="2">
        <v>1</v>
      </c>
      <c r="AX52" s="2"/>
      <c r="AY52" s="2"/>
      <c r="AZ52" s="2">
        <v>1</v>
      </c>
      <c r="BA52" s="2">
        <v>1</v>
      </c>
      <c r="BB52" s="2">
        <v>1</v>
      </c>
      <c r="BC52" s="2">
        <v>1</v>
      </c>
      <c r="BD52" s="2" t="s">
        <v>4</v>
      </c>
      <c r="BE52" s="2" t="s">
        <v>4</v>
      </c>
      <c r="BF52" s="2" t="s">
        <v>4</v>
      </c>
      <c r="BG52" s="2" t="s">
        <v>4</v>
      </c>
      <c r="BH52" s="2">
        <v>3</v>
      </c>
      <c r="BI52" s="2">
        <v>1</v>
      </c>
      <c r="BJ52" s="2" t="s">
        <v>89</v>
      </c>
      <c r="BK52" s="2"/>
      <c r="BL52" s="2"/>
      <c r="BM52" s="2">
        <v>11001</v>
      </c>
      <c r="BN52" s="2">
        <v>0</v>
      </c>
      <c r="BO52" s="2" t="s">
        <v>4</v>
      </c>
      <c r="BP52" s="2">
        <v>0</v>
      </c>
      <c r="BQ52" s="2">
        <v>2</v>
      </c>
      <c r="BR52" s="2">
        <v>0</v>
      </c>
      <c r="BS52" s="2">
        <v>1</v>
      </c>
      <c r="BT52" s="2">
        <v>1</v>
      </c>
      <c r="BU52" s="2">
        <v>1</v>
      </c>
      <c r="BV52" s="2">
        <v>1</v>
      </c>
      <c r="BW52" s="2">
        <v>1</v>
      </c>
      <c r="BX52" s="2">
        <v>1</v>
      </c>
      <c r="BY52" s="2" t="s">
        <v>4</v>
      </c>
      <c r="BZ52" s="2">
        <v>123</v>
      </c>
      <c r="CA52" s="2">
        <v>75</v>
      </c>
      <c r="CB52" s="2"/>
      <c r="CC52" s="2"/>
      <c r="CD52" s="2"/>
      <c r="CE52" s="2"/>
      <c r="CF52" s="2">
        <v>0</v>
      </c>
      <c r="CG52" s="2">
        <v>0</v>
      </c>
      <c r="CH52" s="2"/>
      <c r="CI52" s="2"/>
      <c r="CJ52" s="2"/>
      <c r="CK52" s="2"/>
      <c r="CL52" s="2"/>
      <c r="CM52" s="2">
        <v>0</v>
      </c>
      <c r="CN52" s="2" t="s">
        <v>4</v>
      </c>
      <c r="CO52" s="2">
        <v>0</v>
      </c>
      <c r="CP52" s="2">
        <f t="shared" si="31"/>
        <v>2.56</v>
      </c>
      <c r="CQ52" s="2">
        <f t="shared" si="32"/>
        <v>128</v>
      </c>
      <c r="CR52" s="2">
        <f t="shared" si="33"/>
        <v>0</v>
      </c>
      <c r="CS52" s="2">
        <f t="shared" si="34"/>
        <v>0</v>
      </c>
      <c r="CT52" s="2">
        <f t="shared" si="35"/>
        <v>0</v>
      </c>
      <c r="CU52" s="2">
        <f t="shared" si="36"/>
        <v>0</v>
      </c>
      <c r="CV52" s="2">
        <f t="shared" si="37"/>
        <v>0</v>
      </c>
      <c r="CW52" s="2">
        <f t="shared" si="38"/>
        <v>0</v>
      </c>
      <c r="CX52" s="2">
        <f t="shared" si="39"/>
        <v>0</v>
      </c>
      <c r="CY52" s="2">
        <f t="shared" si="40"/>
        <v>0</v>
      </c>
      <c r="CZ52" s="2">
        <f t="shared" si="41"/>
        <v>0</v>
      </c>
      <c r="DA52" s="2"/>
      <c r="DB52" s="2"/>
      <c r="DC52" s="2" t="s">
        <v>4</v>
      </c>
      <c r="DD52" s="2" t="s">
        <v>4</v>
      </c>
      <c r="DE52" s="2" t="s">
        <v>4</v>
      </c>
      <c r="DF52" s="2" t="s">
        <v>4</v>
      </c>
      <c r="DG52" s="2" t="s">
        <v>4</v>
      </c>
      <c r="DH52" s="2" t="s">
        <v>4</v>
      </c>
      <c r="DI52" s="2" t="s">
        <v>4</v>
      </c>
      <c r="DJ52" s="2" t="s">
        <v>4</v>
      </c>
      <c r="DK52" s="2" t="s">
        <v>4</v>
      </c>
      <c r="DL52" s="2" t="s">
        <v>4</v>
      </c>
      <c r="DM52" s="2" t="s">
        <v>4</v>
      </c>
      <c r="DN52" s="2">
        <v>0</v>
      </c>
      <c r="DO52" s="2">
        <v>0</v>
      </c>
      <c r="DP52" s="2">
        <v>1</v>
      </c>
      <c r="DQ52" s="2">
        <v>1</v>
      </c>
      <c r="DR52" s="2"/>
      <c r="DS52" s="2"/>
      <c r="DT52" s="2"/>
      <c r="DU52" s="2">
        <v>1010</v>
      </c>
      <c r="DV52" s="2" t="s">
        <v>67</v>
      </c>
      <c r="DW52" s="2" t="s">
        <v>67</v>
      </c>
      <c r="DX52" s="2">
        <v>100</v>
      </c>
      <c r="DY52" s="2"/>
      <c r="DZ52" s="2"/>
      <c r="EA52" s="2"/>
      <c r="EB52" s="2"/>
      <c r="EC52" s="2"/>
      <c r="ED52" s="2"/>
      <c r="EE52" s="2">
        <v>16510488</v>
      </c>
      <c r="EF52" s="2">
        <v>2</v>
      </c>
      <c r="EG52" s="2" t="s">
        <v>31</v>
      </c>
      <c r="EH52" s="2">
        <v>0</v>
      </c>
      <c r="EI52" s="2" t="s">
        <v>4</v>
      </c>
      <c r="EJ52" s="2">
        <v>1</v>
      </c>
      <c r="EK52" s="2">
        <v>11001</v>
      </c>
      <c r="EL52" s="2" t="s">
        <v>18</v>
      </c>
      <c r="EM52" s="2" t="s">
        <v>32</v>
      </c>
      <c r="EN52" s="2"/>
      <c r="EO52" s="2" t="s">
        <v>4</v>
      </c>
      <c r="EP52" s="2"/>
      <c r="EQ52" s="2">
        <v>0</v>
      </c>
      <c r="ER52" s="2">
        <v>128</v>
      </c>
      <c r="ES52" s="2">
        <v>128</v>
      </c>
      <c r="ET52" s="2">
        <v>0</v>
      </c>
      <c r="EU52" s="2">
        <v>0</v>
      </c>
      <c r="EV52" s="2">
        <v>0</v>
      </c>
      <c r="EW52" s="2">
        <v>0</v>
      </c>
      <c r="EX52" s="2">
        <v>0</v>
      </c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>
        <v>0</v>
      </c>
      <c r="FR52" s="2">
        <f t="shared" si="42"/>
        <v>0</v>
      </c>
      <c r="FS52" s="2">
        <v>0</v>
      </c>
      <c r="FT52" s="2" t="s">
        <v>34</v>
      </c>
      <c r="FU52" s="2" t="s">
        <v>35</v>
      </c>
      <c r="FV52" s="2"/>
      <c r="FW52" s="2"/>
      <c r="FX52" s="2">
        <v>110.7</v>
      </c>
      <c r="FY52" s="2">
        <v>63.75</v>
      </c>
      <c r="FZ52" s="2"/>
      <c r="GA52" s="2" t="s">
        <v>4</v>
      </c>
      <c r="GB52" s="2"/>
      <c r="GC52" s="2"/>
      <c r="GD52" s="2">
        <v>0</v>
      </c>
      <c r="GE52" s="2"/>
      <c r="GF52" s="2">
        <v>952646044</v>
      </c>
      <c r="GG52" s="2">
        <v>2</v>
      </c>
      <c r="GH52" s="2">
        <v>1</v>
      </c>
      <c r="GI52" s="2">
        <v>-2</v>
      </c>
      <c r="GJ52" s="2">
        <v>0</v>
      </c>
      <c r="GK52" s="2">
        <f>ROUND(R52*(R12)/100,2)</f>
        <v>0</v>
      </c>
      <c r="GL52" s="2">
        <f t="shared" si="43"/>
        <v>0</v>
      </c>
      <c r="GM52" s="2">
        <f t="shared" si="44"/>
        <v>2.56</v>
      </c>
      <c r="GN52" s="2">
        <f t="shared" si="45"/>
        <v>2.56</v>
      </c>
      <c r="GO52" s="2">
        <f t="shared" si="46"/>
        <v>0</v>
      </c>
      <c r="GP52" s="2">
        <f t="shared" si="47"/>
        <v>0</v>
      </c>
      <c r="GQ52" s="2"/>
      <c r="GR52" s="2">
        <v>0</v>
      </c>
      <c r="GS52" s="2">
        <v>3</v>
      </c>
      <c r="GT52" s="2">
        <v>0</v>
      </c>
      <c r="GU52" s="2" t="s">
        <v>4</v>
      </c>
      <c r="GV52" s="2">
        <f t="shared" si="48"/>
        <v>0</v>
      </c>
      <c r="GW52" s="2">
        <v>1</v>
      </c>
      <c r="GX52" s="2">
        <f t="shared" si="49"/>
        <v>0</v>
      </c>
      <c r="GY52" s="2"/>
      <c r="GZ52" s="2"/>
      <c r="HA52" s="2">
        <v>0</v>
      </c>
      <c r="HB52" s="2">
        <v>0</v>
      </c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  <c r="IG52" s="2"/>
      <c r="IH52" s="2"/>
      <c r="II52" s="2"/>
      <c r="IJ52" s="2"/>
      <c r="IK52" s="2">
        <v>0</v>
      </c>
      <c r="IL52" s="2"/>
      <c r="IM52" s="2"/>
      <c r="IN52" s="2"/>
      <c r="IO52" s="2"/>
      <c r="IP52" s="2"/>
      <c r="IQ52" s="2"/>
      <c r="IR52" s="2"/>
      <c r="IS52" s="2"/>
      <c r="IT52" s="2"/>
      <c r="IU52" s="2"/>
    </row>
    <row r="53" spans="1:255" x14ac:dyDescent="0.2">
      <c r="A53">
        <v>18</v>
      </c>
      <c r="B53">
        <v>1</v>
      </c>
      <c r="C53">
        <v>74</v>
      </c>
      <c r="E53" t="s">
        <v>86</v>
      </c>
      <c r="F53" t="s">
        <v>87</v>
      </c>
      <c r="G53" t="s">
        <v>88</v>
      </c>
      <c r="H53" t="s">
        <v>67</v>
      </c>
      <c r="I53">
        <f>I41*J53</f>
        <v>0.02</v>
      </c>
      <c r="J53">
        <v>8.620689655172413E-2</v>
      </c>
      <c r="O53">
        <f t="shared" si="14"/>
        <v>15.56</v>
      </c>
      <c r="P53">
        <f t="shared" si="15"/>
        <v>15.56</v>
      </c>
      <c r="Q53">
        <f t="shared" si="16"/>
        <v>0</v>
      </c>
      <c r="R53">
        <f t="shared" si="17"/>
        <v>0</v>
      </c>
      <c r="S53">
        <f t="shared" si="18"/>
        <v>0</v>
      </c>
      <c r="T53">
        <f t="shared" si="19"/>
        <v>0</v>
      </c>
      <c r="U53">
        <f t="shared" si="20"/>
        <v>0</v>
      </c>
      <c r="V53">
        <f t="shared" si="21"/>
        <v>0</v>
      </c>
      <c r="W53">
        <f t="shared" si="22"/>
        <v>0</v>
      </c>
      <c r="X53">
        <f t="shared" si="23"/>
        <v>0</v>
      </c>
      <c r="Y53">
        <f t="shared" si="24"/>
        <v>0</v>
      </c>
      <c r="AA53">
        <v>16501255</v>
      </c>
      <c r="AB53">
        <f t="shared" si="25"/>
        <v>128</v>
      </c>
      <c r="AC53">
        <f t="shared" si="51"/>
        <v>128</v>
      </c>
      <c r="AD53">
        <f t="shared" si="55"/>
        <v>0</v>
      </c>
      <c r="AE53">
        <f t="shared" si="56"/>
        <v>0</v>
      </c>
      <c r="AF53">
        <f t="shared" si="57"/>
        <v>0</v>
      </c>
      <c r="AG53">
        <f t="shared" si="28"/>
        <v>0</v>
      </c>
      <c r="AH53">
        <f t="shared" si="58"/>
        <v>0</v>
      </c>
      <c r="AI53">
        <f t="shared" si="59"/>
        <v>0</v>
      </c>
      <c r="AJ53">
        <f t="shared" si="30"/>
        <v>0</v>
      </c>
      <c r="AK53">
        <v>128</v>
      </c>
      <c r="AL53">
        <v>128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111</v>
      </c>
      <c r="AU53">
        <v>64</v>
      </c>
      <c r="AV53">
        <v>1</v>
      </c>
      <c r="AW53">
        <v>1</v>
      </c>
      <c r="AZ53">
        <v>6.08</v>
      </c>
      <c r="BA53">
        <v>1</v>
      </c>
      <c r="BB53">
        <v>1</v>
      </c>
      <c r="BC53">
        <v>6.08</v>
      </c>
      <c r="BD53" t="s">
        <v>4</v>
      </c>
      <c r="BE53" t="s">
        <v>4</v>
      </c>
      <c r="BF53" t="s">
        <v>4</v>
      </c>
      <c r="BG53" t="s">
        <v>4</v>
      </c>
      <c r="BH53">
        <v>3</v>
      </c>
      <c r="BI53">
        <v>1</v>
      </c>
      <c r="BJ53" t="s">
        <v>89</v>
      </c>
      <c r="BM53">
        <v>11001</v>
      </c>
      <c r="BN53">
        <v>0</v>
      </c>
      <c r="BO53" t="s">
        <v>4</v>
      </c>
      <c r="BP53">
        <v>0</v>
      </c>
      <c r="BQ53">
        <v>2</v>
      </c>
      <c r="BR53">
        <v>0</v>
      </c>
      <c r="BS53">
        <v>1</v>
      </c>
      <c r="BT53">
        <v>1</v>
      </c>
      <c r="BU53">
        <v>1</v>
      </c>
      <c r="BV53">
        <v>1</v>
      </c>
      <c r="BW53">
        <v>1</v>
      </c>
      <c r="BX53">
        <v>1</v>
      </c>
      <c r="BY53" t="s">
        <v>4</v>
      </c>
      <c r="BZ53">
        <v>123</v>
      </c>
      <c r="CA53">
        <v>75</v>
      </c>
      <c r="CF53">
        <v>0</v>
      </c>
      <c r="CG53">
        <v>0</v>
      </c>
      <c r="CM53">
        <v>0</v>
      </c>
      <c r="CN53" t="s">
        <v>4</v>
      </c>
      <c r="CO53">
        <v>0</v>
      </c>
      <c r="CP53">
        <f t="shared" si="31"/>
        <v>15.56</v>
      </c>
      <c r="CQ53">
        <f t="shared" si="32"/>
        <v>778.24</v>
      </c>
      <c r="CR53">
        <f t="shared" si="33"/>
        <v>0</v>
      </c>
      <c r="CS53">
        <f t="shared" si="34"/>
        <v>0</v>
      </c>
      <c r="CT53">
        <f t="shared" si="35"/>
        <v>0</v>
      </c>
      <c r="CU53">
        <f t="shared" si="36"/>
        <v>0</v>
      </c>
      <c r="CV53">
        <f t="shared" si="37"/>
        <v>0</v>
      </c>
      <c r="CW53">
        <f t="shared" si="38"/>
        <v>0</v>
      </c>
      <c r="CX53">
        <f t="shared" si="39"/>
        <v>0</v>
      </c>
      <c r="CY53">
        <f t="shared" si="40"/>
        <v>0</v>
      </c>
      <c r="CZ53">
        <f t="shared" si="41"/>
        <v>0</v>
      </c>
      <c r="DC53" t="s">
        <v>4</v>
      </c>
      <c r="DD53" t="s">
        <v>4</v>
      </c>
      <c r="DE53" t="s">
        <v>4</v>
      </c>
      <c r="DF53" t="s">
        <v>4</v>
      </c>
      <c r="DG53" t="s">
        <v>4</v>
      </c>
      <c r="DH53" t="s">
        <v>4</v>
      </c>
      <c r="DI53" t="s">
        <v>4</v>
      </c>
      <c r="DJ53" t="s">
        <v>4</v>
      </c>
      <c r="DK53" t="s">
        <v>4</v>
      </c>
      <c r="DL53" t="s">
        <v>4</v>
      </c>
      <c r="DM53" t="s">
        <v>4</v>
      </c>
      <c r="DN53">
        <v>0</v>
      </c>
      <c r="DO53">
        <v>0</v>
      </c>
      <c r="DP53">
        <v>1</v>
      </c>
      <c r="DQ53">
        <v>1</v>
      </c>
      <c r="DU53">
        <v>1010</v>
      </c>
      <c r="DV53" t="s">
        <v>67</v>
      </c>
      <c r="DW53" t="s">
        <v>67</v>
      </c>
      <c r="DX53">
        <v>100</v>
      </c>
      <c r="EE53">
        <v>16510488</v>
      </c>
      <c r="EF53">
        <v>2</v>
      </c>
      <c r="EG53" t="s">
        <v>31</v>
      </c>
      <c r="EH53">
        <v>0</v>
      </c>
      <c r="EI53" t="s">
        <v>4</v>
      </c>
      <c r="EJ53">
        <v>1</v>
      </c>
      <c r="EK53">
        <v>11001</v>
      </c>
      <c r="EL53" t="s">
        <v>18</v>
      </c>
      <c r="EM53" t="s">
        <v>32</v>
      </c>
      <c r="EO53" t="s">
        <v>4</v>
      </c>
      <c r="EQ53">
        <v>0</v>
      </c>
      <c r="ER53">
        <v>128</v>
      </c>
      <c r="ES53">
        <v>128</v>
      </c>
      <c r="ET53">
        <v>0</v>
      </c>
      <c r="EU53">
        <v>0</v>
      </c>
      <c r="EV53">
        <v>0</v>
      </c>
      <c r="EW53">
        <v>0</v>
      </c>
      <c r="EX53">
        <v>0</v>
      </c>
      <c r="FQ53">
        <v>0</v>
      </c>
      <c r="FR53">
        <f t="shared" si="42"/>
        <v>0</v>
      </c>
      <c r="FS53">
        <v>0</v>
      </c>
      <c r="FT53" t="s">
        <v>34</v>
      </c>
      <c r="FU53" t="s">
        <v>35</v>
      </c>
      <c r="FX53">
        <v>110.7</v>
      </c>
      <c r="FY53">
        <v>63.75</v>
      </c>
      <c r="GA53" t="s">
        <v>4</v>
      </c>
      <c r="GD53">
        <v>0</v>
      </c>
      <c r="GF53">
        <v>952646044</v>
      </c>
      <c r="GG53">
        <v>1</v>
      </c>
      <c r="GH53">
        <v>1</v>
      </c>
      <c r="GI53">
        <v>4</v>
      </c>
      <c r="GJ53">
        <v>0</v>
      </c>
      <c r="GK53">
        <f>ROUND(R53*(S12)/100,2)</f>
        <v>0</v>
      </c>
      <c r="GL53">
        <f t="shared" si="43"/>
        <v>0</v>
      </c>
      <c r="GM53">
        <f t="shared" si="44"/>
        <v>15.56</v>
      </c>
      <c r="GN53">
        <f t="shared" si="45"/>
        <v>15.56</v>
      </c>
      <c r="GO53">
        <f t="shared" si="46"/>
        <v>0</v>
      </c>
      <c r="GP53">
        <f t="shared" si="47"/>
        <v>0</v>
      </c>
      <c r="GR53">
        <v>0</v>
      </c>
      <c r="GS53">
        <v>3</v>
      </c>
      <c r="GT53">
        <v>0</v>
      </c>
      <c r="GU53" t="s">
        <v>4</v>
      </c>
      <c r="GV53">
        <f t="shared" si="48"/>
        <v>0</v>
      </c>
      <c r="GW53">
        <v>1</v>
      </c>
      <c r="GX53">
        <f t="shared" si="49"/>
        <v>0</v>
      </c>
      <c r="HA53">
        <v>0</v>
      </c>
      <c r="HB53">
        <v>0</v>
      </c>
      <c r="IK53">
        <v>0</v>
      </c>
    </row>
    <row r="54" spans="1:255" x14ac:dyDescent="0.2">
      <c r="A54" s="2">
        <v>17</v>
      </c>
      <c r="B54" s="2">
        <v>1</v>
      </c>
      <c r="C54" s="2">
        <f>ROW(SmtRes!A75)</f>
        <v>75</v>
      </c>
      <c r="D54" s="2">
        <f>ROW(EtalonRes!A77)</f>
        <v>77</v>
      </c>
      <c r="E54" s="2" t="s">
        <v>90</v>
      </c>
      <c r="F54" s="2" t="s">
        <v>91</v>
      </c>
      <c r="G54" s="2" t="s">
        <v>92</v>
      </c>
      <c r="H54" s="2" t="s">
        <v>50</v>
      </c>
      <c r="I54" s="2">
        <v>114.5</v>
      </c>
      <c r="J54" s="2">
        <v>0</v>
      </c>
      <c r="K54" s="2"/>
      <c r="L54" s="2"/>
      <c r="M54" s="2"/>
      <c r="N54" s="2"/>
      <c r="O54" s="2">
        <f t="shared" si="14"/>
        <v>1011.26</v>
      </c>
      <c r="P54" s="2">
        <f t="shared" si="15"/>
        <v>0</v>
      </c>
      <c r="Q54" s="2">
        <f t="shared" si="16"/>
        <v>0</v>
      </c>
      <c r="R54" s="2">
        <f t="shared" si="17"/>
        <v>0</v>
      </c>
      <c r="S54" s="2">
        <f t="shared" si="18"/>
        <v>1011.26</v>
      </c>
      <c r="T54" s="2">
        <f t="shared" si="19"/>
        <v>0</v>
      </c>
      <c r="U54" s="2">
        <f t="shared" si="20"/>
        <v>118.50749999999999</v>
      </c>
      <c r="V54" s="2">
        <f t="shared" si="21"/>
        <v>0</v>
      </c>
      <c r="W54" s="2">
        <f t="shared" si="22"/>
        <v>0</v>
      </c>
      <c r="X54" s="2">
        <f t="shared" si="23"/>
        <v>819.12</v>
      </c>
      <c r="Y54" s="2">
        <f t="shared" si="24"/>
        <v>606.76</v>
      </c>
      <c r="Z54" s="2"/>
      <c r="AA54" s="2">
        <v>16501254</v>
      </c>
      <c r="AB54" s="2">
        <f t="shared" si="25"/>
        <v>8.8320000000000007</v>
      </c>
      <c r="AC54" s="2">
        <f t="shared" si="51"/>
        <v>0</v>
      </c>
      <c r="AD54" s="2">
        <f>ROUND(((((ET54*1.25))-((EU54*1.25)))+AE54),6)</f>
        <v>0</v>
      </c>
      <c r="AE54" s="2">
        <f>ROUND(((EU54*1.25)),6)</f>
        <v>0</v>
      </c>
      <c r="AF54" s="2">
        <f>ROUND(((EV54*1.15)),6)</f>
        <v>8.8320000000000007</v>
      </c>
      <c r="AG54" s="2">
        <f t="shared" si="28"/>
        <v>0</v>
      </c>
      <c r="AH54" s="2">
        <f>((EW54*1.15))</f>
        <v>1.0349999999999999</v>
      </c>
      <c r="AI54" s="2">
        <f>((EX54*1.25))</f>
        <v>0</v>
      </c>
      <c r="AJ54" s="2">
        <f t="shared" si="30"/>
        <v>0</v>
      </c>
      <c r="AK54" s="2">
        <v>7.68</v>
      </c>
      <c r="AL54" s="2">
        <v>0</v>
      </c>
      <c r="AM54" s="2">
        <v>0</v>
      </c>
      <c r="AN54" s="2">
        <v>0</v>
      </c>
      <c r="AO54" s="2">
        <v>7.68</v>
      </c>
      <c r="AP54" s="2">
        <v>0</v>
      </c>
      <c r="AQ54" s="2">
        <v>0.9</v>
      </c>
      <c r="AR54" s="2">
        <v>0</v>
      </c>
      <c r="AS54" s="2">
        <v>0</v>
      </c>
      <c r="AT54" s="2">
        <v>81</v>
      </c>
      <c r="AU54" s="2">
        <v>60</v>
      </c>
      <c r="AV54" s="2">
        <v>1</v>
      </c>
      <c r="AW54" s="2">
        <v>1</v>
      </c>
      <c r="AX54" s="2"/>
      <c r="AY54" s="2"/>
      <c r="AZ54" s="2">
        <v>1</v>
      </c>
      <c r="BA54" s="2">
        <v>1</v>
      </c>
      <c r="BB54" s="2">
        <v>1</v>
      </c>
      <c r="BC54" s="2">
        <v>1</v>
      </c>
      <c r="BD54" s="2" t="s">
        <v>4</v>
      </c>
      <c r="BE54" s="2" t="s">
        <v>4</v>
      </c>
      <c r="BF54" s="2" t="s">
        <v>4</v>
      </c>
      <c r="BG54" s="2" t="s">
        <v>4</v>
      </c>
      <c r="BH54" s="2">
        <v>0</v>
      </c>
      <c r="BI54" s="2">
        <v>1</v>
      </c>
      <c r="BJ54" s="2" t="s">
        <v>93</v>
      </c>
      <c r="BK54" s="2"/>
      <c r="BL54" s="2"/>
      <c r="BM54" s="2">
        <v>13001</v>
      </c>
      <c r="BN54" s="2">
        <v>0</v>
      </c>
      <c r="BO54" s="2" t="s">
        <v>4</v>
      </c>
      <c r="BP54" s="2">
        <v>0</v>
      </c>
      <c r="BQ54" s="2">
        <v>2</v>
      </c>
      <c r="BR54" s="2">
        <v>0</v>
      </c>
      <c r="BS54" s="2">
        <v>1</v>
      </c>
      <c r="BT54" s="2">
        <v>1</v>
      </c>
      <c r="BU54" s="2">
        <v>1</v>
      </c>
      <c r="BV54" s="2">
        <v>1</v>
      </c>
      <c r="BW54" s="2">
        <v>1</v>
      </c>
      <c r="BX54" s="2">
        <v>1</v>
      </c>
      <c r="BY54" s="2" t="s">
        <v>4</v>
      </c>
      <c r="BZ54" s="2">
        <v>90</v>
      </c>
      <c r="CA54" s="2">
        <v>70</v>
      </c>
      <c r="CB54" s="2"/>
      <c r="CC54" s="2"/>
      <c r="CD54" s="2"/>
      <c r="CE54" s="2"/>
      <c r="CF54" s="2">
        <v>0</v>
      </c>
      <c r="CG54" s="2">
        <v>0</v>
      </c>
      <c r="CH54" s="2"/>
      <c r="CI54" s="2"/>
      <c r="CJ54" s="2"/>
      <c r="CK54" s="2"/>
      <c r="CL54" s="2"/>
      <c r="CM54" s="2">
        <v>0</v>
      </c>
      <c r="CN54" s="2" t="s">
        <v>323</v>
      </c>
      <c r="CO54" s="2">
        <v>0</v>
      </c>
      <c r="CP54" s="2">
        <f t="shared" si="31"/>
        <v>1011.26</v>
      </c>
      <c r="CQ54" s="2">
        <f t="shared" si="32"/>
        <v>0</v>
      </c>
      <c r="CR54" s="2">
        <f t="shared" si="33"/>
        <v>0</v>
      </c>
      <c r="CS54" s="2">
        <f t="shared" si="34"/>
        <v>0</v>
      </c>
      <c r="CT54" s="2">
        <f t="shared" si="35"/>
        <v>8.8320000000000007</v>
      </c>
      <c r="CU54" s="2">
        <f t="shared" si="36"/>
        <v>0</v>
      </c>
      <c r="CV54" s="2">
        <f t="shared" si="37"/>
        <v>1.0349999999999999</v>
      </c>
      <c r="CW54" s="2">
        <f t="shared" si="38"/>
        <v>0</v>
      </c>
      <c r="CX54" s="2">
        <f t="shared" si="39"/>
        <v>0</v>
      </c>
      <c r="CY54" s="2">
        <f t="shared" si="40"/>
        <v>819.12059999999997</v>
      </c>
      <c r="CZ54" s="2">
        <f t="shared" si="41"/>
        <v>606.75599999999997</v>
      </c>
      <c r="DA54" s="2"/>
      <c r="DB54" s="2"/>
      <c r="DC54" s="2" t="s">
        <v>4</v>
      </c>
      <c r="DD54" s="2" t="s">
        <v>4</v>
      </c>
      <c r="DE54" s="2" t="s">
        <v>29</v>
      </c>
      <c r="DF54" s="2" t="s">
        <v>29</v>
      </c>
      <c r="DG54" s="2" t="s">
        <v>30</v>
      </c>
      <c r="DH54" s="2" t="s">
        <v>4</v>
      </c>
      <c r="DI54" s="2" t="s">
        <v>30</v>
      </c>
      <c r="DJ54" s="2" t="s">
        <v>29</v>
      </c>
      <c r="DK54" s="2" t="s">
        <v>4</v>
      </c>
      <c r="DL54" s="2" t="s">
        <v>4</v>
      </c>
      <c r="DM54" s="2" t="s">
        <v>4</v>
      </c>
      <c r="DN54" s="2">
        <v>0</v>
      </c>
      <c r="DO54" s="2">
        <v>0</v>
      </c>
      <c r="DP54" s="2">
        <v>1</v>
      </c>
      <c r="DQ54" s="2">
        <v>1</v>
      </c>
      <c r="DR54" s="2"/>
      <c r="DS54" s="2"/>
      <c r="DT54" s="2"/>
      <c r="DU54" s="2">
        <v>1005</v>
      </c>
      <c r="DV54" s="2" t="s">
        <v>50</v>
      </c>
      <c r="DW54" s="2" t="s">
        <v>50</v>
      </c>
      <c r="DX54" s="2">
        <v>1</v>
      </c>
      <c r="DY54" s="2"/>
      <c r="DZ54" s="2"/>
      <c r="EA54" s="2"/>
      <c r="EB54" s="2"/>
      <c r="EC54" s="2"/>
      <c r="ED54" s="2"/>
      <c r="EE54" s="2">
        <v>16510490</v>
      </c>
      <c r="EF54" s="2">
        <v>2</v>
      </c>
      <c r="EG54" s="2" t="s">
        <v>31</v>
      </c>
      <c r="EH54" s="2">
        <v>0</v>
      </c>
      <c r="EI54" s="2" t="s">
        <v>4</v>
      </c>
      <c r="EJ54" s="2">
        <v>1</v>
      </c>
      <c r="EK54" s="2">
        <v>13001</v>
      </c>
      <c r="EL54" s="2" t="s">
        <v>94</v>
      </c>
      <c r="EM54" s="2" t="s">
        <v>95</v>
      </c>
      <c r="EN54" s="2"/>
      <c r="EO54" s="2" t="s">
        <v>33</v>
      </c>
      <c r="EP54" s="2"/>
      <c r="EQ54" s="2">
        <v>0</v>
      </c>
      <c r="ER54" s="2">
        <v>7.68</v>
      </c>
      <c r="ES54" s="2">
        <v>0</v>
      </c>
      <c r="ET54" s="2">
        <v>0</v>
      </c>
      <c r="EU54" s="2">
        <v>0</v>
      </c>
      <c r="EV54" s="2">
        <v>7.68</v>
      </c>
      <c r="EW54" s="2">
        <v>0.9</v>
      </c>
      <c r="EX54" s="2">
        <v>0</v>
      </c>
      <c r="EY54" s="2">
        <v>0</v>
      </c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>
        <v>0</v>
      </c>
      <c r="FR54" s="2">
        <f t="shared" si="42"/>
        <v>0</v>
      </c>
      <c r="FS54" s="2">
        <v>0</v>
      </c>
      <c r="FT54" s="2" t="s">
        <v>34</v>
      </c>
      <c r="FU54" s="2" t="s">
        <v>35</v>
      </c>
      <c r="FV54" s="2"/>
      <c r="FW54" s="2"/>
      <c r="FX54" s="2">
        <v>81</v>
      </c>
      <c r="FY54" s="2">
        <v>59.5</v>
      </c>
      <c r="FZ54" s="2"/>
      <c r="GA54" s="2" t="s">
        <v>4</v>
      </c>
      <c r="GB54" s="2"/>
      <c r="GC54" s="2"/>
      <c r="GD54" s="2">
        <v>0</v>
      </c>
      <c r="GE54" s="2"/>
      <c r="GF54" s="2">
        <v>-1482825381</v>
      </c>
      <c r="GG54" s="2">
        <v>2</v>
      </c>
      <c r="GH54" s="2">
        <v>1</v>
      </c>
      <c r="GI54" s="2">
        <v>-2</v>
      </c>
      <c r="GJ54" s="2">
        <v>0</v>
      </c>
      <c r="GK54" s="2">
        <f>ROUND(R54*(R12)/100,2)</f>
        <v>0</v>
      </c>
      <c r="GL54" s="2">
        <f t="shared" si="43"/>
        <v>0</v>
      </c>
      <c r="GM54" s="2">
        <f t="shared" si="44"/>
        <v>2437.14</v>
      </c>
      <c r="GN54" s="2">
        <f t="shared" si="45"/>
        <v>2437.14</v>
      </c>
      <c r="GO54" s="2">
        <f t="shared" si="46"/>
        <v>0</v>
      </c>
      <c r="GP54" s="2">
        <f t="shared" si="47"/>
        <v>0</v>
      </c>
      <c r="GQ54" s="2"/>
      <c r="GR54" s="2">
        <v>0</v>
      </c>
      <c r="GS54" s="2">
        <v>3</v>
      </c>
      <c r="GT54" s="2">
        <v>0</v>
      </c>
      <c r="GU54" s="2" t="s">
        <v>4</v>
      </c>
      <c r="GV54" s="2">
        <f t="shared" si="48"/>
        <v>0</v>
      </c>
      <c r="GW54" s="2">
        <v>1</v>
      </c>
      <c r="GX54" s="2">
        <f t="shared" si="49"/>
        <v>0</v>
      </c>
      <c r="GY54" s="2"/>
      <c r="GZ54" s="2"/>
      <c r="HA54" s="2">
        <v>0</v>
      </c>
      <c r="HB54" s="2">
        <v>0</v>
      </c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  <c r="HX54" s="2"/>
      <c r="HY54" s="2"/>
      <c r="HZ54" s="2"/>
      <c r="IA54" s="2"/>
      <c r="IB54" s="2"/>
      <c r="IC54" s="2"/>
      <c r="ID54" s="2"/>
      <c r="IE54" s="2"/>
      <c r="IF54" s="2"/>
      <c r="IG54" s="2"/>
      <c r="IH54" s="2"/>
      <c r="II54" s="2"/>
      <c r="IJ54" s="2"/>
      <c r="IK54" s="2">
        <v>0</v>
      </c>
      <c r="IL54" s="2"/>
      <c r="IM54" s="2"/>
      <c r="IN54" s="2"/>
      <c r="IO54" s="2"/>
      <c r="IP54" s="2"/>
      <c r="IQ54" s="2"/>
      <c r="IR54" s="2"/>
      <c r="IS54" s="2"/>
      <c r="IT54" s="2"/>
      <c r="IU54" s="2"/>
    </row>
    <row r="55" spans="1:255" x14ac:dyDescent="0.2">
      <c r="A55">
        <v>17</v>
      </c>
      <c r="B55">
        <v>1</v>
      </c>
      <c r="C55">
        <f>ROW(SmtRes!A76)</f>
        <v>76</v>
      </c>
      <c r="D55">
        <f>ROW(EtalonRes!A78)</f>
        <v>78</v>
      </c>
      <c r="E55" t="s">
        <v>90</v>
      </c>
      <c r="F55" t="s">
        <v>91</v>
      </c>
      <c r="G55" t="s">
        <v>92</v>
      </c>
      <c r="H55" t="s">
        <v>50</v>
      </c>
      <c r="I55">
        <v>114.5</v>
      </c>
      <c r="J55">
        <v>0</v>
      </c>
      <c r="O55">
        <f t="shared" si="14"/>
        <v>6148.49</v>
      </c>
      <c r="P55">
        <f t="shared" si="15"/>
        <v>0</v>
      </c>
      <c r="Q55">
        <f t="shared" si="16"/>
        <v>0</v>
      </c>
      <c r="R55">
        <f t="shared" si="17"/>
        <v>0</v>
      </c>
      <c r="S55">
        <f t="shared" si="18"/>
        <v>6148.49</v>
      </c>
      <c r="T55">
        <f t="shared" si="19"/>
        <v>0</v>
      </c>
      <c r="U55">
        <f t="shared" si="20"/>
        <v>118.50749999999999</v>
      </c>
      <c r="V55">
        <f t="shared" si="21"/>
        <v>0</v>
      </c>
      <c r="W55">
        <f t="shared" si="22"/>
        <v>0</v>
      </c>
      <c r="X55">
        <f t="shared" si="23"/>
        <v>4980.28</v>
      </c>
      <c r="Y55">
        <f t="shared" si="24"/>
        <v>3689.09</v>
      </c>
      <c r="AA55">
        <v>16501255</v>
      </c>
      <c r="AB55">
        <f t="shared" si="25"/>
        <v>8.8320000000000007</v>
      </c>
      <c r="AC55">
        <f t="shared" si="51"/>
        <v>0</v>
      </c>
      <c r="AD55">
        <f>ROUND(((((ET55*1.25))-((EU55*1.25)))+AE55),6)</f>
        <v>0</v>
      </c>
      <c r="AE55">
        <f>ROUND(((EU55*1.25)),6)</f>
        <v>0</v>
      </c>
      <c r="AF55">
        <f>ROUND(((EV55*1.15)),6)</f>
        <v>8.8320000000000007</v>
      </c>
      <c r="AG55">
        <f t="shared" si="28"/>
        <v>0</v>
      </c>
      <c r="AH55">
        <f>((EW55*1.15))</f>
        <v>1.0349999999999999</v>
      </c>
      <c r="AI55">
        <f>((EX55*1.25))</f>
        <v>0</v>
      </c>
      <c r="AJ55">
        <f t="shared" si="30"/>
        <v>0</v>
      </c>
      <c r="AK55">
        <v>7.68</v>
      </c>
      <c r="AL55">
        <v>0</v>
      </c>
      <c r="AM55">
        <v>0</v>
      </c>
      <c r="AN55">
        <v>0</v>
      </c>
      <c r="AO55">
        <v>7.68</v>
      </c>
      <c r="AP55">
        <v>0</v>
      </c>
      <c r="AQ55">
        <v>0.9</v>
      </c>
      <c r="AR55">
        <v>0</v>
      </c>
      <c r="AS55">
        <v>0</v>
      </c>
      <c r="AT55">
        <v>81</v>
      </c>
      <c r="AU55">
        <v>60</v>
      </c>
      <c r="AV55">
        <v>1</v>
      </c>
      <c r="AW55">
        <v>1</v>
      </c>
      <c r="AZ55">
        <v>6.08</v>
      </c>
      <c r="BA55">
        <v>6.08</v>
      </c>
      <c r="BB55">
        <v>6.08</v>
      </c>
      <c r="BC55">
        <v>6.08</v>
      </c>
      <c r="BD55" t="s">
        <v>4</v>
      </c>
      <c r="BE55" t="s">
        <v>4</v>
      </c>
      <c r="BF55" t="s">
        <v>4</v>
      </c>
      <c r="BG55" t="s">
        <v>4</v>
      </c>
      <c r="BH55">
        <v>0</v>
      </c>
      <c r="BI55">
        <v>1</v>
      </c>
      <c r="BJ55" t="s">
        <v>93</v>
      </c>
      <c r="BM55">
        <v>13001</v>
      </c>
      <c r="BN55">
        <v>0</v>
      </c>
      <c r="BO55" t="s">
        <v>4</v>
      </c>
      <c r="BP55">
        <v>0</v>
      </c>
      <c r="BQ55">
        <v>2</v>
      </c>
      <c r="BR55">
        <v>0</v>
      </c>
      <c r="BS55">
        <v>6.08</v>
      </c>
      <c r="BT55">
        <v>1</v>
      </c>
      <c r="BU55">
        <v>1</v>
      </c>
      <c r="BV55">
        <v>1</v>
      </c>
      <c r="BW55">
        <v>1</v>
      </c>
      <c r="BX55">
        <v>1</v>
      </c>
      <c r="BY55" t="s">
        <v>4</v>
      </c>
      <c r="BZ55">
        <v>90</v>
      </c>
      <c r="CA55">
        <v>70</v>
      </c>
      <c r="CF55">
        <v>0</v>
      </c>
      <c r="CG55">
        <v>0</v>
      </c>
      <c r="CM55">
        <v>0</v>
      </c>
      <c r="CN55" t="s">
        <v>323</v>
      </c>
      <c r="CO55">
        <v>0</v>
      </c>
      <c r="CP55">
        <f t="shared" si="31"/>
        <v>6148.49</v>
      </c>
      <c r="CQ55">
        <f t="shared" si="32"/>
        <v>0</v>
      </c>
      <c r="CR55">
        <f t="shared" si="33"/>
        <v>0</v>
      </c>
      <c r="CS55">
        <f t="shared" si="34"/>
        <v>0</v>
      </c>
      <c r="CT55">
        <f t="shared" si="35"/>
        <v>53.698560000000008</v>
      </c>
      <c r="CU55">
        <f t="shared" si="36"/>
        <v>0</v>
      </c>
      <c r="CV55">
        <f t="shared" si="37"/>
        <v>1.0349999999999999</v>
      </c>
      <c r="CW55">
        <f t="shared" si="38"/>
        <v>0</v>
      </c>
      <c r="CX55">
        <f t="shared" si="39"/>
        <v>0</v>
      </c>
      <c r="CY55">
        <f t="shared" si="40"/>
        <v>4980.2768999999998</v>
      </c>
      <c r="CZ55">
        <f t="shared" si="41"/>
        <v>3689.0939999999996</v>
      </c>
      <c r="DC55" t="s">
        <v>4</v>
      </c>
      <c r="DD55" t="s">
        <v>4</v>
      </c>
      <c r="DE55" t="s">
        <v>29</v>
      </c>
      <c r="DF55" t="s">
        <v>29</v>
      </c>
      <c r="DG55" t="s">
        <v>30</v>
      </c>
      <c r="DH55" t="s">
        <v>4</v>
      </c>
      <c r="DI55" t="s">
        <v>30</v>
      </c>
      <c r="DJ55" t="s">
        <v>29</v>
      </c>
      <c r="DK55" t="s">
        <v>4</v>
      </c>
      <c r="DL55" t="s">
        <v>4</v>
      </c>
      <c r="DM55" t="s">
        <v>4</v>
      </c>
      <c r="DN55">
        <v>0</v>
      </c>
      <c r="DO55">
        <v>0</v>
      </c>
      <c r="DP55">
        <v>1</v>
      </c>
      <c r="DQ55">
        <v>1</v>
      </c>
      <c r="DU55">
        <v>1005</v>
      </c>
      <c r="DV55" t="s">
        <v>50</v>
      </c>
      <c r="DW55" t="s">
        <v>50</v>
      </c>
      <c r="DX55">
        <v>1</v>
      </c>
      <c r="EE55">
        <v>16510490</v>
      </c>
      <c r="EF55">
        <v>2</v>
      </c>
      <c r="EG55" t="s">
        <v>31</v>
      </c>
      <c r="EH55">
        <v>0</v>
      </c>
      <c r="EI55" t="s">
        <v>4</v>
      </c>
      <c r="EJ55">
        <v>1</v>
      </c>
      <c r="EK55">
        <v>13001</v>
      </c>
      <c r="EL55" t="s">
        <v>94</v>
      </c>
      <c r="EM55" t="s">
        <v>95</v>
      </c>
      <c r="EO55" t="s">
        <v>33</v>
      </c>
      <c r="EQ55">
        <v>0</v>
      </c>
      <c r="ER55">
        <v>7.68</v>
      </c>
      <c r="ES55">
        <v>0</v>
      </c>
      <c r="ET55">
        <v>0</v>
      </c>
      <c r="EU55">
        <v>0</v>
      </c>
      <c r="EV55">
        <v>7.68</v>
      </c>
      <c r="EW55">
        <v>0.9</v>
      </c>
      <c r="EX55">
        <v>0</v>
      </c>
      <c r="EY55">
        <v>0</v>
      </c>
      <c r="FQ55">
        <v>0</v>
      </c>
      <c r="FR55">
        <f t="shared" si="42"/>
        <v>0</v>
      </c>
      <c r="FS55">
        <v>0</v>
      </c>
      <c r="FT55" t="s">
        <v>34</v>
      </c>
      <c r="FU55" t="s">
        <v>35</v>
      </c>
      <c r="FX55">
        <v>81</v>
      </c>
      <c r="FY55">
        <v>59.5</v>
      </c>
      <c r="GA55" t="s">
        <v>4</v>
      </c>
      <c r="GD55">
        <v>0</v>
      </c>
      <c r="GF55">
        <v>-1482825381</v>
      </c>
      <c r="GG55">
        <v>1</v>
      </c>
      <c r="GH55">
        <v>1</v>
      </c>
      <c r="GI55">
        <v>4</v>
      </c>
      <c r="GJ55">
        <v>0</v>
      </c>
      <c r="GK55">
        <f>ROUND(R55*(S12)/100,2)</f>
        <v>0</v>
      </c>
      <c r="GL55">
        <f t="shared" si="43"/>
        <v>0</v>
      </c>
      <c r="GM55">
        <f t="shared" si="44"/>
        <v>14817.86</v>
      </c>
      <c r="GN55">
        <f t="shared" si="45"/>
        <v>14817.86</v>
      </c>
      <c r="GO55">
        <f t="shared" si="46"/>
        <v>0</v>
      </c>
      <c r="GP55">
        <f t="shared" si="47"/>
        <v>0</v>
      </c>
      <c r="GR55">
        <v>0</v>
      </c>
      <c r="GS55">
        <v>3</v>
      </c>
      <c r="GT55">
        <v>0</v>
      </c>
      <c r="GU55" t="s">
        <v>4</v>
      </c>
      <c r="GV55">
        <f t="shared" si="48"/>
        <v>0</v>
      </c>
      <c r="GW55">
        <v>1</v>
      </c>
      <c r="GX55">
        <f t="shared" si="49"/>
        <v>0</v>
      </c>
      <c r="HA55">
        <v>0</v>
      </c>
      <c r="HB55">
        <v>0</v>
      </c>
      <c r="IK55">
        <v>0</v>
      </c>
    </row>
    <row r="56" spans="1:255" x14ac:dyDescent="0.2">
      <c r="A56" s="2">
        <v>17</v>
      </c>
      <c r="B56" s="2">
        <v>1</v>
      </c>
      <c r="C56" s="2">
        <f>ROW(SmtRes!A85)</f>
        <v>85</v>
      </c>
      <c r="D56" s="2">
        <f>ROW(EtalonRes!A86)</f>
        <v>86</v>
      </c>
      <c r="E56" s="2" t="s">
        <v>96</v>
      </c>
      <c r="F56" s="2" t="s">
        <v>97</v>
      </c>
      <c r="G56" s="2" t="s">
        <v>98</v>
      </c>
      <c r="H56" s="2" t="s">
        <v>23</v>
      </c>
      <c r="I56" s="2">
        <f>ROUND(78.2/100,9)</f>
        <v>0.78200000000000003</v>
      </c>
      <c r="J56" s="2">
        <v>0</v>
      </c>
      <c r="K56" s="2"/>
      <c r="L56" s="2"/>
      <c r="M56" s="2"/>
      <c r="N56" s="2"/>
      <c r="O56" s="2">
        <f t="shared" ref="O56:O75" si="60">ROUND(CP56,2)</f>
        <v>266.85000000000002</v>
      </c>
      <c r="P56" s="2">
        <f t="shared" ref="P56:P75" si="61">ROUND(CQ56*I56,2)</f>
        <v>0.97</v>
      </c>
      <c r="Q56" s="2">
        <f t="shared" ref="Q56:Q75" si="62">ROUND(CR56*I56,2)</f>
        <v>16.649999999999999</v>
      </c>
      <c r="R56" s="2">
        <f t="shared" ref="R56:R75" si="63">ROUND(CS56*I56,2)</f>
        <v>9.85</v>
      </c>
      <c r="S56" s="2">
        <f t="shared" ref="S56:S75" si="64">ROUND(CT56*I56,2)</f>
        <v>249.23</v>
      </c>
      <c r="T56" s="2">
        <f t="shared" ref="T56:T75" si="65">ROUND(CU56*I56,2)</f>
        <v>0</v>
      </c>
      <c r="U56" s="2">
        <f t="shared" ref="U56:U75" si="66">CV56*I56</f>
        <v>29.218257000000001</v>
      </c>
      <c r="V56" s="2">
        <f t="shared" ref="V56:V75" si="67">CW56*I56</f>
        <v>0.90907500000000008</v>
      </c>
      <c r="W56" s="2">
        <f t="shared" ref="W56:W75" si="68">ROUND(CX56*I56,2)</f>
        <v>0</v>
      </c>
      <c r="X56" s="2">
        <f t="shared" ref="X56:X75" si="69">ROUND(CY56,2)</f>
        <v>246.13</v>
      </c>
      <c r="Y56" s="2">
        <f t="shared" ref="Y56:Y75" si="70">ROUND(CZ56,2)</f>
        <v>121.77</v>
      </c>
      <c r="Z56" s="2"/>
      <c r="AA56" s="2">
        <v>16501254</v>
      </c>
      <c r="AB56" s="2">
        <f t="shared" ref="AB56:AB75" si="71">ROUND((AC56+AD56+AF56),6)</f>
        <v>341.23849999999999</v>
      </c>
      <c r="AC56" s="2">
        <f t="shared" si="51"/>
        <v>1.24</v>
      </c>
      <c r="AD56" s="2">
        <f>ROUND(((((ET56*1.25))-((EU56*1.25)))+AE56),6)</f>
        <v>21.287500000000001</v>
      </c>
      <c r="AE56" s="2">
        <f>ROUND(((EU56*1.25)),6)</f>
        <v>12.6</v>
      </c>
      <c r="AF56" s="2">
        <f>ROUND(((EV56*1.15)),6)</f>
        <v>318.71100000000001</v>
      </c>
      <c r="AG56" s="2">
        <f t="shared" ref="AG56:AG75" si="72">ROUND((AP56),6)</f>
        <v>0</v>
      </c>
      <c r="AH56" s="2">
        <f>((EW56*1.15))</f>
        <v>37.363500000000002</v>
      </c>
      <c r="AI56" s="2">
        <f>((EX56*1.25))</f>
        <v>1.1625000000000001</v>
      </c>
      <c r="AJ56" s="2">
        <f t="shared" ref="AJ56:AJ75" si="73">ROUND((AS56),6)</f>
        <v>0</v>
      </c>
      <c r="AK56" s="2">
        <v>295.41000000000003</v>
      </c>
      <c r="AL56" s="2">
        <v>1.24</v>
      </c>
      <c r="AM56" s="2">
        <v>17.03</v>
      </c>
      <c r="AN56" s="2">
        <v>10.08</v>
      </c>
      <c r="AO56" s="2">
        <v>277.14</v>
      </c>
      <c r="AP56" s="2">
        <v>0</v>
      </c>
      <c r="AQ56" s="2">
        <v>32.49</v>
      </c>
      <c r="AR56" s="2">
        <v>0.93</v>
      </c>
      <c r="AS56" s="2">
        <v>0</v>
      </c>
      <c r="AT56" s="2">
        <v>95</v>
      </c>
      <c r="AU56" s="2">
        <v>47</v>
      </c>
      <c r="AV56" s="2">
        <v>1</v>
      </c>
      <c r="AW56" s="2">
        <v>1</v>
      </c>
      <c r="AX56" s="2"/>
      <c r="AY56" s="2"/>
      <c r="AZ56" s="2">
        <v>1</v>
      </c>
      <c r="BA56" s="2">
        <v>1</v>
      </c>
      <c r="BB56" s="2">
        <v>1</v>
      </c>
      <c r="BC56" s="2">
        <v>1</v>
      </c>
      <c r="BD56" s="2" t="s">
        <v>4</v>
      </c>
      <c r="BE56" s="2" t="s">
        <v>4</v>
      </c>
      <c r="BF56" s="2" t="s">
        <v>4</v>
      </c>
      <c r="BG56" s="2" t="s">
        <v>4</v>
      </c>
      <c r="BH56" s="2">
        <v>0</v>
      </c>
      <c r="BI56" s="2">
        <v>1</v>
      </c>
      <c r="BJ56" s="2" t="s">
        <v>99</v>
      </c>
      <c r="BK56" s="2"/>
      <c r="BL56" s="2"/>
      <c r="BM56" s="2">
        <v>15001</v>
      </c>
      <c r="BN56" s="2">
        <v>0</v>
      </c>
      <c r="BO56" s="2" t="s">
        <v>4</v>
      </c>
      <c r="BP56" s="2">
        <v>0</v>
      </c>
      <c r="BQ56" s="2">
        <v>2</v>
      </c>
      <c r="BR56" s="2">
        <v>0</v>
      </c>
      <c r="BS56" s="2">
        <v>1</v>
      </c>
      <c r="BT56" s="2">
        <v>1</v>
      </c>
      <c r="BU56" s="2">
        <v>1</v>
      </c>
      <c r="BV56" s="2">
        <v>1</v>
      </c>
      <c r="BW56" s="2">
        <v>1</v>
      </c>
      <c r="BX56" s="2">
        <v>1</v>
      </c>
      <c r="BY56" s="2" t="s">
        <v>4</v>
      </c>
      <c r="BZ56" s="2">
        <v>105</v>
      </c>
      <c r="CA56" s="2">
        <v>55</v>
      </c>
      <c r="CB56" s="2"/>
      <c r="CC56" s="2"/>
      <c r="CD56" s="2"/>
      <c r="CE56" s="2"/>
      <c r="CF56" s="2">
        <v>0</v>
      </c>
      <c r="CG56" s="2">
        <v>0</v>
      </c>
      <c r="CH56" s="2"/>
      <c r="CI56" s="2"/>
      <c r="CJ56" s="2"/>
      <c r="CK56" s="2"/>
      <c r="CL56" s="2"/>
      <c r="CM56" s="2">
        <v>0</v>
      </c>
      <c r="CN56" s="2" t="s">
        <v>323</v>
      </c>
      <c r="CO56" s="2">
        <v>0</v>
      </c>
      <c r="CP56" s="2">
        <f t="shared" ref="CP56:CP75" si="74">(P56+Q56+S56)</f>
        <v>266.84999999999997</v>
      </c>
      <c r="CQ56" s="2">
        <f t="shared" ref="CQ56:CQ75" si="75">AC56*BC56</f>
        <v>1.24</v>
      </c>
      <c r="CR56" s="2">
        <f t="shared" ref="CR56:CR75" si="76">AD56*BB56</f>
        <v>21.287500000000001</v>
      </c>
      <c r="CS56" s="2">
        <f t="shared" ref="CS56:CS75" si="77">AE56*BS56</f>
        <v>12.6</v>
      </c>
      <c r="CT56" s="2">
        <f t="shared" ref="CT56:CT75" si="78">AF56*BA56</f>
        <v>318.71100000000001</v>
      </c>
      <c r="CU56" s="2">
        <f t="shared" ref="CU56:CU75" si="79">AG56</f>
        <v>0</v>
      </c>
      <c r="CV56" s="2">
        <f t="shared" ref="CV56:CV75" si="80">AH56</f>
        <v>37.363500000000002</v>
      </c>
      <c r="CW56" s="2">
        <f t="shared" ref="CW56:CW75" si="81">AI56</f>
        <v>1.1625000000000001</v>
      </c>
      <c r="CX56" s="2">
        <f t="shared" ref="CX56:CX75" si="82">AJ56</f>
        <v>0</v>
      </c>
      <c r="CY56" s="2">
        <f t="shared" ref="CY56:CY75" si="83">(((S56+R56)*AT56)/100)</f>
        <v>246.12599999999998</v>
      </c>
      <c r="CZ56" s="2">
        <f t="shared" ref="CZ56:CZ75" si="84">(((S56+R56)*AU56)/100)</f>
        <v>121.76759999999999</v>
      </c>
      <c r="DA56" s="2"/>
      <c r="DB56" s="2"/>
      <c r="DC56" s="2" t="s">
        <v>4</v>
      </c>
      <c r="DD56" s="2" t="s">
        <v>4</v>
      </c>
      <c r="DE56" s="2" t="s">
        <v>29</v>
      </c>
      <c r="DF56" s="2" t="s">
        <v>29</v>
      </c>
      <c r="DG56" s="2" t="s">
        <v>30</v>
      </c>
      <c r="DH56" s="2" t="s">
        <v>4</v>
      </c>
      <c r="DI56" s="2" t="s">
        <v>30</v>
      </c>
      <c r="DJ56" s="2" t="s">
        <v>29</v>
      </c>
      <c r="DK56" s="2" t="s">
        <v>4</v>
      </c>
      <c r="DL56" s="2" t="s">
        <v>4</v>
      </c>
      <c r="DM56" s="2" t="s">
        <v>4</v>
      </c>
      <c r="DN56" s="2">
        <v>0</v>
      </c>
      <c r="DO56" s="2">
        <v>0</v>
      </c>
      <c r="DP56" s="2">
        <v>1</v>
      </c>
      <c r="DQ56" s="2">
        <v>1</v>
      </c>
      <c r="DR56" s="2"/>
      <c r="DS56" s="2"/>
      <c r="DT56" s="2"/>
      <c r="DU56" s="2">
        <v>1005</v>
      </c>
      <c r="DV56" s="2" t="s">
        <v>23</v>
      </c>
      <c r="DW56" s="2" t="s">
        <v>23</v>
      </c>
      <c r="DX56" s="2">
        <v>100</v>
      </c>
      <c r="DY56" s="2"/>
      <c r="DZ56" s="2"/>
      <c r="EA56" s="2"/>
      <c r="EB56" s="2"/>
      <c r="EC56" s="2"/>
      <c r="ED56" s="2"/>
      <c r="EE56" s="2">
        <v>16510513</v>
      </c>
      <c r="EF56" s="2">
        <v>2</v>
      </c>
      <c r="EG56" s="2" t="s">
        <v>31</v>
      </c>
      <c r="EH56" s="2">
        <v>0</v>
      </c>
      <c r="EI56" s="2" t="s">
        <v>4</v>
      </c>
      <c r="EJ56" s="2">
        <v>1</v>
      </c>
      <c r="EK56" s="2">
        <v>15001</v>
      </c>
      <c r="EL56" s="2" t="s">
        <v>100</v>
      </c>
      <c r="EM56" s="2" t="s">
        <v>101</v>
      </c>
      <c r="EN56" s="2"/>
      <c r="EO56" s="2" t="s">
        <v>33</v>
      </c>
      <c r="EP56" s="2"/>
      <c r="EQ56" s="2">
        <v>0</v>
      </c>
      <c r="ER56" s="2">
        <v>295.41000000000003</v>
      </c>
      <c r="ES56" s="2">
        <v>1.24</v>
      </c>
      <c r="ET56" s="2">
        <v>17.03</v>
      </c>
      <c r="EU56" s="2">
        <v>10.08</v>
      </c>
      <c r="EV56" s="2">
        <v>277.14</v>
      </c>
      <c r="EW56" s="2">
        <v>32.49</v>
      </c>
      <c r="EX56" s="2">
        <v>0.93</v>
      </c>
      <c r="EY56" s="2">
        <v>0</v>
      </c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>
        <v>0</v>
      </c>
      <c r="FR56" s="2">
        <f t="shared" ref="FR56:FR75" si="85">ROUND(IF(AND(BH56=3,BI56=3),P56,0),2)</f>
        <v>0</v>
      </c>
      <c r="FS56" s="2">
        <v>0</v>
      </c>
      <c r="FT56" s="2" t="s">
        <v>34</v>
      </c>
      <c r="FU56" s="2" t="s">
        <v>35</v>
      </c>
      <c r="FV56" s="2"/>
      <c r="FW56" s="2"/>
      <c r="FX56" s="2">
        <v>94.5</v>
      </c>
      <c r="FY56" s="2">
        <v>46.75</v>
      </c>
      <c r="FZ56" s="2"/>
      <c r="GA56" s="2" t="s">
        <v>4</v>
      </c>
      <c r="GB56" s="2"/>
      <c r="GC56" s="2"/>
      <c r="GD56" s="2">
        <v>0</v>
      </c>
      <c r="GE56" s="2"/>
      <c r="GF56" s="2">
        <v>-357803777</v>
      </c>
      <c r="GG56" s="2">
        <v>2</v>
      </c>
      <c r="GH56" s="2">
        <v>1</v>
      </c>
      <c r="GI56" s="2">
        <v>-2</v>
      </c>
      <c r="GJ56" s="2">
        <v>0</v>
      </c>
      <c r="GK56" s="2">
        <f>ROUND(R56*(R12)/100,2)</f>
        <v>0</v>
      </c>
      <c r="GL56" s="2">
        <f t="shared" ref="GL56:GL75" si="86">ROUND(IF(AND(BH56=3,BI56=3,FS56&lt;&gt;0),P56,0),2)</f>
        <v>0</v>
      </c>
      <c r="GM56" s="2">
        <f t="shared" ref="GM56:GM75" si="87">ROUND(O56+X56+Y56+GK56,2)+GX56</f>
        <v>634.75</v>
      </c>
      <c r="GN56" s="2">
        <f t="shared" ref="GN56:GN75" si="88">IF(OR(BI56=0,BI56=1),ROUND(O56+X56+Y56+GK56,2),0)</f>
        <v>634.75</v>
      </c>
      <c r="GO56" s="2">
        <f t="shared" ref="GO56:GO75" si="89">IF(BI56=2,ROUND(O56+X56+Y56+GK56,2),0)</f>
        <v>0</v>
      </c>
      <c r="GP56" s="2">
        <f t="shared" ref="GP56:GP75" si="90">IF(BI56=4,ROUND(O56+X56+Y56+GK56,2)+GX56,0)</f>
        <v>0</v>
      </c>
      <c r="GQ56" s="2"/>
      <c r="GR56" s="2">
        <v>0</v>
      </c>
      <c r="GS56" s="2">
        <v>3</v>
      </c>
      <c r="GT56" s="2">
        <v>0</v>
      </c>
      <c r="GU56" s="2" t="s">
        <v>4</v>
      </c>
      <c r="GV56" s="2">
        <f t="shared" ref="GV56:GV75" si="91">ROUND(GT56,6)</f>
        <v>0</v>
      </c>
      <c r="GW56" s="2">
        <v>1</v>
      </c>
      <c r="GX56" s="2">
        <f t="shared" ref="GX56:GX75" si="92">ROUND(GV56*GW56*I56,2)</f>
        <v>0</v>
      </c>
      <c r="GY56" s="2"/>
      <c r="GZ56" s="2"/>
      <c r="HA56" s="2">
        <v>0</v>
      </c>
      <c r="HB56" s="2">
        <v>0</v>
      </c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>
        <v>0</v>
      </c>
      <c r="IL56" s="2"/>
      <c r="IM56" s="2"/>
      <c r="IN56" s="2"/>
      <c r="IO56" s="2"/>
      <c r="IP56" s="2"/>
      <c r="IQ56" s="2"/>
      <c r="IR56" s="2"/>
      <c r="IS56" s="2"/>
      <c r="IT56" s="2"/>
      <c r="IU56" s="2"/>
    </row>
    <row r="57" spans="1:255" x14ac:dyDescent="0.2">
      <c r="A57">
        <v>17</v>
      </c>
      <c r="B57">
        <v>1</v>
      </c>
      <c r="C57">
        <f>ROW(SmtRes!A94)</f>
        <v>94</v>
      </c>
      <c r="D57">
        <f>ROW(EtalonRes!A94)</f>
        <v>94</v>
      </c>
      <c r="E57" t="s">
        <v>96</v>
      </c>
      <c r="F57" t="s">
        <v>97</v>
      </c>
      <c r="G57" t="s">
        <v>98</v>
      </c>
      <c r="H57" t="s">
        <v>23</v>
      </c>
      <c r="I57">
        <f>ROUND(78.2/100,9)</f>
        <v>0.78200000000000003</v>
      </c>
      <c r="J57">
        <v>0</v>
      </c>
      <c r="O57">
        <f t="shared" si="60"/>
        <v>1622.44</v>
      </c>
      <c r="P57">
        <f t="shared" si="61"/>
        <v>5.9</v>
      </c>
      <c r="Q57">
        <f t="shared" si="62"/>
        <v>101.21</v>
      </c>
      <c r="R57">
        <f t="shared" si="63"/>
        <v>59.91</v>
      </c>
      <c r="S57">
        <f t="shared" si="64"/>
        <v>1515.33</v>
      </c>
      <c r="T57">
        <f t="shared" si="65"/>
        <v>0</v>
      </c>
      <c r="U57">
        <f t="shared" si="66"/>
        <v>29.218257000000001</v>
      </c>
      <c r="V57">
        <f t="shared" si="67"/>
        <v>0.90907500000000008</v>
      </c>
      <c r="W57">
        <f t="shared" si="68"/>
        <v>0</v>
      </c>
      <c r="X57">
        <f t="shared" si="69"/>
        <v>1496.48</v>
      </c>
      <c r="Y57">
        <f t="shared" si="70"/>
        <v>740.36</v>
      </c>
      <c r="AA57">
        <v>16501255</v>
      </c>
      <c r="AB57">
        <f t="shared" si="71"/>
        <v>341.23849999999999</v>
      </c>
      <c r="AC57">
        <f t="shared" si="51"/>
        <v>1.24</v>
      </c>
      <c r="AD57">
        <f>ROUND(((((ET57*1.25))-((EU57*1.25)))+AE57),6)</f>
        <v>21.287500000000001</v>
      </c>
      <c r="AE57">
        <f>ROUND(((EU57*1.25)),6)</f>
        <v>12.6</v>
      </c>
      <c r="AF57">
        <f>ROUND(((EV57*1.15)),6)</f>
        <v>318.71100000000001</v>
      </c>
      <c r="AG57">
        <f t="shared" si="72"/>
        <v>0</v>
      </c>
      <c r="AH57">
        <f>((EW57*1.15))</f>
        <v>37.363500000000002</v>
      </c>
      <c r="AI57">
        <f>((EX57*1.25))</f>
        <v>1.1625000000000001</v>
      </c>
      <c r="AJ57">
        <f t="shared" si="73"/>
        <v>0</v>
      </c>
      <c r="AK57">
        <v>295.41000000000003</v>
      </c>
      <c r="AL57">
        <v>1.24</v>
      </c>
      <c r="AM57">
        <v>17.03</v>
      </c>
      <c r="AN57">
        <v>10.08</v>
      </c>
      <c r="AO57">
        <v>277.14</v>
      </c>
      <c r="AP57">
        <v>0</v>
      </c>
      <c r="AQ57">
        <v>32.49</v>
      </c>
      <c r="AR57">
        <v>0.93</v>
      </c>
      <c r="AS57">
        <v>0</v>
      </c>
      <c r="AT57">
        <v>95</v>
      </c>
      <c r="AU57">
        <v>47</v>
      </c>
      <c r="AV57">
        <v>1</v>
      </c>
      <c r="AW57">
        <v>1</v>
      </c>
      <c r="AZ57">
        <v>6.08</v>
      </c>
      <c r="BA57">
        <v>6.08</v>
      </c>
      <c r="BB57">
        <v>6.08</v>
      </c>
      <c r="BC57">
        <v>6.08</v>
      </c>
      <c r="BD57" t="s">
        <v>4</v>
      </c>
      <c r="BE57" t="s">
        <v>4</v>
      </c>
      <c r="BF57" t="s">
        <v>4</v>
      </c>
      <c r="BG57" t="s">
        <v>4</v>
      </c>
      <c r="BH57">
        <v>0</v>
      </c>
      <c r="BI57">
        <v>1</v>
      </c>
      <c r="BJ57" t="s">
        <v>99</v>
      </c>
      <c r="BM57">
        <v>15001</v>
      </c>
      <c r="BN57">
        <v>0</v>
      </c>
      <c r="BO57" t="s">
        <v>4</v>
      </c>
      <c r="BP57">
        <v>0</v>
      </c>
      <c r="BQ57">
        <v>2</v>
      </c>
      <c r="BR57">
        <v>0</v>
      </c>
      <c r="BS57">
        <v>6.08</v>
      </c>
      <c r="BT57">
        <v>1</v>
      </c>
      <c r="BU57">
        <v>1</v>
      </c>
      <c r="BV57">
        <v>1</v>
      </c>
      <c r="BW57">
        <v>1</v>
      </c>
      <c r="BX57">
        <v>1</v>
      </c>
      <c r="BY57" t="s">
        <v>4</v>
      </c>
      <c r="BZ57">
        <v>105</v>
      </c>
      <c r="CA57">
        <v>55</v>
      </c>
      <c r="CF57">
        <v>0</v>
      </c>
      <c r="CG57">
        <v>0</v>
      </c>
      <c r="CM57">
        <v>0</v>
      </c>
      <c r="CN57" t="s">
        <v>323</v>
      </c>
      <c r="CO57">
        <v>0</v>
      </c>
      <c r="CP57">
        <f t="shared" si="74"/>
        <v>1622.4399999999998</v>
      </c>
      <c r="CQ57">
        <f t="shared" si="75"/>
        <v>7.5392000000000001</v>
      </c>
      <c r="CR57">
        <f t="shared" si="76"/>
        <v>129.428</v>
      </c>
      <c r="CS57">
        <f t="shared" si="77"/>
        <v>76.608000000000004</v>
      </c>
      <c r="CT57">
        <f t="shared" si="78"/>
        <v>1937.76288</v>
      </c>
      <c r="CU57">
        <f t="shared" si="79"/>
        <v>0</v>
      </c>
      <c r="CV57">
        <f t="shared" si="80"/>
        <v>37.363500000000002</v>
      </c>
      <c r="CW57">
        <f t="shared" si="81"/>
        <v>1.1625000000000001</v>
      </c>
      <c r="CX57">
        <f t="shared" si="82"/>
        <v>0</v>
      </c>
      <c r="CY57">
        <f t="shared" si="83"/>
        <v>1496.4779999999998</v>
      </c>
      <c r="CZ57">
        <f t="shared" si="84"/>
        <v>740.36279999999999</v>
      </c>
      <c r="DC57" t="s">
        <v>4</v>
      </c>
      <c r="DD57" t="s">
        <v>4</v>
      </c>
      <c r="DE57" t="s">
        <v>29</v>
      </c>
      <c r="DF57" t="s">
        <v>29</v>
      </c>
      <c r="DG57" t="s">
        <v>30</v>
      </c>
      <c r="DH57" t="s">
        <v>4</v>
      </c>
      <c r="DI57" t="s">
        <v>30</v>
      </c>
      <c r="DJ57" t="s">
        <v>29</v>
      </c>
      <c r="DK57" t="s">
        <v>4</v>
      </c>
      <c r="DL57" t="s">
        <v>4</v>
      </c>
      <c r="DM57" t="s">
        <v>4</v>
      </c>
      <c r="DN57">
        <v>0</v>
      </c>
      <c r="DO57">
        <v>0</v>
      </c>
      <c r="DP57">
        <v>1</v>
      </c>
      <c r="DQ57">
        <v>1</v>
      </c>
      <c r="DU57">
        <v>1005</v>
      </c>
      <c r="DV57" t="s">
        <v>23</v>
      </c>
      <c r="DW57" t="s">
        <v>23</v>
      </c>
      <c r="DX57">
        <v>100</v>
      </c>
      <c r="EE57">
        <v>16510513</v>
      </c>
      <c r="EF57">
        <v>2</v>
      </c>
      <c r="EG57" t="s">
        <v>31</v>
      </c>
      <c r="EH57">
        <v>0</v>
      </c>
      <c r="EI57" t="s">
        <v>4</v>
      </c>
      <c r="EJ57">
        <v>1</v>
      </c>
      <c r="EK57">
        <v>15001</v>
      </c>
      <c r="EL57" t="s">
        <v>100</v>
      </c>
      <c r="EM57" t="s">
        <v>101</v>
      </c>
      <c r="EO57" t="s">
        <v>33</v>
      </c>
      <c r="EQ57">
        <v>0</v>
      </c>
      <c r="ER57">
        <v>295.41000000000003</v>
      </c>
      <c r="ES57">
        <v>1.24</v>
      </c>
      <c r="ET57">
        <v>17.03</v>
      </c>
      <c r="EU57">
        <v>10.08</v>
      </c>
      <c r="EV57">
        <v>277.14</v>
      </c>
      <c r="EW57">
        <v>32.49</v>
      </c>
      <c r="EX57">
        <v>0.93</v>
      </c>
      <c r="EY57">
        <v>0</v>
      </c>
      <c r="FQ57">
        <v>0</v>
      </c>
      <c r="FR57">
        <f t="shared" si="85"/>
        <v>0</v>
      </c>
      <c r="FS57">
        <v>0</v>
      </c>
      <c r="FT57" t="s">
        <v>34</v>
      </c>
      <c r="FU57" t="s">
        <v>35</v>
      </c>
      <c r="FX57">
        <v>94.5</v>
      </c>
      <c r="FY57">
        <v>46.75</v>
      </c>
      <c r="GA57" t="s">
        <v>4</v>
      </c>
      <c r="GD57">
        <v>0</v>
      </c>
      <c r="GF57">
        <v>-357803777</v>
      </c>
      <c r="GG57">
        <v>1</v>
      </c>
      <c r="GH57">
        <v>1</v>
      </c>
      <c r="GI57">
        <v>4</v>
      </c>
      <c r="GJ57">
        <v>0</v>
      </c>
      <c r="GK57">
        <f>ROUND(R57*(S12)/100,2)</f>
        <v>0</v>
      </c>
      <c r="GL57">
        <f t="shared" si="86"/>
        <v>0</v>
      </c>
      <c r="GM57">
        <f t="shared" si="87"/>
        <v>3859.28</v>
      </c>
      <c r="GN57">
        <f t="shared" si="88"/>
        <v>3859.28</v>
      </c>
      <c r="GO57">
        <f t="shared" si="89"/>
        <v>0</v>
      </c>
      <c r="GP57">
        <f t="shared" si="90"/>
        <v>0</v>
      </c>
      <c r="GR57">
        <v>0</v>
      </c>
      <c r="GS57">
        <v>3</v>
      </c>
      <c r="GT57">
        <v>0</v>
      </c>
      <c r="GU57" t="s">
        <v>4</v>
      </c>
      <c r="GV57">
        <f t="shared" si="91"/>
        <v>0</v>
      </c>
      <c r="GW57">
        <v>1</v>
      </c>
      <c r="GX57">
        <f t="shared" si="92"/>
        <v>0</v>
      </c>
      <c r="HA57">
        <v>0</v>
      </c>
      <c r="HB57">
        <v>0</v>
      </c>
      <c r="IK57">
        <v>0</v>
      </c>
    </row>
    <row r="58" spans="1:255" x14ac:dyDescent="0.2">
      <c r="A58" s="2">
        <v>18</v>
      </c>
      <c r="B58" s="2">
        <v>1</v>
      </c>
      <c r="C58" s="2">
        <v>83</v>
      </c>
      <c r="D58" s="2"/>
      <c r="E58" s="2" t="s">
        <v>102</v>
      </c>
      <c r="F58" s="2" t="s">
        <v>103</v>
      </c>
      <c r="G58" s="2" t="s">
        <v>104</v>
      </c>
      <c r="H58" s="2" t="s">
        <v>58</v>
      </c>
      <c r="I58" s="2">
        <f>I56*J58</f>
        <v>0.66469999999999996</v>
      </c>
      <c r="J58" s="2">
        <v>0.84999999999999987</v>
      </c>
      <c r="K58" s="2"/>
      <c r="L58" s="2"/>
      <c r="M58" s="2"/>
      <c r="N58" s="2"/>
      <c r="O58" s="2">
        <f t="shared" si="60"/>
        <v>0</v>
      </c>
      <c r="P58" s="2">
        <f t="shared" si="61"/>
        <v>0</v>
      </c>
      <c r="Q58" s="2">
        <f t="shared" si="62"/>
        <v>0</v>
      </c>
      <c r="R58" s="2">
        <f t="shared" si="63"/>
        <v>0</v>
      </c>
      <c r="S58" s="2">
        <f t="shared" si="64"/>
        <v>0</v>
      </c>
      <c r="T58" s="2">
        <f t="shared" si="65"/>
        <v>0</v>
      </c>
      <c r="U58" s="2">
        <f t="shared" si="66"/>
        <v>0</v>
      </c>
      <c r="V58" s="2">
        <f t="shared" si="67"/>
        <v>0</v>
      </c>
      <c r="W58" s="2">
        <f t="shared" si="68"/>
        <v>0</v>
      </c>
      <c r="X58" s="2">
        <f t="shared" si="69"/>
        <v>0</v>
      </c>
      <c r="Y58" s="2">
        <f t="shared" si="70"/>
        <v>0</v>
      </c>
      <c r="Z58" s="2"/>
      <c r="AA58" s="2">
        <v>16501254</v>
      </c>
      <c r="AB58" s="2">
        <f t="shared" si="71"/>
        <v>0</v>
      </c>
      <c r="AC58" s="2">
        <f t="shared" si="51"/>
        <v>0</v>
      </c>
      <c r="AD58" s="2">
        <f t="shared" ref="AD58:AD63" si="93">ROUND((((ET58)-(EU58))+AE58),6)</f>
        <v>0</v>
      </c>
      <c r="AE58" s="2">
        <f t="shared" ref="AE58:AF63" si="94">ROUND((EU58),6)</f>
        <v>0</v>
      </c>
      <c r="AF58" s="2">
        <f t="shared" si="94"/>
        <v>0</v>
      </c>
      <c r="AG58" s="2">
        <f t="shared" si="72"/>
        <v>0</v>
      </c>
      <c r="AH58" s="2">
        <f t="shared" ref="AH58:AI63" si="95">(EW58)</f>
        <v>0</v>
      </c>
      <c r="AI58" s="2">
        <f t="shared" si="95"/>
        <v>0</v>
      </c>
      <c r="AJ58" s="2">
        <f t="shared" si="73"/>
        <v>0</v>
      </c>
      <c r="AK58" s="2">
        <v>0</v>
      </c>
      <c r="AL58" s="2">
        <v>0</v>
      </c>
      <c r="AM58" s="2">
        <v>0</v>
      </c>
      <c r="AN58" s="2">
        <v>0</v>
      </c>
      <c r="AO58" s="2">
        <v>0</v>
      </c>
      <c r="AP58" s="2">
        <v>0</v>
      </c>
      <c r="AQ58" s="2">
        <v>0</v>
      </c>
      <c r="AR58" s="2">
        <v>0</v>
      </c>
      <c r="AS58" s="2">
        <v>0</v>
      </c>
      <c r="AT58" s="2">
        <v>95</v>
      </c>
      <c r="AU58" s="2">
        <v>47</v>
      </c>
      <c r="AV58" s="2">
        <v>1</v>
      </c>
      <c r="AW58" s="2">
        <v>1</v>
      </c>
      <c r="AX58" s="2"/>
      <c r="AY58" s="2"/>
      <c r="AZ58" s="2">
        <v>1</v>
      </c>
      <c r="BA58" s="2">
        <v>1</v>
      </c>
      <c r="BB58" s="2">
        <v>1</v>
      </c>
      <c r="BC58" s="2">
        <v>1</v>
      </c>
      <c r="BD58" s="2" t="s">
        <v>4</v>
      </c>
      <c r="BE58" s="2" t="s">
        <v>4</v>
      </c>
      <c r="BF58" s="2" t="s">
        <v>4</v>
      </c>
      <c r="BG58" s="2" t="s">
        <v>4</v>
      </c>
      <c r="BH58" s="2">
        <v>3</v>
      </c>
      <c r="BI58" s="2">
        <v>1</v>
      </c>
      <c r="BJ58" s="2" t="s">
        <v>4</v>
      </c>
      <c r="BK58" s="2"/>
      <c r="BL58" s="2"/>
      <c r="BM58" s="2">
        <v>15001</v>
      </c>
      <c r="BN58" s="2">
        <v>0</v>
      </c>
      <c r="BO58" s="2" t="s">
        <v>4</v>
      </c>
      <c r="BP58" s="2">
        <v>0</v>
      </c>
      <c r="BQ58" s="2">
        <v>2</v>
      </c>
      <c r="BR58" s="2">
        <v>0</v>
      </c>
      <c r="BS58" s="2">
        <v>1</v>
      </c>
      <c r="BT58" s="2">
        <v>1</v>
      </c>
      <c r="BU58" s="2">
        <v>1</v>
      </c>
      <c r="BV58" s="2">
        <v>1</v>
      </c>
      <c r="BW58" s="2">
        <v>1</v>
      </c>
      <c r="BX58" s="2">
        <v>1</v>
      </c>
      <c r="BY58" s="2" t="s">
        <v>4</v>
      </c>
      <c r="BZ58" s="2">
        <v>105</v>
      </c>
      <c r="CA58" s="2">
        <v>55</v>
      </c>
      <c r="CB58" s="2"/>
      <c r="CC58" s="2"/>
      <c r="CD58" s="2"/>
      <c r="CE58" s="2"/>
      <c r="CF58" s="2">
        <v>0</v>
      </c>
      <c r="CG58" s="2">
        <v>0</v>
      </c>
      <c r="CH58" s="2"/>
      <c r="CI58" s="2"/>
      <c r="CJ58" s="2"/>
      <c r="CK58" s="2"/>
      <c r="CL58" s="2"/>
      <c r="CM58" s="2">
        <v>0</v>
      </c>
      <c r="CN58" s="2" t="s">
        <v>4</v>
      </c>
      <c r="CO58" s="2">
        <v>0</v>
      </c>
      <c r="CP58" s="2">
        <f t="shared" si="74"/>
        <v>0</v>
      </c>
      <c r="CQ58" s="2">
        <f t="shared" si="75"/>
        <v>0</v>
      </c>
      <c r="CR58" s="2">
        <f t="shared" si="76"/>
        <v>0</v>
      </c>
      <c r="CS58" s="2">
        <f t="shared" si="77"/>
        <v>0</v>
      </c>
      <c r="CT58" s="2">
        <f t="shared" si="78"/>
        <v>0</v>
      </c>
      <c r="CU58" s="2">
        <f t="shared" si="79"/>
        <v>0</v>
      </c>
      <c r="CV58" s="2">
        <f t="shared" si="80"/>
        <v>0</v>
      </c>
      <c r="CW58" s="2">
        <f t="shared" si="81"/>
        <v>0</v>
      </c>
      <c r="CX58" s="2">
        <f t="shared" si="82"/>
        <v>0</v>
      </c>
      <c r="CY58" s="2">
        <f t="shared" si="83"/>
        <v>0</v>
      </c>
      <c r="CZ58" s="2">
        <f t="shared" si="84"/>
        <v>0</v>
      </c>
      <c r="DA58" s="2"/>
      <c r="DB58" s="2"/>
      <c r="DC58" s="2" t="s">
        <v>4</v>
      </c>
      <c r="DD58" s="2" t="s">
        <v>4</v>
      </c>
      <c r="DE58" s="2" t="s">
        <v>4</v>
      </c>
      <c r="DF58" s="2" t="s">
        <v>4</v>
      </c>
      <c r="DG58" s="2" t="s">
        <v>4</v>
      </c>
      <c r="DH58" s="2" t="s">
        <v>4</v>
      </c>
      <c r="DI58" s="2" t="s">
        <v>4</v>
      </c>
      <c r="DJ58" s="2" t="s">
        <v>4</v>
      </c>
      <c r="DK58" s="2" t="s">
        <v>4</v>
      </c>
      <c r="DL58" s="2" t="s">
        <v>4</v>
      </c>
      <c r="DM58" s="2" t="s">
        <v>4</v>
      </c>
      <c r="DN58" s="2">
        <v>0</v>
      </c>
      <c r="DO58" s="2">
        <v>0</v>
      </c>
      <c r="DP58" s="2">
        <v>1</v>
      </c>
      <c r="DQ58" s="2">
        <v>1</v>
      </c>
      <c r="DR58" s="2"/>
      <c r="DS58" s="2"/>
      <c r="DT58" s="2"/>
      <c r="DU58" s="2">
        <v>1009</v>
      </c>
      <c r="DV58" s="2" t="s">
        <v>58</v>
      </c>
      <c r="DW58" s="2" t="s">
        <v>58</v>
      </c>
      <c r="DX58" s="2">
        <v>1000</v>
      </c>
      <c r="DY58" s="2"/>
      <c r="DZ58" s="2"/>
      <c r="EA58" s="2"/>
      <c r="EB58" s="2"/>
      <c r="EC58" s="2"/>
      <c r="ED58" s="2"/>
      <c r="EE58" s="2">
        <v>16510513</v>
      </c>
      <c r="EF58" s="2">
        <v>2</v>
      </c>
      <c r="EG58" s="2" t="s">
        <v>31</v>
      </c>
      <c r="EH58" s="2">
        <v>0</v>
      </c>
      <c r="EI58" s="2" t="s">
        <v>4</v>
      </c>
      <c r="EJ58" s="2">
        <v>1</v>
      </c>
      <c r="EK58" s="2">
        <v>15001</v>
      </c>
      <c r="EL58" s="2" t="s">
        <v>100</v>
      </c>
      <c r="EM58" s="2" t="s">
        <v>101</v>
      </c>
      <c r="EN58" s="2"/>
      <c r="EO58" s="2" t="s">
        <v>4</v>
      </c>
      <c r="EP58" s="2"/>
      <c r="EQ58" s="2">
        <v>0</v>
      </c>
      <c r="ER58" s="2">
        <v>0</v>
      </c>
      <c r="ES58" s="2">
        <v>0</v>
      </c>
      <c r="ET58" s="2">
        <v>0</v>
      </c>
      <c r="EU58" s="2">
        <v>0</v>
      </c>
      <c r="EV58" s="2">
        <v>0</v>
      </c>
      <c r="EW58" s="2">
        <v>0</v>
      </c>
      <c r="EX58" s="2">
        <v>0</v>
      </c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>
        <v>0</v>
      </c>
      <c r="FR58" s="2">
        <f t="shared" si="85"/>
        <v>0</v>
      </c>
      <c r="FS58" s="2">
        <v>0</v>
      </c>
      <c r="FT58" s="2" t="s">
        <v>34</v>
      </c>
      <c r="FU58" s="2" t="s">
        <v>35</v>
      </c>
      <c r="FV58" s="2"/>
      <c r="FW58" s="2"/>
      <c r="FX58" s="2">
        <v>94.5</v>
      </c>
      <c r="FY58" s="2">
        <v>46.75</v>
      </c>
      <c r="FZ58" s="2"/>
      <c r="GA58" s="2" t="s">
        <v>4</v>
      </c>
      <c r="GB58" s="2"/>
      <c r="GC58" s="2"/>
      <c r="GD58" s="2">
        <v>0</v>
      </c>
      <c r="GE58" s="2"/>
      <c r="GF58" s="2">
        <v>1880203204</v>
      </c>
      <c r="GG58" s="2">
        <v>2</v>
      </c>
      <c r="GH58" s="2">
        <v>1</v>
      </c>
      <c r="GI58" s="2">
        <v>-2</v>
      </c>
      <c r="GJ58" s="2">
        <v>0</v>
      </c>
      <c r="GK58" s="2">
        <f>ROUND(R58*(R12)/100,2)</f>
        <v>0</v>
      </c>
      <c r="GL58" s="2">
        <f t="shared" si="86"/>
        <v>0</v>
      </c>
      <c r="GM58" s="2">
        <f t="shared" si="87"/>
        <v>0</v>
      </c>
      <c r="GN58" s="2">
        <f t="shared" si="88"/>
        <v>0</v>
      </c>
      <c r="GO58" s="2">
        <f t="shared" si="89"/>
        <v>0</v>
      </c>
      <c r="GP58" s="2">
        <f t="shared" si="90"/>
        <v>0</v>
      </c>
      <c r="GQ58" s="2"/>
      <c r="GR58" s="2">
        <v>0</v>
      </c>
      <c r="GS58" s="2">
        <v>3</v>
      </c>
      <c r="GT58" s="2">
        <v>0</v>
      </c>
      <c r="GU58" s="2" t="s">
        <v>4</v>
      </c>
      <c r="GV58" s="2">
        <f t="shared" si="91"/>
        <v>0</v>
      </c>
      <c r="GW58" s="2">
        <v>1</v>
      </c>
      <c r="GX58" s="2">
        <f t="shared" si="92"/>
        <v>0</v>
      </c>
      <c r="GY58" s="2"/>
      <c r="GZ58" s="2"/>
      <c r="HA58" s="2">
        <v>0</v>
      </c>
      <c r="HB58" s="2">
        <v>0</v>
      </c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>
        <v>0</v>
      </c>
      <c r="IL58" s="2"/>
      <c r="IM58" s="2"/>
      <c r="IN58" s="2"/>
      <c r="IO58" s="2"/>
      <c r="IP58" s="2"/>
      <c r="IQ58" s="2"/>
      <c r="IR58" s="2"/>
      <c r="IS58" s="2"/>
      <c r="IT58" s="2"/>
      <c r="IU58" s="2"/>
    </row>
    <row r="59" spans="1:255" x14ac:dyDescent="0.2">
      <c r="A59">
        <v>18</v>
      </c>
      <c r="B59">
        <v>1</v>
      </c>
      <c r="C59">
        <v>92</v>
      </c>
      <c r="E59" t="s">
        <v>102</v>
      </c>
      <c r="F59" t="s">
        <v>103</v>
      </c>
      <c r="G59" t="s">
        <v>104</v>
      </c>
      <c r="H59" t="s">
        <v>58</v>
      </c>
      <c r="I59">
        <f>I57*J59</f>
        <v>0.66469999999999996</v>
      </c>
      <c r="J59">
        <v>0.84999999999999987</v>
      </c>
      <c r="O59">
        <f t="shared" si="60"/>
        <v>0</v>
      </c>
      <c r="P59">
        <f t="shared" si="61"/>
        <v>0</v>
      </c>
      <c r="Q59">
        <f t="shared" si="62"/>
        <v>0</v>
      </c>
      <c r="R59">
        <f t="shared" si="63"/>
        <v>0</v>
      </c>
      <c r="S59">
        <f t="shared" si="64"/>
        <v>0</v>
      </c>
      <c r="T59">
        <f t="shared" si="65"/>
        <v>0</v>
      </c>
      <c r="U59">
        <f t="shared" si="66"/>
        <v>0</v>
      </c>
      <c r="V59">
        <f t="shared" si="67"/>
        <v>0</v>
      </c>
      <c r="W59">
        <f t="shared" si="68"/>
        <v>0</v>
      </c>
      <c r="X59">
        <f t="shared" si="69"/>
        <v>0</v>
      </c>
      <c r="Y59">
        <f t="shared" si="70"/>
        <v>0</v>
      </c>
      <c r="AA59">
        <v>16501255</v>
      </c>
      <c r="AB59">
        <f t="shared" si="71"/>
        <v>0</v>
      </c>
      <c r="AC59">
        <f t="shared" si="51"/>
        <v>0</v>
      </c>
      <c r="AD59">
        <f t="shared" si="93"/>
        <v>0</v>
      </c>
      <c r="AE59">
        <f t="shared" si="94"/>
        <v>0</v>
      </c>
      <c r="AF59">
        <f t="shared" si="94"/>
        <v>0</v>
      </c>
      <c r="AG59">
        <f t="shared" si="72"/>
        <v>0</v>
      </c>
      <c r="AH59">
        <f t="shared" si="95"/>
        <v>0</v>
      </c>
      <c r="AI59">
        <f t="shared" si="95"/>
        <v>0</v>
      </c>
      <c r="AJ59">
        <f t="shared" si="73"/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95</v>
      </c>
      <c r="AU59">
        <v>47</v>
      </c>
      <c r="AV59">
        <v>1</v>
      </c>
      <c r="AW59">
        <v>1</v>
      </c>
      <c r="AZ59">
        <v>6.08</v>
      </c>
      <c r="BA59">
        <v>1</v>
      </c>
      <c r="BB59">
        <v>1</v>
      </c>
      <c r="BC59">
        <v>6.08</v>
      </c>
      <c r="BD59" t="s">
        <v>4</v>
      </c>
      <c r="BE59" t="s">
        <v>4</v>
      </c>
      <c r="BF59" t="s">
        <v>4</v>
      </c>
      <c r="BG59" t="s">
        <v>4</v>
      </c>
      <c r="BH59">
        <v>3</v>
      </c>
      <c r="BI59">
        <v>1</v>
      </c>
      <c r="BJ59" t="s">
        <v>4</v>
      </c>
      <c r="BM59">
        <v>15001</v>
      </c>
      <c r="BN59">
        <v>0</v>
      </c>
      <c r="BO59" t="s">
        <v>4</v>
      </c>
      <c r="BP59">
        <v>0</v>
      </c>
      <c r="BQ59">
        <v>2</v>
      </c>
      <c r="BR59">
        <v>0</v>
      </c>
      <c r="BS59">
        <v>1</v>
      </c>
      <c r="BT59">
        <v>1</v>
      </c>
      <c r="BU59">
        <v>1</v>
      </c>
      <c r="BV59">
        <v>1</v>
      </c>
      <c r="BW59">
        <v>1</v>
      </c>
      <c r="BX59">
        <v>1</v>
      </c>
      <c r="BY59" t="s">
        <v>4</v>
      </c>
      <c r="BZ59">
        <v>105</v>
      </c>
      <c r="CA59">
        <v>55</v>
      </c>
      <c r="CF59">
        <v>0</v>
      </c>
      <c r="CG59">
        <v>0</v>
      </c>
      <c r="CM59">
        <v>0</v>
      </c>
      <c r="CN59" t="s">
        <v>4</v>
      </c>
      <c r="CO59">
        <v>0</v>
      </c>
      <c r="CP59">
        <f t="shared" si="74"/>
        <v>0</v>
      </c>
      <c r="CQ59">
        <f t="shared" si="75"/>
        <v>0</v>
      </c>
      <c r="CR59">
        <f t="shared" si="76"/>
        <v>0</v>
      </c>
      <c r="CS59">
        <f t="shared" si="77"/>
        <v>0</v>
      </c>
      <c r="CT59">
        <f t="shared" si="78"/>
        <v>0</v>
      </c>
      <c r="CU59">
        <f t="shared" si="79"/>
        <v>0</v>
      </c>
      <c r="CV59">
        <f t="shared" si="80"/>
        <v>0</v>
      </c>
      <c r="CW59">
        <f t="shared" si="81"/>
        <v>0</v>
      </c>
      <c r="CX59">
        <f t="shared" si="82"/>
        <v>0</v>
      </c>
      <c r="CY59">
        <f t="shared" si="83"/>
        <v>0</v>
      </c>
      <c r="CZ59">
        <f t="shared" si="84"/>
        <v>0</v>
      </c>
      <c r="DC59" t="s">
        <v>4</v>
      </c>
      <c r="DD59" t="s">
        <v>4</v>
      </c>
      <c r="DE59" t="s">
        <v>4</v>
      </c>
      <c r="DF59" t="s">
        <v>4</v>
      </c>
      <c r="DG59" t="s">
        <v>4</v>
      </c>
      <c r="DH59" t="s">
        <v>4</v>
      </c>
      <c r="DI59" t="s">
        <v>4</v>
      </c>
      <c r="DJ59" t="s">
        <v>4</v>
      </c>
      <c r="DK59" t="s">
        <v>4</v>
      </c>
      <c r="DL59" t="s">
        <v>4</v>
      </c>
      <c r="DM59" t="s">
        <v>4</v>
      </c>
      <c r="DN59">
        <v>0</v>
      </c>
      <c r="DO59">
        <v>0</v>
      </c>
      <c r="DP59">
        <v>1</v>
      </c>
      <c r="DQ59">
        <v>1</v>
      </c>
      <c r="DU59">
        <v>1009</v>
      </c>
      <c r="DV59" t="s">
        <v>58</v>
      </c>
      <c r="DW59" t="s">
        <v>58</v>
      </c>
      <c r="DX59">
        <v>1000</v>
      </c>
      <c r="EE59">
        <v>16510513</v>
      </c>
      <c r="EF59">
        <v>2</v>
      </c>
      <c r="EG59" t="s">
        <v>31</v>
      </c>
      <c r="EH59">
        <v>0</v>
      </c>
      <c r="EI59" t="s">
        <v>4</v>
      </c>
      <c r="EJ59">
        <v>1</v>
      </c>
      <c r="EK59">
        <v>15001</v>
      </c>
      <c r="EL59" t="s">
        <v>100</v>
      </c>
      <c r="EM59" t="s">
        <v>101</v>
      </c>
      <c r="EO59" t="s">
        <v>4</v>
      </c>
      <c r="EQ59">
        <v>0</v>
      </c>
      <c r="ER59">
        <v>0</v>
      </c>
      <c r="ES59">
        <v>0</v>
      </c>
      <c r="ET59">
        <v>0</v>
      </c>
      <c r="EU59">
        <v>0</v>
      </c>
      <c r="EV59">
        <v>0</v>
      </c>
      <c r="EW59">
        <v>0</v>
      </c>
      <c r="EX59">
        <v>0</v>
      </c>
      <c r="FQ59">
        <v>0</v>
      </c>
      <c r="FR59">
        <f t="shared" si="85"/>
        <v>0</v>
      </c>
      <c r="FS59">
        <v>0</v>
      </c>
      <c r="FT59" t="s">
        <v>34</v>
      </c>
      <c r="FU59" t="s">
        <v>35</v>
      </c>
      <c r="FX59">
        <v>94.5</v>
      </c>
      <c r="FY59">
        <v>46.75</v>
      </c>
      <c r="GA59" t="s">
        <v>4</v>
      </c>
      <c r="GD59">
        <v>0</v>
      </c>
      <c r="GF59">
        <v>1880203204</v>
      </c>
      <c r="GG59">
        <v>1</v>
      </c>
      <c r="GH59">
        <v>1</v>
      </c>
      <c r="GI59">
        <v>4</v>
      </c>
      <c r="GJ59">
        <v>0</v>
      </c>
      <c r="GK59">
        <f>ROUND(R59*(S12)/100,2)</f>
        <v>0</v>
      </c>
      <c r="GL59">
        <f t="shared" si="86"/>
        <v>0</v>
      </c>
      <c r="GM59">
        <f t="shared" si="87"/>
        <v>0</v>
      </c>
      <c r="GN59">
        <f t="shared" si="88"/>
        <v>0</v>
      </c>
      <c r="GO59">
        <f t="shared" si="89"/>
        <v>0</v>
      </c>
      <c r="GP59">
        <f t="shared" si="90"/>
        <v>0</v>
      </c>
      <c r="GR59">
        <v>0</v>
      </c>
      <c r="GS59">
        <v>3</v>
      </c>
      <c r="GT59">
        <v>0</v>
      </c>
      <c r="GU59" t="s">
        <v>4</v>
      </c>
      <c r="GV59">
        <f t="shared" si="91"/>
        <v>0</v>
      </c>
      <c r="GW59">
        <v>1</v>
      </c>
      <c r="GX59">
        <f t="shared" si="92"/>
        <v>0</v>
      </c>
      <c r="HA59">
        <v>0</v>
      </c>
      <c r="HB59">
        <v>0</v>
      </c>
      <c r="IK59">
        <v>0</v>
      </c>
    </row>
    <row r="60" spans="1:255" x14ac:dyDescent="0.2">
      <c r="A60" s="2">
        <v>18</v>
      </c>
      <c r="B60" s="2">
        <v>1</v>
      </c>
      <c r="C60" s="2">
        <v>84</v>
      </c>
      <c r="D60" s="2"/>
      <c r="E60" s="2" t="s">
        <v>105</v>
      </c>
      <c r="F60" s="2" t="s">
        <v>106</v>
      </c>
      <c r="G60" s="2" t="s">
        <v>107</v>
      </c>
      <c r="H60" s="2" t="s">
        <v>58</v>
      </c>
      <c r="I60" s="2">
        <f>I56*J60</f>
        <v>0.66469999999999996</v>
      </c>
      <c r="J60" s="2">
        <v>0.84999999999999987</v>
      </c>
      <c r="K60" s="2"/>
      <c r="L60" s="2"/>
      <c r="M60" s="2"/>
      <c r="N60" s="2"/>
      <c r="O60" s="2">
        <f t="shared" si="60"/>
        <v>619.08000000000004</v>
      </c>
      <c r="P60" s="2">
        <f t="shared" si="61"/>
        <v>619.08000000000004</v>
      </c>
      <c r="Q60" s="2">
        <f t="shared" si="62"/>
        <v>0</v>
      </c>
      <c r="R60" s="2">
        <f t="shared" si="63"/>
        <v>0</v>
      </c>
      <c r="S60" s="2">
        <f t="shared" si="64"/>
        <v>0</v>
      </c>
      <c r="T60" s="2">
        <f t="shared" si="65"/>
        <v>0</v>
      </c>
      <c r="U60" s="2">
        <f t="shared" si="66"/>
        <v>0</v>
      </c>
      <c r="V60" s="2">
        <f t="shared" si="67"/>
        <v>0</v>
      </c>
      <c r="W60" s="2">
        <f t="shared" si="68"/>
        <v>0</v>
      </c>
      <c r="X60" s="2">
        <f t="shared" si="69"/>
        <v>0</v>
      </c>
      <c r="Y60" s="2">
        <f t="shared" si="70"/>
        <v>0</v>
      </c>
      <c r="Z60" s="2"/>
      <c r="AA60" s="2">
        <v>16501254</v>
      </c>
      <c r="AB60" s="2">
        <f t="shared" si="71"/>
        <v>931.37</v>
      </c>
      <c r="AC60" s="2">
        <f t="shared" si="51"/>
        <v>931.37</v>
      </c>
      <c r="AD60" s="2">
        <f t="shared" si="93"/>
        <v>0</v>
      </c>
      <c r="AE60" s="2">
        <f t="shared" si="94"/>
        <v>0</v>
      </c>
      <c r="AF60" s="2">
        <f t="shared" si="94"/>
        <v>0</v>
      </c>
      <c r="AG60" s="2">
        <f t="shared" si="72"/>
        <v>0</v>
      </c>
      <c r="AH60" s="2">
        <f t="shared" si="95"/>
        <v>0</v>
      </c>
      <c r="AI60" s="2">
        <f t="shared" si="95"/>
        <v>0</v>
      </c>
      <c r="AJ60" s="2">
        <f t="shared" si="73"/>
        <v>0</v>
      </c>
      <c r="AK60" s="2">
        <v>931.37</v>
      </c>
      <c r="AL60" s="2">
        <v>931.37</v>
      </c>
      <c r="AM60" s="2">
        <v>0</v>
      </c>
      <c r="AN60" s="2">
        <v>0</v>
      </c>
      <c r="AO60" s="2">
        <v>0</v>
      </c>
      <c r="AP60" s="2">
        <v>0</v>
      </c>
      <c r="AQ60" s="2">
        <v>0</v>
      </c>
      <c r="AR60" s="2">
        <v>0</v>
      </c>
      <c r="AS60" s="2">
        <v>0</v>
      </c>
      <c r="AT60" s="2">
        <v>95</v>
      </c>
      <c r="AU60" s="2">
        <v>47</v>
      </c>
      <c r="AV60" s="2">
        <v>1</v>
      </c>
      <c r="AW60" s="2">
        <v>1</v>
      </c>
      <c r="AX60" s="2"/>
      <c r="AY60" s="2"/>
      <c r="AZ60" s="2">
        <v>1</v>
      </c>
      <c r="BA60" s="2">
        <v>1</v>
      </c>
      <c r="BB60" s="2">
        <v>1</v>
      </c>
      <c r="BC60" s="2">
        <v>1</v>
      </c>
      <c r="BD60" s="2" t="s">
        <v>4</v>
      </c>
      <c r="BE60" s="2" t="s">
        <v>4</v>
      </c>
      <c r="BF60" s="2" t="s">
        <v>4</v>
      </c>
      <c r="BG60" s="2" t="s">
        <v>4</v>
      </c>
      <c r="BH60" s="2">
        <v>3</v>
      </c>
      <c r="BI60" s="2">
        <v>1</v>
      </c>
      <c r="BJ60" s="2" t="s">
        <v>108</v>
      </c>
      <c r="BK60" s="2"/>
      <c r="BL60" s="2"/>
      <c r="BM60" s="2">
        <v>15001</v>
      </c>
      <c r="BN60" s="2">
        <v>0</v>
      </c>
      <c r="BO60" s="2" t="s">
        <v>4</v>
      </c>
      <c r="BP60" s="2">
        <v>0</v>
      </c>
      <c r="BQ60" s="2">
        <v>2</v>
      </c>
      <c r="BR60" s="2">
        <v>0</v>
      </c>
      <c r="BS60" s="2">
        <v>1</v>
      </c>
      <c r="BT60" s="2">
        <v>1</v>
      </c>
      <c r="BU60" s="2">
        <v>1</v>
      </c>
      <c r="BV60" s="2">
        <v>1</v>
      </c>
      <c r="BW60" s="2">
        <v>1</v>
      </c>
      <c r="BX60" s="2">
        <v>1</v>
      </c>
      <c r="BY60" s="2" t="s">
        <v>4</v>
      </c>
      <c r="BZ60" s="2">
        <v>105</v>
      </c>
      <c r="CA60" s="2">
        <v>55</v>
      </c>
      <c r="CB60" s="2"/>
      <c r="CC60" s="2"/>
      <c r="CD60" s="2"/>
      <c r="CE60" s="2"/>
      <c r="CF60" s="2">
        <v>0</v>
      </c>
      <c r="CG60" s="2">
        <v>0</v>
      </c>
      <c r="CH60" s="2"/>
      <c r="CI60" s="2"/>
      <c r="CJ60" s="2"/>
      <c r="CK60" s="2"/>
      <c r="CL60" s="2"/>
      <c r="CM60" s="2">
        <v>0</v>
      </c>
      <c r="CN60" s="2" t="s">
        <v>4</v>
      </c>
      <c r="CO60" s="2">
        <v>0</v>
      </c>
      <c r="CP60" s="2">
        <f t="shared" si="74"/>
        <v>619.08000000000004</v>
      </c>
      <c r="CQ60" s="2">
        <f t="shared" si="75"/>
        <v>931.37</v>
      </c>
      <c r="CR60" s="2">
        <f t="shared" si="76"/>
        <v>0</v>
      </c>
      <c r="CS60" s="2">
        <f t="shared" si="77"/>
        <v>0</v>
      </c>
      <c r="CT60" s="2">
        <f t="shared" si="78"/>
        <v>0</v>
      </c>
      <c r="CU60" s="2">
        <f t="shared" si="79"/>
        <v>0</v>
      </c>
      <c r="CV60" s="2">
        <f t="shared" si="80"/>
        <v>0</v>
      </c>
      <c r="CW60" s="2">
        <f t="shared" si="81"/>
        <v>0</v>
      </c>
      <c r="CX60" s="2">
        <f t="shared" si="82"/>
        <v>0</v>
      </c>
      <c r="CY60" s="2">
        <f t="shared" si="83"/>
        <v>0</v>
      </c>
      <c r="CZ60" s="2">
        <f t="shared" si="84"/>
        <v>0</v>
      </c>
      <c r="DA60" s="2"/>
      <c r="DB60" s="2"/>
      <c r="DC60" s="2" t="s">
        <v>4</v>
      </c>
      <c r="DD60" s="2" t="s">
        <v>4</v>
      </c>
      <c r="DE60" s="2" t="s">
        <v>4</v>
      </c>
      <c r="DF60" s="2" t="s">
        <v>4</v>
      </c>
      <c r="DG60" s="2" t="s">
        <v>4</v>
      </c>
      <c r="DH60" s="2" t="s">
        <v>4</v>
      </c>
      <c r="DI60" s="2" t="s">
        <v>4</v>
      </c>
      <c r="DJ60" s="2" t="s">
        <v>4</v>
      </c>
      <c r="DK60" s="2" t="s">
        <v>4</v>
      </c>
      <c r="DL60" s="2" t="s">
        <v>4</v>
      </c>
      <c r="DM60" s="2" t="s">
        <v>4</v>
      </c>
      <c r="DN60" s="2">
        <v>0</v>
      </c>
      <c r="DO60" s="2">
        <v>0</v>
      </c>
      <c r="DP60" s="2">
        <v>1</v>
      </c>
      <c r="DQ60" s="2">
        <v>1</v>
      </c>
      <c r="DR60" s="2"/>
      <c r="DS60" s="2"/>
      <c r="DT60" s="2"/>
      <c r="DU60" s="2">
        <v>1009</v>
      </c>
      <c r="DV60" s="2" t="s">
        <v>58</v>
      </c>
      <c r="DW60" s="2" t="s">
        <v>58</v>
      </c>
      <c r="DX60" s="2">
        <v>1000</v>
      </c>
      <c r="DY60" s="2"/>
      <c r="DZ60" s="2"/>
      <c r="EA60" s="2"/>
      <c r="EB60" s="2"/>
      <c r="EC60" s="2"/>
      <c r="ED60" s="2"/>
      <c r="EE60" s="2">
        <v>16510513</v>
      </c>
      <c r="EF60" s="2">
        <v>2</v>
      </c>
      <c r="EG60" s="2" t="s">
        <v>31</v>
      </c>
      <c r="EH60" s="2">
        <v>0</v>
      </c>
      <c r="EI60" s="2" t="s">
        <v>4</v>
      </c>
      <c r="EJ60" s="2">
        <v>1</v>
      </c>
      <c r="EK60" s="2">
        <v>15001</v>
      </c>
      <c r="EL60" s="2" t="s">
        <v>100</v>
      </c>
      <c r="EM60" s="2" t="s">
        <v>101</v>
      </c>
      <c r="EN60" s="2"/>
      <c r="EO60" s="2" t="s">
        <v>4</v>
      </c>
      <c r="EP60" s="2"/>
      <c r="EQ60" s="2">
        <v>0</v>
      </c>
      <c r="ER60" s="2">
        <v>931.37</v>
      </c>
      <c r="ES60" s="2">
        <v>931.37</v>
      </c>
      <c r="ET60" s="2">
        <v>0</v>
      </c>
      <c r="EU60" s="2">
        <v>0</v>
      </c>
      <c r="EV60" s="2">
        <v>0</v>
      </c>
      <c r="EW60" s="2">
        <v>0</v>
      </c>
      <c r="EX60" s="2">
        <v>0</v>
      </c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>
        <v>0</v>
      </c>
      <c r="FR60" s="2">
        <f t="shared" si="85"/>
        <v>0</v>
      </c>
      <c r="FS60" s="2">
        <v>0</v>
      </c>
      <c r="FT60" s="2" t="s">
        <v>34</v>
      </c>
      <c r="FU60" s="2" t="s">
        <v>35</v>
      </c>
      <c r="FV60" s="2"/>
      <c r="FW60" s="2"/>
      <c r="FX60" s="2">
        <v>94.5</v>
      </c>
      <c r="FY60" s="2">
        <v>46.75</v>
      </c>
      <c r="FZ60" s="2"/>
      <c r="GA60" s="2" t="s">
        <v>4</v>
      </c>
      <c r="GB60" s="2"/>
      <c r="GC60" s="2"/>
      <c r="GD60" s="2">
        <v>0</v>
      </c>
      <c r="GE60" s="2"/>
      <c r="GF60" s="2">
        <v>-791558573</v>
      </c>
      <c r="GG60" s="2">
        <v>2</v>
      </c>
      <c r="GH60" s="2">
        <v>1</v>
      </c>
      <c r="GI60" s="2">
        <v>-2</v>
      </c>
      <c r="GJ60" s="2">
        <v>0</v>
      </c>
      <c r="GK60" s="2">
        <f>ROUND(R60*(R12)/100,2)</f>
        <v>0</v>
      </c>
      <c r="GL60" s="2">
        <f t="shared" si="86"/>
        <v>0</v>
      </c>
      <c r="GM60" s="2">
        <f t="shared" si="87"/>
        <v>619.08000000000004</v>
      </c>
      <c r="GN60" s="2">
        <f t="shared" si="88"/>
        <v>619.08000000000004</v>
      </c>
      <c r="GO60" s="2">
        <f t="shared" si="89"/>
        <v>0</v>
      </c>
      <c r="GP60" s="2">
        <f t="shared" si="90"/>
        <v>0</v>
      </c>
      <c r="GQ60" s="2"/>
      <c r="GR60" s="2">
        <v>0</v>
      </c>
      <c r="GS60" s="2">
        <v>3</v>
      </c>
      <c r="GT60" s="2">
        <v>0</v>
      </c>
      <c r="GU60" s="2" t="s">
        <v>4</v>
      </c>
      <c r="GV60" s="2">
        <f t="shared" si="91"/>
        <v>0</v>
      </c>
      <c r="GW60" s="2">
        <v>1</v>
      </c>
      <c r="GX60" s="2">
        <f t="shared" si="92"/>
        <v>0</v>
      </c>
      <c r="GY60" s="2"/>
      <c r="GZ60" s="2"/>
      <c r="HA60" s="2">
        <v>0</v>
      </c>
      <c r="HB60" s="2">
        <v>0</v>
      </c>
      <c r="HC60" s="2"/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  <c r="HW60" s="2"/>
      <c r="HX60" s="2"/>
      <c r="HY60" s="2"/>
      <c r="HZ60" s="2"/>
      <c r="IA60" s="2"/>
      <c r="IB60" s="2"/>
      <c r="IC60" s="2"/>
      <c r="ID60" s="2"/>
      <c r="IE60" s="2"/>
      <c r="IF60" s="2"/>
      <c r="IG60" s="2"/>
      <c r="IH60" s="2"/>
      <c r="II60" s="2"/>
      <c r="IJ60" s="2"/>
      <c r="IK60" s="2">
        <v>0</v>
      </c>
      <c r="IL60" s="2"/>
      <c r="IM60" s="2"/>
      <c r="IN60" s="2"/>
      <c r="IO60" s="2"/>
      <c r="IP60" s="2"/>
      <c r="IQ60" s="2"/>
      <c r="IR60" s="2"/>
      <c r="IS60" s="2"/>
      <c r="IT60" s="2"/>
      <c r="IU60" s="2"/>
    </row>
    <row r="61" spans="1:255" x14ac:dyDescent="0.2">
      <c r="A61">
        <v>18</v>
      </c>
      <c r="B61">
        <v>1</v>
      </c>
      <c r="C61">
        <v>93</v>
      </c>
      <c r="E61" t="s">
        <v>105</v>
      </c>
      <c r="F61" t="s">
        <v>106</v>
      </c>
      <c r="G61" t="s">
        <v>107</v>
      </c>
      <c r="H61" t="s">
        <v>58</v>
      </c>
      <c r="I61">
        <f>I57*J61</f>
        <v>0.66469999999999996</v>
      </c>
      <c r="J61">
        <v>0.84999999999999987</v>
      </c>
      <c r="O61">
        <f t="shared" si="60"/>
        <v>3764.02</v>
      </c>
      <c r="P61">
        <f t="shared" si="61"/>
        <v>3764.02</v>
      </c>
      <c r="Q61">
        <f t="shared" si="62"/>
        <v>0</v>
      </c>
      <c r="R61">
        <f t="shared" si="63"/>
        <v>0</v>
      </c>
      <c r="S61">
        <f t="shared" si="64"/>
        <v>0</v>
      </c>
      <c r="T61">
        <f t="shared" si="65"/>
        <v>0</v>
      </c>
      <c r="U61">
        <f t="shared" si="66"/>
        <v>0</v>
      </c>
      <c r="V61">
        <f t="shared" si="67"/>
        <v>0</v>
      </c>
      <c r="W61">
        <f t="shared" si="68"/>
        <v>0</v>
      </c>
      <c r="X61">
        <f t="shared" si="69"/>
        <v>0</v>
      </c>
      <c r="Y61">
        <f t="shared" si="70"/>
        <v>0</v>
      </c>
      <c r="AA61">
        <v>16501255</v>
      </c>
      <c r="AB61">
        <f t="shared" si="71"/>
        <v>931.37</v>
      </c>
      <c r="AC61">
        <f t="shared" si="51"/>
        <v>931.37</v>
      </c>
      <c r="AD61">
        <f t="shared" si="93"/>
        <v>0</v>
      </c>
      <c r="AE61">
        <f t="shared" si="94"/>
        <v>0</v>
      </c>
      <c r="AF61">
        <f t="shared" si="94"/>
        <v>0</v>
      </c>
      <c r="AG61">
        <f t="shared" si="72"/>
        <v>0</v>
      </c>
      <c r="AH61">
        <f t="shared" si="95"/>
        <v>0</v>
      </c>
      <c r="AI61">
        <f t="shared" si="95"/>
        <v>0</v>
      </c>
      <c r="AJ61">
        <f t="shared" si="73"/>
        <v>0</v>
      </c>
      <c r="AK61">
        <v>931.37</v>
      </c>
      <c r="AL61">
        <v>931.37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95</v>
      </c>
      <c r="AU61">
        <v>47</v>
      </c>
      <c r="AV61">
        <v>1</v>
      </c>
      <c r="AW61">
        <v>1</v>
      </c>
      <c r="AZ61">
        <v>6.08</v>
      </c>
      <c r="BA61">
        <v>1</v>
      </c>
      <c r="BB61">
        <v>1</v>
      </c>
      <c r="BC61">
        <v>6.08</v>
      </c>
      <c r="BD61" t="s">
        <v>4</v>
      </c>
      <c r="BE61" t="s">
        <v>4</v>
      </c>
      <c r="BF61" t="s">
        <v>4</v>
      </c>
      <c r="BG61" t="s">
        <v>4</v>
      </c>
      <c r="BH61">
        <v>3</v>
      </c>
      <c r="BI61">
        <v>1</v>
      </c>
      <c r="BJ61" t="s">
        <v>108</v>
      </c>
      <c r="BM61">
        <v>15001</v>
      </c>
      <c r="BN61">
        <v>0</v>
      </c>
      <c r="BO61" t="s">
        <v>4</v>
      </c>
      <c r="BP61">
        <v>0</v>
      </c>
      <c r="BQ61">
        <v>2</v>
      </c>
      <c r="BR61">
        <v>0</v>
      </c>
      <c r="BS61">
        <v>1</v>
      </c>
      <c r="BT61">
        <v>1</v>
      </c>
      <c r="BU61">
        <v>1</v>
      </c>
      <c r="BV61">
        <v>1</v>
      </c>
      <c r="BW61">
        <v>1</v>
      </c>
      <c r="BX61">
        <v>1</v>
      </c>
      <c r="BY61" t="s">
        <v>4</v>
      </c>
      <c r="BZ61">
        <v>105</v>
      </c>
      <c r="CA61">
        <v>55</v>
      </c>
      <c r="CF61">
        <v>0</v>
      </c>
      <c r="CG61">
        <v>0</v>
      </c>
      <c r="CM61">
        <v>0</v>
      </c>
      <c r="CN61" t="s">
        <v>4</v>
      </c>
      <c r="CO61">
        <v>0</v>
      </c>
      <c r="CP61">
        <f t="shared" si="74"/>
        <v>3764.02</v>
      </c>
      <c r="CQ61">
        <f t="shared" si="75"/>
        <v>5662.7295999999997</v>
      </c>
      <c r="CR61">
        <f t="shared" si="76"/>
        <v>0</v>
      </c>
      <c r="CS61">
        <f t="shared" si="77"/>
        <v>0</v>
      </c>
      <c r="CT61">
        <f t="shared" si="78"/>
        <v>0</v>
      </c>
      <c r="CU61">
        <f t="shared" si="79"/>
        <v>0</v>
      </c>
      <c r="CV61">
        <f t="shared" si="80"/>
        <v>0</v>
      </c>
      <c r="CW61">
        <f t="shared" si="81"/>
        <v>0</v>
      </c>
      <c r="CX61">
        <f t="shared" si="82"/>
        <v>0</v>
      </c>
      <c r="CY61">
        <f t="shared" si="83"/>
        <v>0</v>
      </c>
      <c r="CZ61">
        <f t="shared" si="84"/>
        <v>0</v>
      </c>
      <c r="DC61" t="s">
        <v>4</v>
      </c>
      <c r="DD61" t="s">
        <v>4</v>
      </c>
      <c r="DE61" t="s">
        <v>4</v>
      </c>
      <c r="DF61" t="s">
        <v>4</v>
      </c>
      <c r="DG61" t="s">
        <v>4</v>
      </c>
      <c r="DH61" t="s">
        <v>4</v>
      </c>
      <c r="DI61" t="s">
        <v>4</v>
      </c>
      <c r="DJ61" t="s">
        <v>4</v>
      </c>
      <c r="DK61" t="s">
        <v>4</v>
      </c>
      <c r="DL61" t="s">
        <v>4</v>
      </c>
      <c r="DM61" t="s">
        <v>4</v>
      </c>
      <c r="DN61">
        <v>0</v>
      </c>
      <c r="DO61">
        <v>0</v>
      </c>
      <c r="DP61">
        <v>1</v>
      </c>
      <c r="DQ61">
        <v>1</v>
      </c>
      <c r="DU61">
        <v>1009</v>
      </c>
      <c r="DV61" t="s">
        <v>58</v>
      </c>
      <c r="DW61" t="s">
        <v>58</v>
      </c>
      <c r="DX61">
        <v>1000</v>
      </c>
      <c r="EE61">
        <v>16510513</v>
      </c>
      <c r="EF61">
        <v>2</v>
      </c>
      <c r="EG61" t="s">
        <v>31</v>
      </c>
      <c r="EH61">
        <v>0</v>
      </c>
      <c r="EI61" t="s">
        <v>4</v>
      </c>
      <c r="EJ61">
        <v>1</v>
      </c>
      <c r="EK61">
        <v>15001</v>
      </c>
      <c r="EL61" t="s">
        <v>100</v>
      </c>
      <c r="EM61" t="s">
        <v>101</v>
      </c>
      <c r="EO61" t="s">
        <v>4</v>
      </c>
      <c r="EQ61">
        <v>0</v>
      </c>
      <c r="ER61">
        <v>931.37</v>
      </c>
      <c r="ES61">
        <v>931.37</v>
      </c>
      <c r="ET61">
        <v>0</v>
      </c>
      <c r="EU61">
        <v>0</v>
      </c>
      <c r="EV61">
        <v>0</v>
      </c>
      <c r="EW61">
        <v>0</v>
      </c>
      <c r="EX61">
        <v>0</v>
      </c>
      <c r="FQ61">
        <v>0</v>
      </c>
      <c r="FR61">
        <f t="shared" si="85"/>
        <v>0</v>
      </c>
      <c r="FS61">
        <v>0</v>
      </c>
      <c r="FT61" t="s">
        <v>34</v>
      </c>
      <c r="FU61" t="s">
        <v>35</v>
      </c>
      <c r="FX61">
        <v>94.5</v>
      </c>
      <c r="FY61">
        <v>46.75</v>
      </c>
      <c r="GA61" t="s">
        <v>4</v>
      </c>
      <c r="GD61">
        <v>0</v>
      </c>
      <c r="GF61">
        <v>-791558573</v>
      </c>
      <c r="GG61">
        <v>1</v>
      </c>
      <c r="GH61">
        <v>1</v>
      </c>
      <c r="GI61">
        <v>4</v>
      </c>
      <c r="GJ61">
        <v>0</v>
      </c>
      <c r="GK61">
        <f>ROUND(R61*(S12)/100,2)</f>
        <v>0</v>
      </c>
      <c r="GL61">
        <f t="shared" si="86"/>
        <v>0</v>
      </c>
      <c r="GM61">
        <f t="shared" si="87"/>
        <v>3764.02</v>
      </c>
      <c r="GN61">
        <f t="shared" si="88"/>
        <v>3764.02</v>
      </c>
      <c r="GO61">
        <f t="shared" si="89"/>
        <v>0</v>
      </c>
      <c r="GP61">
        <f t="shared" si="90"/>
        <v>0</v>
      </c>
      <c r="GR61">
        <v>0</v>
      </c>
      <c r="GS61">
        <v>3</v>
      </c>
      <c r="GT61">
        <v>0</v>
      </c>
      <c r="GU61" t="s">
        <v>4</v>
      </c>
      <c r="GV61">
        <f t="shared" si="91"/>
        <v>0</v>
      </c>
      <c r="GW61">
        <v>1</v>
      </c>
      <c r="GX61">
        <f t="shared" si="92"/>
        <v>0</v>
      </c>
      <c r="HA61">
        <v>0</v>
      </c>
      <c r="HB61">
        <v>0</v>
      </c>
      <c r="IK61">
        <v>0</v>
      </c>
    </row>
    <row r="62" spans="1:255" x14ac:dyDescent="0.2">
      <c r="A62" s="2">
        <v>18</v>
      </c>
      <c r="B62" s="2">
        <v>1</v>
      </c>
      <c r="C62" s="2">
        <v>85</v>
      </c>
      <c r="D62" s="2"/>
      <c r="E62" s="2" t="s">
        <v>109</v>
      </c>
      <c r="F62" s="2" t="s">
        <v>110</v>
      </c>
      <c r="G62" s="2" t="s">
        <v>111</v>
      </c>
      <c r="H62" s="2" t="s">
        <v>58</v>
      </c>
      <c r="I62" s="2">
        <f>I56*J62</f>
        <v>1.5599999999999999E-2</v>
      </c>
      <c r="J62" s="2">
        <v>1.9948849104859334E-2</v>
      </c>
      <c r="K62" s="2"/>
      <c r="L62" s="2"/>
      <c r="M62" s="2"/>
      <c r="N62" s="2"/>
      <c r="O62" s="2">
        <f t="shared" si="60"/>
        <v>286.89</v>
      </c>
      <c r="P62" s="2">
        <f t="shared" si="61"/>
        <v>286.89</v>
      </c>
      <c r="Q62" s="2">
        <f t="shared" si="62"/>
        <v>0</v>
      </c>
      <c r="R62" s="2">
        <f t="shared" si="63"/>
        <v>0</v>
      </c>
      <c r="S62" s="2">
        <f t="shared" si="64"/>
        <v>0</v>
      </c>
      <c r="T62" s="2">
        <f t="shared" si="65"/>
        <v>0</v>
      </c>
      <c r="U62" s="2">
        <f t="shared" si="66"/>
        <v>0</v>
      </c>
      <c r="V62" s="2">
        <f t="shared" si="67"/>
        <v>0</v>
      </c>
      <c r="W62" s="2">
        <f t="shared" si="68"/>
        <v>0</v>
      </c>
      <c r="X62" s="2">
        <f t="shared" si="69"/>
        <v>0</v>
      </c>
      <c r="Y62" s="2">
        <f t="shared" si="70"/>
        <v>0</v>
      </c>
      <c r="Z62" s="2"/>
      <c r="AA62" s="2">
        <v>16501254</v>
      </c>
      <c r="AB62" s="2">
        <f t="shared" si="71"/>
        <v>18390.16</v>
      </c>
      <c r="AC62" s="2">
        <f t="shared" si="51"/>
        <v>18390.16</v>
      </c>
      <c r="AD62" s="2">
        <f t="shared" si="93"/>
        <v>0</v>
      </c>
      <c r="AE62" s="2">
        <f t="shared" si="94"/>
        <v>0</v>
      </c>
      <c r="AF62" s="2">
        <f t="shared" si="94"/>
        <v>0</v>
      </c>
      <c r="AG62" s="2">
        <f t="shared" si="72"/>
        <v>0</v>
      </c>
      <c r="AH62" s="2">
        <f t="shared" si="95"/>
        <v>0</v>
      </c>
      <c r="AI62" s="2">
        <f t="shared" si="95"/>
        <v>0</v>
      </c>
      <c r="AJ62" s="2">
        <f t="shared" si="73"/>
        <v>0</v>
      </c>
      <c r="AK62" s="2">
        <v>18390.16</v>
      </c>
      <c r="AL62" s="2">
        <v>18390.16</v>
      </c>
      <c r="AM62" s="2">
        <v>0</v>
      </c>
      <c r="AN62" s="2">
        <v>0</v>
      </c>
      <c r="AO62" s="2">
        <v>0</v>
      </c>
      <c r="AP62" s="2">
        <v>0</v>
      </c>
      <c r="AQ62" s="2">
        <v>0</v>
      </c>
      <c r="AR62" s="2">
        <v>0</v>
      </c>
      <c r="AS62" s="2">
        <v>0</v>
      </c>
      <c r="AT62" s="2">
        <v>95</v>
      </c>
      <c r="AU62" s="2">
        <v>47</v>
      </c>
      <c r="AV62" s="2">
        <v>1</v>
      </c>
      <c r="AW62" s="2">
        <v>1</v>
      </c>
      <c r="AX62" s="2"/>
      <c r="AY62" s="2"/>
      <c r="AZ62" s="2">
        <v>1</v>
      </c>
      <c r="BA62" s="2">
        <v>1</v>
      </c>
      <c r="BB62" s="2">
        <v>1</v>
      </c>
      <c r="BC62" s="2">
        <v>1</v>
      </c>
      <c r="BD62" s="2" t="s">
        <v>4</v>
      </c>
      <c r="BE62" s="2" t="s">
        <v>4</v>
      </c>
      <c r="BF62" s="2" t="s">
        <v>4</v>
      </c>
      <c r="BG62" s="2" t="s">
        <v>4</v>
      </c>
      <c r="BH62" s="2">
        <v>3</v>
      </c>
      <c r="BI62" s="2">
        <v>1</v>
      </c>
      <c r="BJ62" s="2" t="s">
        <v>112</v>
      </c>
      <c r="BK62" s="2"/>
      <c r="BL62" s="2"/>
      <c r="BM62" s="2">
        <v>15001</v>
      </c>
      <c r="BN62" s="2">
        <v>0</v>
      </c>
      <c r="BO62" s="2" t="s">
        <v>4</v>
      </c>
      <c r="BP62" s="2">
        <v>0</v>
      </c>
      <c r="BQ62" s="2">
        <v>2</v>
      </c>
      <c r="BR62" s="2">
        <v>0</v>
      </c>
      <c r="BS62" s="2">
        <v>1</v>
      </c>
      <c r="BT62" s="2">
        <v>1</v>
      </c>
      <c r="BU62" s="2">
        <v>1</v>
      </c>
      <c r="BV62" s="2">
        <v>1</v>
      </c>
      <c r="BW62" s="2">
        <v>1</v>
      </c>
      <c r="BX62" s="2">
        <v>1</v>
      </c>
      <c r="BY62" s="2" t="s">
        <v>4</v>
      </c>
      <c r="BZ62" s="2">
        <v>105</v>
      </c>
      <c r="CA62" s="2">
        <v>55</v>
      </c>
      <c r="CB62" s="2"/>
      <c r="CC62" s="2"/>
      <c r="CD62" s="2"/>
      <c r="CE62" s="2"/>
      <c r="CF62" s="2">
        <v>0</v>
      </c>
      <c r="CG62" s="2">
        <v>0</v>
      </c>
      <c r="CH62" s="2"/>
      <c r="CI62" s="2"/>
      <c r="CJ62" s="2"/>
      <c r="CK62" s="2"/>
      <c r="CL62" s="2"/>
      <c r="CM62" s="2">
        <v>0</v>
      </c>
      <c r="CN62" s="2" t="s">
        <v>4</v>
      </c>
      <c r="CO62" s="2">
        <v>0</v>
      </c>
      <c r="CP62" s="2">
        <f t="shared" si="74"/>
        <v>286.89</v>
      </c>
      <c r="CQ62" s="2">
        <f t="shared" si="75"/>
        <v>18390.16</v>
      </c>
      <c r="CR62" s="2">
        <f t="shared" si="76"/>
        <v>0</v>
      </c>
      <c r="CS62" s="2">
        <f t="shared" si="77"/>
        <v>0</v>
      </c>
      <c r="CT62" s="2">
        <f t="shared" si="78"/>
        <v>0</v>
      </c>
      <c r="CU62" s="2">
        <f t="shared" si="79"/>
        <v>0</v>
      </c>
      <c r="CV62" s="2">
        <f t="shared" si="80"/>
        <v>0</v>
      </c>
      <c r="CW62" s="2">
        <f t="shared" si="81"/>
        <v>0</v>
      </c>
      <c r="CX62" s="2">
        <f t="shared" si="82"/>
        <v>0</v>
      </c>
      <c r="CY62" s="2">
        <f t="shared" si="83"/>
        <v>0</v>
      </c>
      <c r="CZ62" s="2">
        <f t="shared" si="84"/>
        <v>0</v>
      </c>
      <c r="DA62" s="2"/>
      <c r="DB62" s="2"/>
      <c r="DC62" s="2" t="s">
        <v>4</v>
      </c>
      <c r="DD62" s="2" t="s">
        <v>4</v>
      </c>
      <c r="DE62" s="2" t="s">
        <v>4</v>
      </c>
      <c r="DF62" s="2" t="s">
        <v>4</v>
      </c>
      <c r="DG62" s="2" t="s">
        <v>4</v>
      </c>
      <c r="DH62" s="2" t="s">
        <v>4</v>
      </c>
      <c r="DI62" s="2" t="s">
        <v>4</v>
      </c>
      <c r="DJ62" s="2" t="s">
        <v>4</v>
      </c>
      <c r="DK62" s="2" t="s">
        <v>4</v>
      </c>
      <c r="DL62" s="2" t="s">
        <v>4</v>
      </c>
      <c r="DM62" s="2" t="s">
        <v>4</v>
      </c>
      <c r="DN62" s="2">
        <v>0</v>
      </c>
      <c r="DO62" s="2">
        <v>0</v>
      </c>
      <c r="DP62" s="2">
        <v>1</v>
      </c>
      <c r="DQ62" s="2">
        <v>1</v>
      </c>
      <c r="DR62" s="2"/>
      <c r="DS62" s="2"/>
      <c r="DT62" s="2"/>
      <c r="DU62" s="2">
        <v>1009</v>
      </c>
      <c r="DV62" s="2" t="s">
        <v>58</v>
      </c>
      <c r="DW62" s="2" t="s">
        <v>58</v>
      </c>
      <c r="DX62" s="2">
        <v>1000</v>
      </c>
      <c r="DY62" s="2"/>
      <c r="DZ62" s="2"/>
      <c r="EA62" s="2"/>
      <c r="EB62" s="2"/>
      <c r="EC62" s="2"/>
      <c r="ED62" s="2"/>
      <c r="EE62" s="2">
        <v>16510513</v>
      </c>
      <c r="EF62" s="2">
        <v>2</v>
      </c>
      <c r="EG62" s="2" t="s">
        <v>31</v>
      </c>
      <c r="EH62" s="2">
        <v>0</v>
      </c>
      <c r="EI62" s="2" t="s">
        <v>4</v>
      </c>
      <c r="EJ62" s="2">
        <v>1</v>
      </c>
      <c r="EK62" s="2">
        <v>15001</v>
      </c>
      <c r="EL62" s="2" t="s">
        <v>100</v>
      </c>
      <c r="EM62" s="2" t="s">
        <v>101</v>
      </c>
      <c r="EN62" s="2"/>
      <c r="EO62" s="2" t="s">
        <v>4</v>
      </c>
      <c r="EP62" s="2"/>
      <c r="EQ62" s="2">
        <v>0</v>
      </c>
      <c r="ER62" s="2">
        <v>18390.16</v>
      </c>
      <c r="ES62" s="2">
        <v>18390.16</v>
      </c>
      <c r="ET62" s="2">
        <v>0</v>
      </c>
      <c r="EU62" s="2">
        <v>0</v>
      </c>
      <c r="EV62" s="2">
        <v>0</v>
      </c>
      <c r="EW62" s="2">
        <v>0</v>
      </c>
      <c r="EX62" s="2">
        <v>0</v>
      </c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>
        <v>0</v>
      </c>
      <c r="FR62" s="2">
        <f t="shared" si="85"/>
        <v>0</v>
      </c>
      <c r="FS62" s="2">
        <v>0</v>
      </c>
      <c r="FT62" s="2" t="s">
        <v>34</v>
      </c>
      <c r="FU62" s="2" t="s">
        <v>35</v>
      </c>
      <c r="FV62" s="2"/>
      <c r="FW62" s="2"/>
      <c r="FX62" s="2">
        <v>94.5</v>
      </c>
      <c r="FY62" s="2">
        <v>46.75</v>
      </c>
      <c r="FZ62" s="2"/>
      <c r="GA62" s="2" t="s">
        <v>4</v>
      </c>
      <c r="GB62" s="2"/>
      <c r="GC62" s="2"/>
      <c r="GD62" s="2">
        <v>0</v>
      </c>
      <c r="GE62" s="2"/>
      <c r="GF62" s="2">
        <v>-1919714308</v>
      </c>
      <c r="GG62" s="2">
        <v>2</v>
      </c>
      <c r="GH62" s="2">
        <v>1</v>
      </c>
      <c r="GI62" s="2">
        <v>-2</v>
      </c>
      <c r="GJ62" s="2">
        <v>0</v>
      </c>
      <c r="GK62" s="2">
        <f>ROUND(R62*(R12)/100,2)</f>
        <v>0</v>
      </c>
      <c r="GL62" s="2">
        <f t="shared" si="86"/>
        <v>0</v>
      </c>
      <c r="GM62" s="2">
        <f t="shared" si="87"/>
        <v>286.89</v>
      </c>
      <c r="GN62" s="2">
        <f t="shared" si="88"/>
        <v>286.89</v>
      </c>
      <c r="GO62" s="2">
        <f t="shared" si="89"/>
        <v>0</v>
      </c>
      <c r="GP62" s="2">
        <f t="shared" si="90"/>
        <v>0</v>
      </c>
      <c r="GQ62" s="2"/>
      <c r="GR62" s="2">
        <v>0</v>
      </c>
      <c r="GS62" s="2">
        <v>3</v>
      </c>
      <c r="GT62" s="2">
        <v>0</v>
      </c>
      <c r="GU62" s="2" t="s">
        <v>4</v>
      </c>
      <c r="GV62" s="2">
        <f t="shared" si="91"/>
        <v>0</v>
      </c>
      <c r="GW62" s="2">
        <v>1</v>
      </c>
      <c r="GX62" s="2">
        <f t="shared" si="92"/>
        <v>0</v>
      </c>
      <c r="GY62" s="2"/>
      <c r="GZ62" s="2"/>
      <c r="HA62" s="2">
        <v>0</v>
      </c>
      <c r="HB62" s="2">
        <v>0</v>
      </c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  <c r="II62" s="2"/>
      <c r="IJ62" s="2"/>
      <c r="IK62" s="2">
        <v>0</v>
      </c>
      <c r="IL62" s="2"/>
      <c r="IM62" s="2"/>
      <c r="IN62" s="2"/>
      <c r="IO62" s="2"/>
      <c r="IP62" s="2"/>
      <c r="IQ62" s="2"/>
      <c r="IR62" s="2"/>
      <c r="IS62" s="2"/>
      <c r="IT62" s="2"/>
      <c r="IU62" s="2"/>
    </row>
    <row r="63" spans="1:255" x14ac:dyDescent="0.2">
      <c r="A63">
        <v>18</v>
      </c>
      <c r="B63">
        <v>1</v>
      </c>
      <c r="C63">
        <v>94</v>
      </c>
      <c r="E63" t="s">
        <v>109</v>
      </c>
      <c r="F63" t="s">
        <v>110</v>
      </c>
      <c r="G63" t="s">
        <v>111</v>
      </c>
      <c r="H63" t="s">
        <v>58</v>
      </c>
      <c r="I63">
        <f>I57*J63</f>
        <v>1.5599999999999999E-2</v>
      </c>
      <c r="J63">
        <v>1.9948849104859334E-2</v>
      </c>
      <c r="O63">
        <f t="shared" si="60"/>
        <v>1744.27</v>
      </c>
      <c r="P63">
        <f t="shared" si="61"/>
        <v>1744.27</v>
      </c>
      <c r="Q63">
        <f t="shared" si="62"/>
        <v>0</v>
      </c>
      <c r="R63">
        <f t="shared" si="63"/>
        <v>0</v>
      </c>
      <c r="S63">
        <f t="shared" si="64"/>
        <v>0</v>
      </c>
      <c r="T63">
        <f t="shared" si="65"/>
        <v>0</v>
      </c>
      <c r="U63">
        <f t="shared" si="66"/>
        <v>0</v>
      </c>
      <c r="V63">
        <f t="shared" si="67"/>
        <v>0</v>
      </c>
      <c r="W63">
        <f t="shared" si="68"/>
        <v>0</v>
      </c>
      <c r="X63">
        <f t="shared" si="69"/>
        <v>0</v>
      </c>
      <c r="Y63">
        <f t="shared" si="70"/>
        <v>0</v>
      </c>
      <c r="AA63">
        <v>16501255</v>
      </c>
      <c r="AB63">
        <f t="shared" si="71"/>
        <v>18390.16</v>
      </c>
      <c r="AC63">
        <f t="shared" si="51"/>
        <v>18390.16</v>
      </c>
      <c r="AD63">
        <f t="shared" si="93"/>
        <v>0</v>
      </c>
      <c r="AE63">
        <f t="shared" si="94"/>
        <v>0</v>
      </c>
      <c r="AF63">
        <f t="shared" si="94"/>
        <v>0</v>
      </c>
      <c r="AG63">
        <f t="shared" si="72"/>
        <v>0</v>
      </c>
      <c r="AH63">
        <f t="shared" si="95"/>
        <v>0</v>
      </c>
      <c r="AI63">
        <f t="shared" si="95"/>
        <v>0</v>
      </c>
      <c r="AJ63">
        <f t="shared" si="73"/>
        <v>0</v>
      </c>
      <c r="AK63">
        <v>18390.16</v>
      </c>
      <c r="AL63">
        <v>18390.16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95</v>
      </c>
      <c r="AU63">
        <v>47</v>
      </c>
      <c r="AV63">
        <v>1</v>
      </c>
      <c r="AW63">
        <v>1</v>
      </c>
      <c r="AZ63">
        <v>6.08</v>
      </c>
      <c r="BA63">
        <v>1</v>
      </c>
      <c r="BB63">
        <v>1</v>
      </c>
      <c r="BC63">
        <v>6.08</v>
      </c>
      <c r="BD63" t="s">
        <v>4</v>
      </c>
      <c r="BE63" t="s">
        <v>4</v>
      </c>
      <c r="BF63" t="s">
        <v>4</v>
      </c>
      <c r="BG63" t="s">
        <v>4</v>
      </c>
      <c r="BH63">
        <v>3</v>
      </c>
      <c r="BI63">
        <v>1</v>
      </c>
      <c r="BJ63" t="s">
        <v>112</v>
      </c>
      <c r="BM63">
        <v>15001</v>
      </c>
      <c r="BN63">
        <v>0</v>
      </c>
      <c r="BO63" t="s">
        <v>4</v>
      </c>
      <c r="BP63">
        <v>0</v>
      </c>
      <c r="BQ63">
        <v>2</v>
      </c>
      <c r="BR63">
        <v>0</v>
      </c>
      <c r="BS63">
        <v>1</v>
      </c>
      <c r="BT63">
        <v>1</v>
      </c>
      <c r="BU63">
        <v>1</v>
      </c>
      <c r="BV63">
        <v>1</v>
      </c>
      <c r="BW63">
        <v>1</v>
      </c>
      <c r="BX63">
        <v>1</v>
      </c>
      <c r="BY63" t="s">
        <v>4</v>
      </c>
      <c r="BZ63">
        <v>105</v>
      </c>
      <c r="CA63">
        <v>55</v>
      </c>
      <c r="CF63">
        <v>0</v>
      </c>
      <c r="CG63">
        <v>0</v>
      </c>
      <c r="CM63">
        <v>0</v>
      </c>
      <c r="CN63" t="s">
        <v>4</v>
      </c>
      <c r="CO63">
        <v>0</v>
      </c>
      <c r="CP63">
        <f t="shared" si="74"/>
        <v>1744.27</v>
      </c>
      <c r="CQ63">
        <f t="shared" si="75"/>
        <v>111812.1728</v>
      </c>
      <c r="CR63">
        <f t="shared" si="76"/>
        <v>0</v>
      </c>
      <c r="CS63">
        <f t="shared" si="77"/>
        <v>0</v>
      </c>
      <c r="CT63">
        <f t="shared" si="78"/>
        <v>0</v>
      </c>
      <c r="CU63">
        <f t="shared" si="79"/>
        <v>0</v>
      </c>
      <c r="CV63">
        <f t="shared" si="80"/>
        <v>0</v>
      </c>
      <c r="CW63">
        <f t="shared" si="81"/>
        <v>0</v>
      </c>
      <c r="CX63">
        <f t="shared" si="82"/>
        <v>0</v>
      </c>
      <c r="CY63">
        <f t="shared" si="83"/>
        <v>0</v>
      </c>
      <c r="CZ63">
        <f t="shared" si="84"/>
        <v>0</v>
      </c>
      <c r="DC63" t="s">
        <v>4</v>
      </c>
      <c r="DD63" t="s">
        <v>4</v>
      </c>
      <c r="DE63" t="s">
        <v>4</v>
      </c>
      <c r="DF63" t="s">
        <v>4</v>
      </c>
      <c r="DG63" t="s">
        <v>4</v>
      </c>
      <c r="DH63" t="s">
        <v>4</v>
      </c>
      <c r="DI63" t="s">
        <v>4</v>
      </c>
      <c r="DJ63" t="s">
        <v>4</v>
      </c>
      <c r="DK63" t="s">
        <v>4</v>
      </c>
      <c r="DL63" t="s">
        <v>4</v>
      </c>
      <c r="DM63" t="s">
        <v>4</v>
      </c>
      <c r="DN63">
        <v>0</v>
      </c>
      <c r="DO63">
        <v>0</v>
      </c>
      <c r="DP63">
        <v>1</v>
      </c>
      <c r="DQ63">
        <v>1</v>
      </c>
      <c r="DU63">
        <v>1009</v>
      </c>
      <c r="DV63" t="s">
        <v>58</v>
      </c>
      <c r="DW63" t="s">
        <v>58</v>
      </c>
      <c r="DX63">
        <v>1000</v>
      </c>
      <c r="EE63">
        <v>16510513</v>
      </c>
      <c r="EF63">
        <v>2</v>
      </c>
      <c r="EG63" t="s">
        <v>31</v>
      </c>
      <c r="EH63">
        <v>0</v>
      </c>
      <c r="EI63" t="s">
        <v>4</v>
      </c>
      <c r="EJ63">
        <v>1</v>
      </c>
      <c r="EK63">
        <v>15001</v>
      </c>
      <c r="EL63" t="s">
        <v>100</v>
      </c>
      <c r="EM63" t="s">
        <v>101</v>
      </c>
      <c r="EO63" t="s">
        <v>4</v>
      </c>
      <c r="EQ63">
        <v>0</v>
      </c>
      <c r="ER63">
        <v>18390.16</v>
      </c>
      <c r="ES63">
        <v>18390.16</v>
      </c>
      <c r="ET63">
        <v>0</v>
      </c>
      <c r="EU63">
        <v>0</v>
      </c>
      <c r="EV63">
        <v>0</v>
      </c>
      <c r="EW63">
        <v>0</v>
      </c>
      <c r="EX63">
        <v>0</v>
      </c>
      <c r="FQ63">
        <v>0</v>
      </c>
      <c r="FR63">
        <f t="shared" si="85"/>
        <v>0</v>
      </c>
      <c r="FS63">
        <v>0</v>
      </c>
      <c r="FT63" t="s">
        <v>34</v>
      </c>
      <c r="FU63" t="s">
        <v>35</v>
      </c>
      <c r="FX63">
        <v>94.5</v>
      </c>
      <c r="FY63">
        <v>46.75</v>
      </c>
      <c r="GA63" t="s">
        <v>4</v>
      </c>
      <c r="GD63">
        <v>0</v>
      </c>
      <c r="GF63">
        <v>-1919714308</v>
      </c>
      <c r="GG63">
        <v>1</v>
      </c>
      <c r="GH63">
        <v>1</v>
      </c>
      <c r="GI63">
        <v>4</v>
      </c>
      <c r="GJ63">
        <v>0</v>
      </c>
      <c r="GK63">
        <f>ROUND(R63*(S12)/100,2)</f>
        <v>0</v>
      </c>
      <c r="GL63">
        <f t="shared" si="86"/>
        <v>0</v>
      </c>
      <c r="GM63">
        <f t="shared" si="87"/>
        <v>1744.27</v>
      </c>
      <c r="GN63">
        <f t="shared" si="88"/>
        <v>1744.27</v>
      </c>
      <c r="GO63">
        <f t="shared" si="89"/>
        <v>0</v>
      </c>
      <c r="GP63">
        <f t="shared" si="90"/>
        <v>0</v>
      </c>
      <c r="GR63">
        <v>0</v>
      </c>
      <c r="GS63">
        <v>3</v>
      </c>
      <c r="GT63">
        <v>0</v>
      </c>
      <c r="GU63" t="s">
        <v>4</v>
      </c>
      <c r="GV63">
        <f t="shared" si="91"/>
        <v>0</v>
      </c>
      <c r="GW63">
        <v>1</v>
      </c>
      <c r="GX63">
        <f t="shared" si="92"/>
        <v>0</v>
      </c>
      <c r="HA63">
        <v>0</v>
      </c>
      <c r="HB63">
        <v>0</v>
      </c>
      <c r="IK63">
        <v>0</v>
      </c>
    </row>
    <row r="64" spans="1:255" x14ac:dyDescent="0.2">
      <c r="A64" s="2">
        <v>17</v>
      </c>
      <c r="B64" s="2">
        <v>1</v>
      </c>
      <c r="C64" s="2">
        <f>ROW(SmtRes!A103)</f>
        <v>103</v>
      </c>
      <c r="D64" s="2">
        <f>ROW(EtalonRes!A103)</f>
        <v>103</v>
      </c>
      <c r="E64" s="2" t="s">
        <v>113</v>
      </c>
      <c r="F64" s="2" t="s">
        <v>114</v>
      </c>
      <c r="G64" s="2" t="s">
        <v>115</v>
      </c>
      <c r="H64" s="2" t="s">
        <v>23</v>
      </c>
      <c r="I64" s="2">
        <f>ROUND(78.2/100,9)</f>
        <v>0.78200000000000003</v>
      </c>
      <c r="J64" s="2">
        <v>0</v>
      </c>
      <c r="K64" s="2"/>
      <c r="L64" s="2"/>
      <c r="M64" s="2"/>
      <c r="N64" s="2"/>
      <c r="O64" s="2">
        <f t="shared" si="60"/>
        <v>855.03</v>
      </c>
      <c r="P64" s="2">
        <f t="shared" si="61"/>
        <v>502.48</v>
      </c>
      <c r="Q64" s="2">
        <f t="shared" si="62"/>
        <v>10.18</v>
      </c>
      <c r="R64" s="2">
        <f t="shared" si="63"/>
        <v>1.93</v>
      </c>
      <c r="S64" s="2">
        <f t="shared" si="64"/>
        <v>342.37</v>
      </c>
      <c r="T64" s="2">
        <f t="shared" si="65"/>
        <v>0</v>
      </c>
      <c r="U64" s="2">
        <f t="shared" si="66"/>
        <v>39.173508000000005</v>
      </c>
      <c r="V64" s="2">
        <f t="shared" si="67"/>
        <v>0.16617500000000002</v>
      </c>
      <c r="W64" s="2">
        <f t="shared" si="68"/>
        <v>0</v>
      </c>
      <c r="X64" s="2">
        <f t="shared" si="69"/>
        <v>327.08999999999997</v>
      </c>
      <c r="Y64" s="2">
        <f t="shared" si="70"/>
        <v>161.82</v>
      </c>
      <c r="Z64" s="2"/>
      <c r="AA64" s="2">
        <v>16501254</v>
      </c>
      <c r="AB64" s="2">
        <f t="shared" si="71"/>
        <v>1093.3889999999999</v>
      </c>
      <c r="AC64" s="2">
        <f t="shared" si="51"/>
        <v>642.55999999999995</v>
      </c>
      <c r="AD64" s="2">
        <f>ROUND(((((ET64*1.25))-((EU64*1.25)))+AE64),6)</f>
        <v>13.012499999999999</v>
      </c>
      <c r="AE64" s="2">
        <f>ROUND(((EU64*1.25)),6)</f>
        <v>2.4624999999999999</v>
      </c>
      <c r="AF64" s="2">
        <f>ROUND(((EV64*1.15)),6)</f>
        <v>437.81650000000002</v>
      </c>
      <c r="AG64" s="2">
        <f t="shared" si="72"/>
        <v>0</v>
      </c>
      <c r="AH64" s="2">
        <f>((EW64*1.15))</f>
        <v>50.094000000000001</v>
      </c>
      <c r="AI64" s="2">
        <f>((EX64*1.25))</f>
        <v>0.21250000000000002</v>
      </c>
      <c r="AJ64" s="2">
        <f t="shared" si="73"/>
        <v>0</v>
      </c>
      <c r="AK64" s="2">
        <v>1033.68</v>
      </c>
      <c r="AL64" s="2">
        <v>642.55999999999995</v>
      </c>
      <c r="AM64" s="2">
        <v>10.41</v>
      </c>
      <c r="AN64" s="2">
        <v>1.97</v>
      </c>
      <c r="AO64" s="2">
        <v>380.71</v>
      </c>
      <c r="AP64" s="2">
        <v>0</v>
      </c>
      <c r="AQ64" s="2">
        <v>43.56</v>
      </c>
      <c r="AR64" s="2">
        <v>0.17</v>
      </c>
      <c r="AS64" s="2">
        <v>0</v>
      </c>
      <c r="AT64" s="2">
        <v>95</v>
      </c>
      <c r="AU64" s="2">
        <v>47</v>
      </c>
      <c r="AV64" s="2">
        <v>1</v>
      </c>
      <c r="AW64" s="2">
        <v>1</v>
      </c>
      <c r="AX64" s="2"/>
      <c r="AY64" s="2"/>
      <c r="AZ64" s="2">
        <v>1</v>
      </c>
      <c r="BA64" s="2">
        <v>1</v>
      </c>
      <c r="BB64" s="2">
        <v>1</v>
      </c>
      <c r="BC64" s="2">
        <v>1</v>
      </c>
      <c r="BD64" s="2" t="s">
        <v>4</v>
      </c>
      <c r="BE64" s="2" t="s">
        <v>4</v>
      </c>
      <c r="BF64" s="2" t="s">
        <v>4</v>
      </c>
      <c r="BG64" s="2" t="s">
        <v>4</v>
      </c>
      <c r="BH64" s="2">
        <v>0</v>
      </c>
      <c r="BI64" s="2">
        <v>1</v>
      </c>
      <c r="BJ64" s="2" t="s">
        <v>116</v>
      </c>
      <c r="BK64" s="2"/>
      <c r="BL64" s="2"/>
      <c r="BM64" s="2">
        <v>15001</v>
      </c>
      <c r="BN64" s="2">
        <v>0</v>
      </c>
      <c r="BO64" s="2" t="s">
        <v>4</v>
      </c>
      <c r="BP64" s="2">
        <v>0</v>
      </c>
      <c r="BQ64" s="2">
        <v>2</v>
      </c>
      <c r="BR64" s="2">
        <v>0</v>
      </c>
      <c r="BS64" s="2">
        <v>1</v>
      </c>
      <c r="BT64" s="2">
        <v>1</v>
      </c>
      <c r="BU64" s="2">
        <v>1</v>
      </c>
      <c r="BV64" s="2">
        <v>1</v>
      </c>
      <c r="BW64" s="2">
        <v>1</v>
      </c>
      <c r="BX64" s="2">
        <v>1</v>
      </c>
      <c r="BY64" s="2" t="s">
        <v>4</v>
      </c>
      <c r="BZ64" s="2">
        <v>105</v>
      </c>
      <c r="CA64" s="2">
        <v>55</v>
      </c>
      <c r="CB64" s="2"/>
      <c r="CC64" s="2"/>
      <c r="CD64" s="2"/>
      <c r="CE64" s="2"/>
      <c r="CF64" s="2">
        <v>0</v>
      </c>
      <c r="CG64" s="2">
        <v>0</v>
      </c>
      <c r="CH64" s="2"/>
      <c r="CI64" s="2"/>
      <c r="CJ64" s="2"/>
      <c r="CK64" s="2"/>
      <c r="CL64" s="2"/>
      <c r="CM64" s="2">
        <v>0</v>
      </c>
      <c r="CN64" s="2" t="s">
        <v>323</v>
      </c>
      <c r="CO64" s="2">
        <v>0</v>
      </c>
      <c r="CP64" s="2">
        <f t="shared" si="74"/>
        <v>855.03</v>
      </c>
      <c r="CQ64" s="2">
        <f t="shared" si="75"/>
        <v>642.55999999999995</v>
      </c>
      <c r="CR64" s="2">
        <f t="shared" si="76"/>
        <v>13.012499999999999</v>
      </c>
      <c r="CS64" s="2">
        <f t="shared" si="77"/>
        <v>2.4624999999999999</v>
      </c>
      <c r="CT64" s="2">
        <f t="shared" si="78"/>
        <v>437.81650000000002</v>
      </c>
      <c r="CU64" s="2">
        <f t="shared" si="79"/>
        <v>0</v>
      </c>
      <c r="CV64" s="2">
        <f t="shared" si="80"/>
        <v>50.094000000000001</v>
      </c>
      <c r="CW64" s="2">
        <f t="shared" si="81"/>
        <v>0.21250000000000002</v>
      </c>
      <c r="CX64" s="2">
        <f t="shared" si="82"/>
        <v>0</v>
      </c>
      <c r="CY64" s="2">
        <f t="shared" si="83"/>
        <v>327.08499999999998</v>
      </c>
      <c r="CZ64" s="2">
        <f t="shared" si="84"/>
        <v>161.821</v>
      </c>
      <c r="DA64" s="2"/>
      <c r="DB64" s="2"/>
      <c r="DC64" s="2" t="s">
        <v>4</v>
      </c>
      <c r="DD64" s="2" t="s">
        <v>4</v>
      </c>
      <c r="DE64" s="2" t="s">
        <v>29</v>
      </c>
      <c r="DF64" s="2" t="s">
        <v>29</v>
      </c>
      <c r="DG64" s="2" t="s">
        <v>30</v>
      </c>
      <c r="DH64" s="2" t="s">
        <v>4</v>
      </c>
      <c r="DI64" s="2" t="s">
        <v>30</v>
      </c>
      <c r="DJ64" s="2" t="s">
        <v>29</v>
      </c>
      <c r="DK64" s="2" t="s">
        <v>4</v>
      </c>
      <c r="DL64" s="2" t="s">
        <v>4</v>
      </c>
      <c r="DM64" s="2" t="s">
        <v>4</v>
      </c>
      <c r="DN64" s="2">
        <v>0</v>
      </c>
      <c r="DO64" s="2">
        <v>0</v>
      </c>
      <c r="DP64" s="2">
        <v>1</v>
      </c>
      <c r="DQ64" s="2">
        <v>1</v>
      </c>
      <c r="DR64" s="2"/>
      <c r="DS64" s="2"/>
      <c r="DT64" s="2"/>
      <c r="DU64" s="2">
        <v>1005</v>
      </c>
      <c r="DV64" s="2" t="s">
        <v>23</v>
      </c>
      <c r="DW64" s="2" t="s">
        <v>23</v>
      </c>
      <c r="DX64" s="2">
        <v>100</v>
      </c>
      <c r="DY64" s="2"/>
      <c r="DZ64" s="2"/>
      <c r="EA64" s="2"/>
      <c r="EB64" s="2"/>
      <c r="EC64" s="2"/>
      <c r="ED64" s="2"/>
      <c r="EE64" s="2">
        <v>16510513</v>
      </c>
      <c r="EF64" s="2">
        <v>2</v>
      </c>
      <c r="EG64" s="2" t="s">
        <v>31</v>
      </c>
      <c r="EH64" s="2">
        <v>0</v>
      </c>
      <c r="EI64" s="2" t="s">
        <v>4</v>
      </c>
      <c r="EJ64" s="2">
        <v>1</v>
      </c>
      <c r="EK64" s="2">
        <v>15001</v>
      </c>
      <c r="EL64" s="2" t="s">
        <v>100</v>
      </c>
      <c r="EM64" s="2" t="s">
        <v>101</v>
      </c>
      <c r="EN64" s="2"/>
      <c r="EO64" s="2" t="s">
        <v>33</v>
      </c>
      <c r="EP64" s="2"/>
      <c r="EQ64" s="2">
        <v>0</v>
      </c>
      <c r="ER64" s="2">
        <v>1033.68</v>
      </c>
      <c r="ES64" s="2">
        <v>642.55999999999995</v>
      </c>
      <c r="ET64" s="2">
        <v>10.41</v>
      </c>
      <c r="EU64" s="2">
        <v>1.97</v>
      </c>
      <c r="EV64" s="2">
        <v>380.71</v>
      </c>
      <c r="EW64" s="2">
        <v>43.56</v>
      </c>
      <c r="EX64" s="2">
        <v>0.17</v>
      </c>
      <c r="EY64" s="2">
        <v>0</v>
      </c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>
        <v>0</v>
      </c>
      <c r="FR64" s="2">
        <f t="shared" si="85"/>
        <v>0</v>
      </c>
      <c r="FS64" s="2">
        <v>0</v>
      </c>
      <c r="FT64" s="2" t="s">
        <v>34</v>
      </c>
      <c r="FU64" s="2" t="s">
        <v>35</v>
      </c>
      <c r="FV64" s="2"/>
      <c r="FW64" s="2"/>
      <c r="FX64" s="2">
        <v>94.5</v>
      </c>
      <c r="FY64" s="2">
        <v>46.75</v>
      </c>
      <c r="FZ64" s="2"/>
      <c r="GA64" s="2" t="s">
        <v>4</v>
      </c>
      <c r="GB64" s="2"/>
      <c r="GC64" s="2"/>
      <c r="GD64" s="2">
        <v>0</v>
      </c>
      <c r="GE64" s="2"/>
      <c r="GF64" s="2">
        <v>325170472</v>
      </c>
      <c r="GG64" s="2">
        <v>2</v>
      </c>
      <c r="GH64" s="2">
        <v>1</v>
      </c>
      <c r="GI64" s="2">
        <v>-2</v>
      </c>
      <c r="GJ64" s="2">
        <v>0</v>
      </c>
      <c r="GK64" s="2">
        <f>ROUND(R64*(R12)/100,2)</f>
        <v>0</v>
      </c>
      <c r="GL64" s="2">
        <f t="shared" si="86"/>
        <v>0</v>
      </c>
      <c r="GM64" s="2">
        <f t="shared" si="87"/>
        <v>1343.94</v>
      </c>
      <c r="GN64" s="2">
        <f t="shared" si="88"/>
        <v>1343.94</v>
      </c>
      <c r="GO64" s="2">
        <f t="shared" si="89"/>
        <v>0</v>
      </c>
      <c r="GP64" s="2">
        <f t="shared" si="90"/>
        <v>0</v>
      </c>
      <c r="GQ64" s="2"/>
      <c r="GR64" s="2">
        <v>0</v>
      </c>
      <c r="GS64" s="2">
        <v>3</v>
      </c>
      <c r="GT64" s="2">
        <v>0</v>
      </c>
      <c r="GU64" s="2" t="s">
        <v>4</v>
      </c>
      <c r="GV64" s="2">
        <f t="shared" si="91"/>
        <v>0</v>
      </c>
      <c r="GW64" s="2">
        <v>1</v>
      </c>
      <c r="GX64" s="2">
        <f t="shared" si="92"/>
        <v>0</v>
      </c>
      <c r="GY64" s="2"/>
      <c r="GZ64" s="2"/>
      <c r="HA64" s="2">
        <v>0</v>
      </c>
      <c r="HB64" s="2">
        <v>0</v>
      </c>
      <c r="HC64" s="2"/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  <c r="IG64" s="2"/>
      <c r="IH64" s="2"/>
      <c r="II64" s="2"/>
      <c r="IJ64" s="2"/>
      <c r="IK64" s="2">
        <v>0</v>
      </c>
      <c r="IL64" s="2"/>
      <c r="IM64" s="2"/>
      <c r="IN64" s="2"/>
      <c r="IO64" s="2"/>
      <c r="IP64" s="2"/>
      <c r="IQ64" s="2"/>
      <c r="IR64" s="2"/>
      <c r="IS64" s="2"/>
      <c r="IT64" s="2"/>
      <c r="IU64" s="2"/>
    </row>
    <row r="65" spans="1:255" x14ac:dyDescent="0.2">
      <c r="A65">
        <v>17</v>
      </c>
      <c r="B65">
        <v>1</v>
      </c>
      <c r="C65">
        <f>ROW(SmtRes!A112)</f>
        <v>112</v>
      </c>
      <c r="D65">
        <f>ROW(EtalonRes!A112)</f>
        <v>112</v>
      </c>
      <c r="E65" t="s">
        <v>113</v>
      </c>
      <c r="F65" t="s">
        <v>114</v>
      </c>
      <c r="G65" t="s">
        <v>115</v>
      </c>
      <c r="H65" t="s">
        <v>23</v>
      </c>
      <c r="I65">
        <f>ROUND(78.2/100,9)</f>
        <v>0.78200000000000003</v>
      </c>
      <c r="J65">
        <v>0</v>
      </c>
      <c r="O65">
        <f t="shared" si="60"/>
        <v>5198.58</v>
      </c>
      <c r="P65">
        <f t="shared" si="61"/>
        <v>3055.09</v>
      </c>
      <c r="Q65">
        <f t="shared" si="62"/>
        <v>61.87</v>
      </c>
      <c r="R65">
        <f t="shared" si="63"/>
        <v>11.71</v>
      </c>
      <c r="S65">
        <f t="shared" si="64"/>
        <v>2081.62</v>
      </c>
      <c r="T65">
        <f t="shared" si="65"/>
        <v>0</v>
      </c>
      <c r="U65">
        <f t="shared" si="66"/>
        <v>39.173508000000005</v>
      </c>
      <c r="V65">
        <f t="shared" si="67"/>
        <v>0.16617500000000002</v>
      </c>
      <c r="W65">
        <f t="shared" si="68"/>
        <v>0</v>
      </c>
      <c r="X65">
        <f t="shared" si="69"/>
        <v>1988.66</v>
      </c>
      <c r="Y65">
        <f t="shared" si="70"/>
        <v>983.87</v>
      </c>
      <c r="AA65">
        <v>16501255</v>
      </c>
      <c r="AB65">
        <f t="shared" si="71"/>
        <v>1093.3889999999999</v>
      </c>
      <c r="AC65">
        <f t="shared" si="51"/>
        <v>642.55999999999995</v>
      </c>
      <c r="AD65">
        <f>ROUND(((((ET65*1.25))-((EU65*1.25)))+AE65),6)</f>
        <v>13.012499999999999</v>
      </c>
      <c r="AE65">
        <f>ROUND(((EU65*1.25)),6)</f>
        <v>2.4624999999999999</v>
      </c>
      <c r="AF65">
        <f>ROUND(((EV65*1.15)),6)</f>
        <v>437.81650000000002</v>
      </c>
      <c r="AG65">
        <f t="shared" si="72"/>
        <v>0</v>
      </c>
      <c r="AH65">
        <f>((EW65*1.15))</f>
        <v>50.094000000000001</v>
      </c>
      <c r="AI65">
        <f>((EX65*1.25))</f>
        <v>0.21250000000000002</v>
      </c>
      <c r="AJ65">
        <f t="shared" si="73"/>
        <v>0</v>
      </c>
      <c r="AK65">
        <v>1033.68</v>
      </c>
      <c r="AL65">
        <v>642.55999999999995</v>
      </c>
      <c r="AM65">
        <v>10.41</v>
      </c>
      <c r="AN65">
        <v>1.97</v>
      </c>
      <c r="AO65">
        <v>380.71</v>
      </c>
      <c r="AP65">
        <v>0</v>
      </c>
      <c r="AQ65">
        <v>43.56</v>
      </c>
      <c r="AR65">
        <v>0.17</v>
      </c>
      <c r="AS65">
        <v>0</v>
      </c>
      <c r="AT65">
        <v>95</v>
      </c>
      <c r="AU65">
        <v>47</v>
      </c>
      <c r="AV65">
        <v>1</v>
      </c>
      <c r="AW65">
        <v>1</v>
      </c>
      <c r="AZ65">
        <v>6.08</v>
      </c>
      <c r="BA65">
        <v>6.08</v>
      </c>
      <c r="BB65">
        <v>6.08</v>
      </c>
      <c r="BC65">
        <v>6.08</v>
      </c>
      <c r="BD65" t="s">
        <v>4</v>
      </c>
      <c r="BE65" t="s">
        <v>4</v>
      </c>
      <c r="BF65" t="s">
        <v>4</v>
      </c>
      <c r="BG65" t="s">
        <v>4</v>
      </c>
      <c r="BH65">
        <v>0</v>
      </c>
      <c r="BI65">
        <v>1</v>
      </c>
      <c r="BJ65" t="s">
        <v>116</v>
      </c>
      <c r="BM65">
        <v>15001</v>
      </c>
      <c r="BN65">
        <v>0</v>
      </c>
      <c r="BO65" t="s">
        <v>4</v>
      </c>
      <c r="BP65">
        <v>0</v>
      </c>
      <c r="BQ65">
        <v>2</v>
      </c>
      <c r="BR65">
        <v>0</v>
      </c>
      <c r="BS65">
        <v>6.08</v>
      </c>
      <c r="BT65">
        <v>1</v>
      </c>
      <c r="BU65">
        <v>1</v>
      </c>
      <c r="BV65">
        <v>1</v>
      </c>
      <c r="BW65">
        <v>1</v>
      </c>
      <c r="BX65">
        <v>1</v>
      </c>
      <c r="BY65" t="s">
        <v>4</v>
      </c>
      <c r="BZ65">
        <v>105</v>
      </c>
      <c r="CA65">
        <v>55</v>
      </c>
      <c r="CF65">
        <v>0</v>
      </c>
      <c r="CG65">
        <v>0</v>
      </c>
      <c r="CM65">
        <v>0</v>
      </c>
      <c r="CN65" t="s">
        <v>323</v>
      </c>
      <c r="CO65">
        <v>0</v>
      </c>
      <c r="CP65">
        <f t="shared" si="74"/>
        <v>5198.58</v>
      </c>
      <c r="CQ65">
        <f t="shared" si="75"/>
        <v>3906.7647999999999</v>
      </c>
      <c r="CR65">
        <f t="shared" si="76"/>
        <v>79.116</v>
      </c>
      <c r="CS65">
        <f t="shared" si="77"/>
        <v>14.972</v>
      </c>
      <c r="CT65">
        <f t="shared" si="78"/>
        <v>2661.9243200000001</v>
      </c>
      <c r="CU65">
        <f t="shared" si="79"/>
        <v>0</v>
      </c>
      <c r="CV65">
        <f t="shared" si="80"/>
        <v>50.094000000000001</v>
      </c>
      <c r="CW65">
        <f t="shared" si="81"/>
        <v>0.21250000000000002</v>
      </c>
      <c r="CX65">
        <f t="shared" si="82"/>
        <v>0</v>
      </c>
      <c r="CY65">
        <f t="shared" si="83"/>
        <v>1988.6635000000001</v>
      </c>
      <c r="CZ65">
        <f t="shared" si="84"/>
        <v>983.86509999999998</v>
      </c>
      <c r="DC65" t="s">
        <v>4</v>
      </c>
      <c r="DD65" t="s">
        <v>4</v>
      </c>
      <c r="DE65" t="s">
        <v>29</v>
      </c>
      <c r="DF65" t="s">
        <v>29</v>
      </c>
      <c r="DG65" t="s">
        <v>30</v>
      </c>
      <c r="DH65" t="s">
        <v>4</v>
      </c>
      <c r="DI65" t="s">
        <v>30</v>
      </c>
      <c r="DJ65" t="s">
        <v>29</v>
      </c>
      <c r="DK65" t="s">
        <v>4</v>
      </c>
      <c r="DL65" t="s">
        <v>4</v>
      </c>
      <c r="DM65" t="s">
        <v>4</v>
      </c>
      <c r="DN65">
        <v>0</v>
      </c>
      <c r="DO65">
        <v>0</v>
      </c>
      <c r="DP65">
        <v>1</v>
      </c>
      <c r="DQ65">
        <v>1</v>
      </c>
      <c r="DU65">
        <v>1005</v>
      </c>
      <c r="DV65" t="s">
        <v>23</v>
      </c>
      <c r="DW65" t="s">
        <v>23</v>
      </c>
      <c r="DX65">
        <v>100</v>
      </c>
      <c r="EE65">
        <v>16510513</v>
      </c>
      <c r="EF65">
        <v>2</v>
      </c>
      <c r="EG65" t="s">
        <v>31</v>
      </c>
      <c r="EH65">
        <v>0</v>
      </c>
      <c r="EI65" t="s">
        <v>4</v>
      </c>
      <c r="EJ65">
        <v>1</v>
      </c>
      <c r="EK65">
        <v>15001</v>
      </c>
      <c r="EL65" t="s">
        <v>100</v>
      </c>
      <c r="EM65" t="s">
        <v>101</v>
      </c>
      <c r="EO65" t="s">
        <v>33</v>
      </c>
      <c r="EQ65">
        <v>0</v>
      </c>
      <c r="ER65">
        <v>1033.68</v>
      </c>
      <c r="ES65">
        <v>642.55999999999995</v>
      </c>
      <c r="ET65">
        <v>10.41</v>
      </c>
      <c r="EU65">
        <v>1.97</v>
      </c>
      <c r="EV65">
        <v>380.71</v>
      </c>
      <c r="EW65">
        <v>43.56</v>
      </c>
      <c r="EX65">
        <v>0.17</v>
      </c>
      <c r="EY65">
        <v>0</v>
      </c>
      <c r="FQ65">
        <v>0</v>
      </c>
      <c r="FR65">
        <f t="shared" si="85"/>
        <v>0</v>
      </c>
      <c r="FS65">
        <v>0</v>
      </c>
      <c r="FT65" t="s">
        <v>34</v>
      </c>
      <c r="FU65" t="s">
        <v>35</v>
      </c>
      <c r="FX65">
        <v>94.5</v>
      </c>
      <c r="FY65">
        <v>46.75</v>
      </c>
      <c r="GA65" t="s">
        <v>4</v>
      </c>
      <c r="GD65">
        <v>0</v>
      </c>
      <c r="GF65">
        <v>325170472</v>
      </c>
      <c r="GG65">
        <v>1</v>
      </c>
      <c r="GH65">
        <v>1</v>
      </c>
      <c r="GI65">
        <v>4</v>
      </c>
      <c r="GJ65">
        <v>0</v>
      </c>
      <c r="GK65">
        <f>ROUND(R65*(S12)/100,2)</f>
        <v>0</v>
      </c>
      <c r="GL65">
        <f t="shared" si="86"/>
        <v>0</v>
      </c>
      <c r="GM65">
        <f t="shared" si="87"/>
        <v>8171.11</v>
      </c>
      <c r="GN65">
        <f t="shared" si="88"/>
        <v>8171.11</v>
      </c>
      <c r="GO65">
        <f t="shared" si="89"/>
        <v>0</v>
      </c>
      <c r="GP65">
        <f t="shared" si="90"/>
        <v>0</v>
      </c>
      <c r="GR65">
        <v>0</v>
      </c>
      <c r="GS65">
        <v>3</v>
      </c>
      <c r="GT65">
        <v>0</v>
      </c>
      <c r="GU65" t="s">
        <v>4</v>
      </c>
      <c r="GV65">
        <f t="shared" si="91"/>
        <v>0</v>
      </c>
      <c r="GW65">
        <v>1</v>
      </c>
      <c r="GX65">
        <f t="shared" si="92"/>
        <v>0</v>
      </c>
      <c r="HA65">
        <v>0</v>
      </c>
      <c r="HB65">
        <v>0</v>
      </c>
      <c r="IK65">
        <v>0</v>
      </c>
    </row>
    <row r="66" spans="1:255" x14ac:dyDescent="0.2">
      <c r="A66" s="2">
        <v>18</v>
      </c>
      <c r="B66" s="2">
        <v>1</v>
      </c>
      <c r="C66" s="2">
        <v>102</v>
      </c>
      <c r="D66" s="2"/>
      <c r="E66" s="2" t="s">
        <v>117</v>
      </c>
      <c r="F66" s="2" t="s">
        <v>118</v>
      </c>
      <c r="G66" s="2" t="s">
        <v>119</v>
      </c>
      <c r="H66" s="2" t="s">
        <v>58</v>
      </c>
      <c r="I66" s="2">
        <f>I64*J66</f>
        <v>2.3460000000000002E-2</v>
      </c>
      <c r="J66" s="2">
        <v>3.0000000000000002E-2</v>
      </c>
      <c r="K66" s="2"/>
      <c r="L66" s="2"/>
      <c r="M66" s="2"/>
      <c r="N66" s="2"/>
      <c r="O66" s="2">
        <f t="shared" si="60"/>
        <v>178.94</v>
      </c>
      <c r="P66" s="2">
        <f t="shared" si="61"/>
        <v>178.94</v>
      </c>
      <c r="Q66" s="2">
        <f t="shared" si="62"/>
        <v>0</v>
      </c>
      <c r="R66" s="2">
        <f t="shared" si="63"/>
        <v>0</v>
      </c>
      <c r="S66" s="2">
        <f t="shared" si="64"/>
        <v>0</v>
      </c>
      <c r="T66" s="2">
        <f t="shared" si="65"/>
        <v>0</v>
      </c>
      <c r="U66" s="2">
        <f t="shared" si="66"/>
        <v>0</v>
      </c>
      <c r="V66" s="2">
        <f t="shared" si="67"/>
        <v>0</v>
      </c>
      <c r="W66" s="2">
        <f t="shared" si="68"/>
        <v>0</v>
      </c>
      <c r="X66" s="2">
        <f t="shared" si="69"/>
        <v>0</v>
      </c>
      <c r="Y66" s="2">
        <f t="shared" si="70"/>
        <v>0</v>
      </c>
      <c r="Z66" s="2"/>
      <c r="AA66" s="2">
        <v>16501254</v>
      </c>
      <c r="AB66" s="2">
        <f t="shared" si="71"/>
        <v>7627.37</v>
      </c>
      <c r="AC66" s="2">
        <f t="shared" si="51"/>
        <v>7627.37</v>
      </c>
      <c r="AD66" s="2">
        <f>ROUND((((ET66)-(EU66))+AE66),6)</f>
        <v>0</v>
      </c>
      <c r="AE66" s="2">
        <f t="shared" ref="AE66:AF69" si="96">ROUND((EU66),6)</f>
        <v>0</v>
      </c>
      <c r="AF66" s="2">
        <f t="shared" si="96"/>
        <v>0</v>
      </c>
      <c r="AG66" s="2">
        <f t="shared" si="72"/>
        <v>0</v>
      </c>
      <c r="AH66" s="2">
        <f t="shared" ref="AH66:AI69" si="97">(EW66)</f>
        <v>0</v>
      </c>
      <c r="AI66" s="2">
        <f t="shared" si="97"/>
        <v>0</v>
      </c>
      <c r="AJ66" s="2">
        <f t="shared" si="73"/>
        <v>0</v>
      </c>
      <c r="AK66" s="2">
        <v>7627.37</v>
      </c>
      <c r="AL66" s="2">
        <v>7627.37</v>
      </c>
      <c r="AM66" s="2">
        <v>0</v>
      </c>
      <c r="AN66" s="2">
        <v>0</v>
      </c>
      <c r="AO66" s="2">
        <v>0</v>
      </c>
      <c r="AP66" s="2">
        <v>0</v>
      </c>
      <c r="AQ66" s="2">
        <v>0</v>
      </c>
      <c r="AR66" s="2">
        <v>0</v>
      </c>
      <c r="AS66" s="2">
        <v>0</v>
      </c>
      <c r="AT66" s="2">
        <v>95</v>
      </c>
      <c r="AU66" s="2">
        <v>47</v>
      </c>
      <c r="AV66" s="2">
        <v>1</v>
      </c>
      <c r="AW66" s="2">
        <v>1</v>
      </c>
      <c r="AX66" s="2"/>
      <c r="AY66" s="2"/>
      <c r="AZ66" s="2">
        <v>1</v>
      </c>
      <c r="BA66" s="2">
        <v>1</v>
      </c>
      <c r="BB66" s="2">
        <v>1</v>
      </c>
      <c r="BC66" s="2">
        <v>1</v>
      </c>
      <c r="BD66" s="2" t="s">
        <v>4</v>
      </c>
      <c r="BE66" s="2" t="s">
        <v>4</v>
      </c>
      <c r="BF66" s="2" t="s">
        <v>4</v>
      </c>
      <c r="BG66" s="2" t="s">
        <v>4</v>
      </c>
      <c r="BH66" s="2">
        <v>3</v>
      </c>
      <c r="BI66" s="2">
        <v>1</v>
      </c>
      <c r="BJ66" s="2" t="s">
        <v>120</v>
      </c>
      <c r="BK66" s="2"/>
      <c r="BL66" s="2"/>
      <c r="BM66" s="2">
        <v>15001</v>
      </c>
      <c r="BN66" s="2">
        <v>0</v>
      </c>
      <c r="BO66" s="2" t="s">
        <v>4</v>
      </c>
      <c r="BP66" s="2">
        <v>0</v>
      </c>
      <c r="BQ66" s="2">
        <v>2</v>
      </c>
      <c r="BR66" s="2">
        <v>0</v>
      </c>
      <c r="BS66" s="2">
        <v>1</v>
      </c>
      <c r="BT66" s="2">
        <v>1</v>
      </c>
      <c r="BU66" s="2">
        <v>1</v>
      </c>
      <c r="BV66" s="2">
        <v>1</v>
      </c>
      <c r="BW66" s="2">
        <v>1</v>
      </c>
      <c r="BX66" s="2">
        <v>1</v>
      </c>
      <c r="BY66" s="2" t="s">
        <v>4</v>
      </c>
      <c r="BZ66" s="2">
        <v>105</v>
      </c>
      <c r="CA66" s="2">
        <v>55</v>
      </c>
      <c r="CB66" s="2"/>
      <c r="CC66" s="2"/>
      <c r="CD66" s="2"/>
      <c r="CE66" s="2"/>
      <c r="CF66" s="2">
        <v>0</v>
      </c>
      <c r="CG66" s="2">
        <v>0</v>
      </c>
      <c r="CH66" s="2"/>
      <c r="CI66" s="2"/>
      <c r="CJ66" s="2"/>
      <c r="CK66" s="2"/>
      <c r="CL66" s="2"/>
      <c r="CM66" s="2">
        <v>0</v>
      </c>
      <c r="CN66" s="2" t="s">
        <v>4</v>
      </c>
      <c r="CO66" s="2">
        <v>0</v>
      </c>
      <c r="CP66" s="2">
        <f t="shared" si="74"/>
        <v>178.94</v>
      </c>
      <c r="CQ66" s="2">
        <f t="shared" si="75"/>
        <v>7627.37</v>
      </c>
      <c r="CR66" s="2">
        <f t="shared" si="76"/>
        <v>0</v>
      </c>
      <c r="CS66" s="2">
        <f t="shared" si="77"/>
        <v>0</v>
      </c>
      <c r="CT66" s="2">
        <f t="shared" si="78"/>
        <v>0</v>
      </c>
      <c r="CU66" s="2">
        <f t="shared" si="79"/>
        <v>0</v>
      </c>
      <c r="CV66" s="2">
        <f t="shared" si="80"/>
        <v>0</v>
      </c>
      <c r="CW66" s="2">
        <f t="shared" si="81"/>
        <v>0</v>
      </c>
      <c r="CX66" s="2">
        <f t="shared" si="82"/>
        <v>0</v>
      </c>
      <c r="CY66" s="2">
        <f t="shared" si="83"/>
        <v>0</v>
      </c>
      <c r="CZ66" s="2">
        <f t="shared" si="84"/>
        <v>0</v>
      </c>
      <c r="DA66" s="2"/>
      <c r="DB66" s="2"/>
      <c r="DC66" s="2" t="s">
        <v>4</v>
      </c>
      <c r="DD66" s="2" t="s">
        <v>4</v>
      </c>
      <c r="DE66" s="2" t="s">
        <v>4</v>
      </c>
      <c r="DF66" s="2" t="s">
        <v>4</v>
      </c>
      <c r="DG66" s="2" t="s">
        <v>4</v>
      </c>
      <c r="DH66" s="2" t="s">
        <v>4</v>
      </c>
      <c r="DI66" s="2" t="s">
        <v>4</v>
      </c>
      <c r="DJ66" s="2" t="s">
        <v>4</v>
      </c>
      <c r="DK66" s="2" t="s">
        <v>4</v>
      </c>
      <c r="DL66" s="2" t="s">
        <v>4</v>
      </c>
      <c r="DM66" s="2" t="s">
        <v>4</v>
      </c>
      <c r="DN66" s="2">
        <v>0</v>
      </c>
      <c r="DO66" s="2">
        <v>0</v>
      </c>
      <c r="DP66" s="2">
        <v>1</v>
      </c>
      <c r="DQ66" s="2">
        <v>1</v>
      </c>
      <c r="DR66" s="2"/>
      <c r="DS66" s="2"/>
      <c r="DT66" s="2"/>
      <c r="DU66" s="2">
        <v>1009</v>
      </c>
      <c r="DV66" s="2" t="s">
        <v>58</v>
      </c>
      <c r="DW66" s="2" t="s">
        <v>58</v>
      </c>
      <c r="DX66" s="2">
        <v>1000</v>
      </c>
      <c r="DY66" s="2"/>
      <c r="DZ66" s="2"/>
      <c r="EA66" s="2"/>
      <c r="EB66" s="2"/>
      <c r="EC66" s="2"/>
      <c r="ED66" s="2"/>
      <c r="EE66" s="2">
        <v>16510513</v>
      </c>
      <c r="EF66" s="2">
        <v>2</v>
      </c>
      <c r="EG66" s="2" t="s">
        <v>31</v>
      </c>
      <c r="EH66" s="2">
        <v>0</v>
      </c>
      <c r="EI66" s="2" t="s">
        <v>4</v>
      </c>
      <c r="EJ66" s="2">
        <v>1</v>
      </c>
      <c r="EK66" s="2">
        <v>15001</v>
      </c>
      <c r="EL66" s="2" t="s">
        <v>100</v>
      </c>
      <c r="EM66" s="2" t="s">
        <v>101</v>
      </c>
      <c r="EN66" s="2"/>
      <c r="EO66" s="2" t="s">
        <v>4</v>
      </c>
      <c r="EP66" s="2"/>
      <c r="EQ66" s="2">
        <v>0</v>
      </c>
      <c r="ER66" s="2">
        <v>7627.37</v>
      </c>
      <c r="ES66" s="2">
        <v>7627.37</v>
      </c>
      <c r="ET66" s="2">
        <v>0</v>
      </c>
      <c r="EU66" s="2">
        <v>0</v>
      </c>
      <c r="EV66" s="2">
        <v>0</v>
      </c>
      <c r="EW66" s="2">
        <v>0</v>
      </c>
      <c r="EX66" s="2">
        <v>0</v>
      </c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>
        <v>0</v>
      </c>
      <c r="FR66" s="2">
        <f t="shared" si="85"/>
        <v>0</v>
      </c>
      <c r="FS66" s="2">
        <v>0</v>
      </c>
      <c r="FT66" s="2" t="s">
        <v>34</v>
      </c>
      <c r="FU66" s="2" t="s">
        <v>35</v>
      </c>
      <c r="FV66" s="2"/>
      <c r="FW66" s="2"/>
      <c r="FX66" s="2">
        <v>94.5</v>
      </c>
      <c r="FY66" s="2">
        <v>46.75</v>
      </c>
      <c r="FZ66" s="2"/>
      <c r="GA66" s="2" t="s">
        <v>4</v>
      </c>
      <c r="GB66" s="2"/>
      <c r="GC66" s="2"/>
      <c r="GD66" s="2">
        <v>0</v>
      </c>
      <c r="GE66" s="2"/>
      <c r="GF66" s="2">
        <v>763838732</v>
      </c>
      <c r="GG66" s="2">
        <v>2</v>
      </c>
      <c r="GH66" s="2">
        <v>1</v>
      </c>
      <c r="GI66" s="2">
        <v>-2</v>
      </c>
      <c r="GJ66" s="2">
        <v>0</v>
      </c>
      <c r="GK66" s="2">
        <f>ROUND(R66*(R12)/100,2)</f>
        <v>0</v>
      </c>
      <c r="GL66" s="2">
        <f t="shared" si="86"/>
        <v>0</v>
      </c>
      <c r="GM66" s="2">
        <f t="shared" si="87"/>
        <v>178.94</v>
      </c>
      <c r="GN66" s="2">
        <f t="shared" si="88"/>
        <v>178.94</v>
      </c>
      <c r="GO66" s="2">
        <f t="shared" si="89"/>
        <v>0</v>
      </c>
      <c r="GP66" s="2">
        <f t="shared" si="90"/>
        <v>0</v>
      </c>
      <c r="GQ66" s="2"/>
      <c r="GR66" s="2">
        <v>0</v>
      </c>
      <c r="GS66" s="2">
        <v>3</v>
      </c>
      <c r="GT66" s="2">
        <v>0</v>
      </c>
      <c r="GU66" s="2" t="s">
        <v>4</v>
      </c>
      <c r="GV66" s="2">
        <f t="shared" si="91"/>
        <v>0</v>
      </c>
      <c r="GW66" s="2">
        <v>1</v>
      </c>
      <c r="GX66" s="2">
        <f t="shared" si="92"/>
        <v>0</v>
      </c>
      <c r="GY66" s="2"/>
      <c r="GZ66" s="2"/>
      <c r="HA66" s="2">
        <v>0</v>
      </c>
      <c r="HB66" s="2">
        <v>0</v>
      </c>
      <c r="HC66" s="2"/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  <c r="HQ66" s="2"/>
      <c r="HR66" s="2"/>
      <c r="HS66" s="2"/>
      <c r="HT66" s="2"/>
      <c r="HU66" s="2"/>
      <c r="HV66" s="2"/>
      <c r="HW66" s="2"/>
      <c r="HX66" s="2"/>
      <c r="HY66" s="2"/>
      <c r="HZ66" s="2"/>
      <c r="IA66" s="2"/>
      <c r="IB66" s="2"/>
      <c r="IC66" s="2"/>
      <c r="ID66" s="2"/>
      <c r="IE66" s="2"/>
      <c r="IF66" s="2"/>
      <c r="IG66" s="2"/>
      <c r="IH66" s="2"/>
      <c r="II66" s="2"/>
      <c r="IJ66" s="2"/>
      <c r="IK66" s="2">
        <v>0</v>
      </c>
      <c r="IL66" s="2"/>
      <c r="IM66" s="2"/>
      <c r="IN66" s="2"/>
      <c r="IO66" s="2"/>
      <c r="IP66" s="2"/>
      <c r="IQ66" s="2"/>
      <c r="IR66" s="2"/>
      <c r="IS66" s="2"/>
      <c r="IT66" s="2"/>
      <c r="IU66" s="2"/>
    </row>
    <row r="67" spans="1:255" x14ac:dyDescent="0.2">
      <c r="A67">
        <v>18</v>
      </c>
      <c r="B67">
        <v>1</v>
      </c>
      <c r="C67">
        <v>111</v>
      </c>
      <c r="E67" t="s">
        <v>117</v>
      </c>
      <c r="F67" t="s">
        <v>118</v>
      </c>
      <c r="G67" t="s">
        <v>119</v>
      </c>
      <c r="H67" t="s">
        <v>58</v>
      </c>
      <c r="I67">
        <f>I65*J67</f>
        <v>2.3460000000000002E-2</v>
      </c>
      <c r="J67">
        <v>3.0000000000000002E-2</v>
      </c>
      <c r="O67">
        <f t="shared" si="60"/>
        <v>1087.94</v>
      </c>
      <c r="P67">
        <f t="shared" si="61"/>
        <v>1087.94</v>
      </c>
      <c r="Q67">
        <f t="shared" si="62"/>
        <v>0</v>
      </c>
      <c r="R67">
        <f t="shared" si="63"/>
        <v>0</v>
      </c>
      <c r="S67">
        <f t="shared" si="64"/>
        <v>0</v>
      </c>
      <c r="T67">
        <f t="shared" si="65"/>
        <v>0</v>
      </c>
      <c r="U67">
        <f t="shared" si="66"/>
        <v>0</v>
      </c>
      <c r="V67">
        <f t="shared" si="67"/>
        <v>0</v>
      </c>
      <c r="W67">
        <f t="shared" si="68"/>
        <v>0</v>
      </c>
      <c r="X67">
        <f t="shared" si="69"/>
        <v>0</v>
      </c>
      <c r="Y67">
        <f t="shared" si="70"/>
        <v>0</v>
      </c>
      <c r="AA67">
        <v>16501255</v>
      </c>
      <c r="AB67">
        <f t="shared" si="71"/>
        <v>7627.37</v>
      </c>
      <c r="AC67">
        <f t="shared" si="51"/>
        <v>7627.37</v>
      </c>
      <c r="AD67">
        <f>ROUND((((ET67)-(EU67))+AE67),6)</f>
        <v>0</v>
      </c>
      <c r="AE67">
        <f t="shared" si="96"/>
        <v>0</v>
      </c>
      <c r="AF67">
        <f t="shared" si="96"/>
        <v>0</v>
      </c>
      <c r="AG67">
        <f t="shared" si="72"/>
        <v>0</v>
      </c>
      <c r="AH67">
        <f t="shared" si="97"/>
        <v>0</v>
      </c>
      <c r="AI67">
        <f t="shared" si="97"/>
        <v>0</v>
      </c>
      <c r="AJ67">
        <f t="shared" si="73"/>
        <v>0</v>
      </c>
      <c r="AK67">
        <v>7627.37</v>
      </c>
      <c r="AL67">
        <v>7627.37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95</v>
      </c>
      <c r="AU67">
        <v>47</v>
      </c>
      <c r="AV67">
        <v>1</v>
      </c>
      <c r="AW67">
        <v>1</v>
      </c>
      <c r="AZ67">
        <v>6.08</v>
      </c>
      <c r="BA67">
        <v>1</v>
      </c>
      <c r="BB67">
        <v>1</v>
      </c>
      <c r="BC67">
        <v>6.08</v>
      </c>
      <c r="BD67" t="s">
        <v>4</v>
      </c>
      <c r="BE67" t="s">
        <v>4</v>
      </c>
      <c r="BF67" t="s">
        <v>4</v>
      </c>
      <c r="BG67" t="s">
        <v>4</v>
      </c>
      <c r="BH67">
        <v>3</v>
      </c>
      <c r="BI67">
        <v>1</v>
      </c>
      <c r="BJ67" t="s">
        <v>120</v>
      </c>
      <c r="BM67">
        <v>15001</v>
      </c>
      <c r="BN67">
        <v>0</v>
      </c>
      <c r="BO67" t="s">
        <v>4</v>
      </c>
      <c r="BP67">
        <v>0</v>
      </c>
      <c r="BQ67">
        <v>2</v>
      </c>
      <c r="BR67">
        <v>0</v>
      </c>
      <c r="BS67">
        <v>1</v>
      </c>
      <c r="BT67">
        <v>1</v>
      </c>
      <c r="BU67">
        <v>1</v>
      </c>
      <c r="BV67">
        <v>1</v>
      </c>
      <c r="BW67">
        <v>1</v>
      </c>
      <c r="BX67">
        <v>1</v>
      </c>
      <c r="BY67" t="s">
        <v>4</v>
      </c>
      <c r="BZ67">
        <v>105</v>
      </c>
      <c r="CA67">
        <v>55</v>
      </c>
      <c r="CF67">
        <v>0</v>
      </c>
      <c r="CG67">
        <v>0</v>
      </c>
      <c r="CM67">
        <v>0</v>
      </c>
      <c r="CN67" t="s">
        <v>4</v>
      </c>
      <c r="CO67">
        <v>0</v>
      </c>
      <c r="CP67">
        <f t="shared" si="74"/>
        <v>1087.94</v>
      </c>
      <c r="CQ67">
        <f t="shared" si="75"/>
        <v>46374.409599999999</v>
      </c>
      <c r="CR67">
        <f t="shared" si="76"/>
        <v>0</v>
      </c>
      <c r="CS67">
        <f t="shared" si="77"/>
        <v>0</v>
      </c>
      <c r="CT67">
        <f t="shared" si="78"/>
        <v>0</v>
      </c>
      <c r="CU67">
        <f t="shared" si="79"/>
        <v>0</v>
      </c>
      <c r="CV67">
        <f t="shared" si="80"/>
        <v>0</v>
      </c>
      <c r="CW67">
        <f t="shared" si="81"/>
        <v>0</v>
      </c>
      <c r="CX67">
        <f t="shared" si="82"/>
        <v>0</v>
      </c>
      <c r="CY67">
        <f t="shared" si="83"/>
        <v>0</v>
      </c>
      <c r="CZ67">
        <f t="shared" si="84"/>
        <v>0</v>
      </c>
      <c r="DC67" t="s">
        <v>4</v>
      </c>
      <c r="DD67" t="s">
        <v>4</v>
      </c>
      <c r="DE67" t="s">
        <v>4</v>
      </c>
      <c r="DF67" t="s">
        <v>4</v>
      </c>
      <c r="DG67" t="s">
        <v>4</v>
      </c>
      <c r="DH67" t="s">
        <v>4</v>
      </c>
      <c r="DI67" t="s">
        <v>4</v>
      </c>
      <c r="DJ67" t="s">
        <v>4</v>
      </c>
      <c r="DK67" t="s">
        <v>4</v>
      </c>
      <c r="DL67" t="s">
        <v>4</v>
      </c>
      <c r="DM67" t="s">
        <v>4</v>
      </c>
      <c r="DN67">
        <v>0</v>
      </c>
      <c r="DO67">
        <v>0</v>
      </c>
      <c r="DP67">
        <v>1</v>
      </c>
      <c r="DQ67">
        <v>1</v>
      </c>
      <c r="DU67">
        <v>1009</v>
      </c>
      <c r="DV67" t="s">
        <v>58</v>
      </c>
      <c r="DW67" t="s">
        <v>58</v>
      </c>
      <c r="DX67">
        <v>1000</v>
      </c>
      <c r="EE67">
        <v>16510513</v>
      </c>
      <c r="EF67">
        <v>2</v>
      </c>
      <c r="EG67" t="s">
        <v>31</v>
      </c>
      <c r="EH67">
        <v>0</v>
      </c>
      <c r="EI67" t="s">
        <v>4</v>
      </c>
      <c r="EJ67">
        <v>1</v>
      </c>
      <c r="EK67">
        <v>15001</v>
      </c>
      <c r="EL67" t="s">
        <v>100</v>
      </c>
      <c r="EM67" t="s">
        <v>101</v>
      </c>
      <c r="EO67" t="s">
        <v>4</v>
      </c>
      <c r="EQ67">
        <v>0</v>
      </c>
      <c r="ER67">
        <v>7627.37</v>
      </c>
      <c r="ES67">
        <v>7627.37</v>
      </c>
      <c r="ET67">
        <v>0</v>
      </c>
      <c r="EU67">
        <v>0</v>
      </c>
      <c r="EV67">
        <v>0</v>
      </c>
      <c r="EW67">
        <v>0</v>
      </c>
      <c r="EX67">
        <v>0</v>
      </c>
      <c r="FQ67">
        <v>0</v>
      </c>
      <c r="FR67">
        <f t="shared" si="85"/>
        <v>0</v>
      </c>
      <c r="FS67">
        <v>0</v>
      </c>
      <c r="FT67" t="s">
        <v>34</v>
      </c>
      <c r="FU67" t="s">
        <v>35</v>
      </c>
      <c r="FX67">
        <v>94.5</v>
      </c>
      <c r="FY67">
        <v>46.75</v>
      </c>
      <c r="GA67" t="s">
        <v>4</v>
      </c>
      <c r="GD67">
        <v>0</v>
      </c>
      <c r="GF67">
        <v>763838732</v>
      </c>
      <c r="GG67">
        <v>1</v>
      </c>
      <c r="GH67">
        <v>1</v>
      </c>
      <c r="GI67">
        <v>4</v>
      </c>
      <c r="GJ67">
        <v>0</v>
      </c>
      <c r="GK67">
        <f>ROUND(R67*(S12)/100,2)</f>
        <v>0</v>
      </c>
      <c r="GL67">
        <f t="shared" si="86"/>
        <v>0</v>
      </c>
      <c r="GM67">
        <f t="shared" si="87"/>
        <v>1087.94</v>
      </c>
      <c r="GN67">
        <f t="shared" si="88"/>
        <v>1087.94</v>
      </c>
      <c r="GO67">
        <f t="shared" si="89"/>
        <v>0</v>
      </c>
      <c r="GP67">
        <f t="shared" si="90"/>
        <v>0</v>
      </c>
      <c r="GR67">
        <v>0</v>
      </c>
      <c r="GS67">
        <v>3</v>
      </c>
      <c r="GT67">
        <v>0</v>
      </c>
      <c r="GU67" t="s">
        <v>4</v>
      </c>
      <c r="GV67">
        <f t="shared" si="91"/>
        <v>0</v>
      </c>
      <c r="GW67">
        <v>1</v>
      </c>
      <c r="GX67">
        <f t="shared" si="92"/>
        <v>0</v>
      </c>
      <c r="HA67">
        <v>0</v>
      </c>
      <c r="HB67">
        <v>0</v>
      </c>
      <c r="IK67">
        <v>0</v>
      </c>
    </row>
    <row r="68" spans="1:255" x14ac:dyDescent="0.2">
      <c r="A68" s="2">
        <v>18</v>
      </c>
      <c r="B68" s="2">
        <v>1</v>
      </c>
      <c r="C68" s="2">
        <v>101</v>
      </c>
      <c r="D68" s="2"/>
      <c r="E68" s="2" t="s">
        <v>121</v>
      </c>
      <c r="F68" s="2" t="s">
        <v>110</v>
      </c>
      <c r="G68" s="2" t="s">
        <v>111</v>
      </c>
      <c r="H68" s="2" t="s">
        <v>58</v>
      </c>
      <c r="I68" s="2">
        <f>I64*J68</f>
        <v>1.5640000000000001E-2</v>
      </c>
      <c r="J68" s="2">
        <v>0.02</v>
      </c>
      <c r="K68" s="2"/>
      <c r="L68" s="2"/>
      <c r="M68" s="2"/>
      <c r="N68" s="2"/>
      <c r="O68" s="2">
        <f t="shared" si="60"/>
        <v>287.62</v>
      </c>
      <c r="P68" s="2">
        <f t="shared" si="61"/>
        <v>287.62</v>
      </c>
      <c r="Q68" s="2">
        <f t="shared" si="62"/>
        <v>0</v>
      </c>
      <c r="R68" s="2">
        <f t="shared" si="63"/>
        <v>0</v>
      </c>
      <c r="S68" s="2">
        <f t="shared" si="64"/>
        <v>0</v>
      </c>
      <c r="T68" s="2">
        <f t="shared" si="65"/>
        <v>0</v>
      </c>
      <c r="U68" s="2">
        <f t="shared" si="66"/>
        <v>0</v>
      </c>
      <c r="V68" s="2">
        <f t="shared" si="67"/>
        <v>0</v>
      </c>
      <c r="W68" s="2">
        <f t="shared" si="68"/>
        <v>0</v>
      </c>
      <c r="X68" s="2">
        <f t="shared" si="69"/>
        <v>0</v>
      </c>
      <c r="Y68" s="2">
        <f t="shared" si="70"/>
        <v>0</v>
      </c>
      <c r="Z68" s="2"/>
      <c r="AA68" s="2">
        <v>16501254</v>
      </c>
      <c r="AB68" s="2">
        <f t="shared" si="71"/>
        <v>18390.16</v>
      </c>
      <c r="AC68" s="2">
        <f t="shared" si="51"/>
        <v>18390.16</v>
      </c>
      <c r="AD68" s="2">
        <f>ROUND((((ET68)-(EU68))+AE68),6)</f>
        <v>0</v>
      </c>
      <c r="AE68" s="2">
        <f t="shared" si="96"/>
        <v>0</v>
      </c>
      <c r="AF68" s="2">
        <f t="shared" si="96"/>
        <v>0</v>
      </c>
      <c r="AG68" s="2">
        <f t="shared" si="72"/>
        <v>0</v>
      </c>
      <c r="AH68" s="2">
        <f t="shared" si="97"/>
        <v>0</v>
      </c>
      <c r="AI68" s="2">
        <f t="shared" si="97"/>
        <v>0</v>
      </c>
      <c r="AJ68" s="2">
        <f t="shared" si="73"/>
        <v>0</v>
      </c>
      <c r="AK68" s="2">
        <v>18390.16</v>
      </c>
      <c r="AL68" s="2">
        <v>18390.16</v>
      </c>
      <c r="AM68" s="2">
        <v>0</v>
      </c>
      <c r="AN68" s="2">
        <v>0</v>
      </c>
      <c r="AO68" s="2">
        <v>0</v>
      </c>
      <c r="AP68" s="2">
        <v>0</v>
      </c>
      <c r="AQ68" s="2">
        <v>0</v>
      </c>
      <c r="AR68" s="2">
        <v>0</v>
      </c>
      <c r="AS68" s="2">
        <v>0</v>
      </c>
      <c r="AT68" s="2">
        <v>95</v>
      </c>
      <c r="AU68" s="2">
        <v>47</v>
      </c>
      <c r="AV68" s="2">
        <v>1</v>
      </c>
      <c r="AW68" s="2">
        <v>1</v>
      </c>
      <c r="AX68" s="2"/>
      <c r="AY68" s="2"/>
      <c r="AZ68" s="2">
        <v>1</v>
      </c>
      <c r="BA68" s="2">
        <v>1</v>
      </c>
      <c r="BB68" s="2">
        <v>1</v>
      </c>
      <c r="BC68" s="2">
        <v>1</v>
      </c>
      <c r="BD68" s="2" t="s">
        <v>4</v>
      </c>
      <c r="BE68" s="2" t="s">
        <v>4</v>
      </c>
      <c r="BF68" s="2" t="s">
        <v>4</v>
      </c>
      <c r="BG68" s="2" t="s">
        <v>4</v>
      </c>
      <c r="BH68" s="2">
        <v>3</v>
      </c>
      <c r="BI68" s="2">
        <v>1</v>
      </c>
      <c r="BJ68" s="2" t="s">
        <v>112</v>
      </c>
      <c r="BK68" s="2"/>
      <c r="BL68" s="2"/>
      <c r="BM68" s="2">
        <v>15001</v>
      </c>
      <c r="BN68" s="2">
        <v>0</v>
      </c>
      <c r="BO68" s="2" t="s">
        <v>4</v>
      </c>
      <c r="BP68" s="2">
        <v>0</v>
      </c>
      <c r="BQ68" s="2">
        <v>2</v>
      </c>
      <c r="BR68" s="2">
        <v>0</v>
      </c>
      <c r="BS68" s="2">
        <v>1</v>
      </c>
      <c r="BT68" s="2">
        <v>1</v>
      </c>
      <c r="BU68" s="2">
        <v>1</v>
      </c>
      <c r="BV68" s="2">
        <v>1</v>
      </c>
      <c r="BW68" s="2">
        <v>1</v>
      </c>
      <c r="BX68" s="2">
        <v>1</v>
      </c>
      <c r="BY68" s="2" t="s">
        <v>4</v>
      </c>
      <c r="BZ68" s="2">
        <v>105</v>
      </c>
      <c r="CA68" s="2">
        <v>55</v>
      </c>
      <c r="CB68" s="2"/>
      <c r="CC68" s="2"/>
      <c r="CD68" s="2"/>
      <c r="CE68" s="2"/>
      <c r="CF68" s="2">
        <v>0</v>
      </c>
      <c r="CG68" s="2">
        <v>0</v>
      </c>
      <c r="CH68" s="2"/>
      <c r="CI68" s="2"/>
      <c r="CJ68" s="2"/>
      <c r="CK68" s="2"/>
      <c r="CL68" s="2"/>
      <c r="CM68" s="2">
        <v>0</v>
      </c>
      <c r="CN68" s="2" t="s">
        <v>4</v>
      </c>
      <c r="CO68" s="2">
        <v>0</v>
      </c>
      <c r="CP68" s="2">
        <f t="shared" si="74"/>
        <v>287.62</v>
      </c>
      <c r="CQ68" s="2">
        <f t="shared" si="75"/>
        <v>18390.16</v>
      </c>
      <c r="CR68" s="2">
        <f t="shared" si="76"/>
        <v>0</v>
      </c>
      <c r="CS68" s="2">
        <f t="shared" si="77"/>
        <v>0</v>
      </c>
      <c r="CT68" s="2">
        <f t="shared" si="78"/>
        <v>0</v>
      </c>
      <c r="CU68" s="2">
        <f t="shared" si="79"/>
        <v>0</v>
      </c>
      <c r="CV68" s="2">
        <f t="shared" si="80"/>
        <v>0</v>
      </c>
      <c r="CW68" s="2">
        <f t="shared" si="81"/>
        <v>0</v>
      </c>
      <c r="CX68" s="2">
        <f t="shared" si="82"/>
        <v>0</v>
      </c>
      <c r="CY68" s="2">
        <f t="shared" si="83"/>
        <v>0</v>
      </c>
      <c r="CZ68" s="2">
        <f t="shared" si="84"/>
        <v>0</v>
      </c>
      <c r="DA68" s="2"/>
      <c r="DB68" s="2"/>
      <c r="DC68" s="2" t="s">
        <v>4</v>
      </c>
      <c r="DD68" s="2" t="s">
        <v>4</v>
      </c>
      <c r="DE68" s="2" t="s">
        <v>4</v>
      </c>
      <c r="DF68" s="2" t="s">
        <v>4</v>
      </c>
      <c r="DG68" s="2" t="s">
        <v>4</v>
      </c>
      <c r="DH68" s="2" t="s">
        <v>4</v>
      </c>
      <c r="DI68" s="2" t="s">
        <v>4</v>
      </c>
      <c r="DJ68" s="2" t="s">
        <v>4</v>
      </c>
      <c r="DK68" s="2" t="s">
        <v>4</v>
      </c>
      <c r="DL68" s="2" t="s">
        <v>4</v>
      </c>
      <c r="DM68" s="2" t="s">
        <v>4</v>
      </c>
      <c r="DN68" s="2">
        <v>0</v>
      </c>
      <c r="DO68" s="2">
        <v>0</v>
      </c>
      <c r="DP68" s="2">
        <v>1</v>
      </c>
      <c r="DQ68" s="2">
        <v>1</v>
      </c>
      <c r="DR68" s="2"/>
      <c r="DS68" s="2"/>
      <c r="DT68" s="2"/>
      <c r="DU68" s="2">
        <v>1009</v>
      </c>
      <c r="DV68" s="2" t="s">
        <v>58</v>
      </c>
      <c r="DW68" s="2" t="s">
        <v>58</v>
      </c>
      <c r="DX68" s="2">
        <v>1000</v>
      </c>
      <c r="DY68" s="2"/>
      <c r="DZ68" s="2"/>
      <c r="EA68" s="2"/>
      <c r="EB68" s="2"/>
      <c r="EC68" s="2"/>
      <c r="ED68" s="2"/>
      <c r="EE68" s="2">
        <v>16510513</v>
      </c>
      <c r="EF68" s="2">
        <v>2</v>
      </c>
      <c r="EG68" s="2" t="s">
        <v>31</v>
      </c>
      <c r="EH68" s="2">
        <v>0</v>
      </c>
      <c r="EI68" s="2" t="s">
        <v>4</v>
      </c>
      <c r="EJ68" s="2">
        <v>1</v>
      </c>
      <c r="EK68" s="2">
        <v>15001</v>
      </c>
      <c r="EL68" s="2" t="s">
        <v>100</v>
      </c>
      <c r="EM68" s="2" t="s">
        <v>101</v>
      </c>
      <c r="EN68" s="2"/>
      <c r="EO68" s="2" t="s">
        <v>4</v>
      </c>
      <c r="EP68" s="2"/>
      <c r="EQ68" s="2">
        <v>0</v>
      </c>
      <c r="ER68" s="2">
        <v>18390.16</v>
      </c>
      <c r="ES68" s="2">
        <v>18390.16</v>
      </c>
      <c r="ET68" s="2">
        <v>0</v>
      </c>
      <c r="EU68" s="2">
        <v>0</v>
      </c>
      <c r="EV68" s="2">
        <v>0</v>
      </c>
      <c r="EW68" s="2">
        <v>0</v>
      </c>
      <c r="EX68" s="2">
        <v>0</v>
      </c>
      <c r="EY68" s="2"/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>
        <v>0</v>
      </c>
      <c r="FR68" s="2">
        <f t="shared" si="85"/>
        <v>0</v>
      </c>
      <c r="FS68" s="2">
        <v>0</v>
      </c>
      <c r="FT68" s="2" t="s">
        <v>34</v>
      </c>
      <c r="FU68" s="2" t="s">
        <v>35</v>
      </c>
      <c r="FV68" s="2"/>
      <c r="FW68" s="2"/>
      <c r="FX68" s="2">
        <v>94.5</v>
      </c>
      <c r="FY68" s="2">
        <v>46.75</v>
      </c>
      <c r="FZ68" s="2"/>
      <c r="GA68" s="2" t="s">
        <v>4</v>
      </c>
      <c r="GB68" s="2"/>
      <c r="GC68" s="2"/>
      <c r="GD68" s="2">
        <v>0</v>
      </c>
      <c r="GE68" s="2"/>
      <c r="GF68" s="2">
        <v>-1919714308</v>
      </c>
      <c r="GG68" s="2">
        <v>2</v>
      </c>
      <c r="GH68" s="2">
        <v>1</v>
      </c>
      <c r="GI68" s="2">
        <v>-2</v>
      </c>
      <c r="GJ68" s="2">
        <v>0</v>
      </c>
      <c r="GK68" s="2">
        <f>ROUND(R68*(R12)/100,2)</f>
        <v>0</v>
      </c>
      <c r="GL68" s="2">
        <f t="shared" si="86"/>
        <v>0</v>
      </c>
      <c r="GM68" s="2">
        <f t="shared" si="87"/>
        <v>287.62</v>
      </c>
      <c r="GN68" s="2">
        <f t="shared" si="88"/>
        <v>287.62</v>
      </c>
      <c r="GO68" s="2">
        <f t="shared" si="89"/>
        <v>0</v>
      </c>
      <c r="GP68" s="2">
        <f t="shared" si="90"/>
        <v>0</v>
      </c>
      <c r="GQ68" s="2"/>
      <c r="GR68" s="2">
        <v>0</v>
      </c>
      <c r="GS68" s="2">
        <v>3</v>
      </c>
      <c r="GT68" s="2">
        <v>0</v>
      </c>
      <c r="GU68" s="2" t="s">
        <v>4</v>
      </c>
      <c r="GV68" s="2">
        <f t="shared" si="91"/>
        <v>0</v>
      </c>
      <c r="GW68" s="2">
        <v>1</v>
      </c>
      <c r="GX68" s="2">
        <f t="shared" si="92"/>
        <v>0</v>
      </c>
      <c r="GY68" s="2"/>
      <c r="GZ68" s="2"/>
      <c r="HA68" s="2">
        <v>0</v>
      </c>
      <c r="HB68" s="2">
        <v>0</v>
      </c>
      <c r="HC68" s="2"/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  <c r="HO68" s="2"/>
      <c r="HP68" s="2"/>
      <c r="HQ68" s="2"/>
      <c r="HR68" s="2"/>
      <c r="HS68" s="2"/>
      <c r="HT68" s="2"/>
      <c r="HU68" s="2"/>
      <c r="HV68" s="2"/>
      <c r="HW68" s="2"/>
      <c r="HX68" s="2"/>
      <c r="HY68" s="2"/>
      <c r="HZ68" s="2"/>
      <c r="IA68" s="2"/>
      <c r="IB68" s="2"/>
      <c r="IC68" s="2"/>
      <c r="ID68" s="2"/>
      <c r="IE68" s="2"/>
      <c r="IF68" s="2"/>
      <c r="IG68" s="2"/>
      <c r="IH68" s="2"/>
      <c r="II68" s="2"/>
      <c r="IJ68" s="2"/>
      <c r="IK68" s="2">
        <v>0</v>
      </c>
      <c r="IL68" s="2"/>
      <c r="IM68" s="2"/>
      <c r="IN68" s="2"/>
      <c r="IO68" s="2"/>
      <c r="IP68" s="2"/>
      <c r="IQ68" s="2"/>
      <c r="IR68" s="2"/>
      <c r="IS68" s="2"/>
      <c r="IT68" s="2"/>
      <c r="IU68" s="2"/>
    </row>
    <row r="69" spans="1:255" x14ac:dyDescent="0.2">
      <c r="A69">
        <v>18</v>
      </c>
      <c r="B69">
        <v>1</v>
      </c>
      <c r="C69">
        <v>110</v>
      </c>
      <c r="E69" t="s">
        <v>121</v>
      </c>
      <c r="F69" t="s">
        <v>110</v>
      </c>
      <c r="G69" t="s">
        <v>111</v>
      </c>
      <c r="H69" t="s">
        <v>58</v>
      </c>
      <c r="I69">
        <f>I65*J69</f>
        <v>1.5640000000000001E-2</v>
      </c>
      <c r="J69">
        <v>0.02</v>
      </c>
      <c r="O69">
        <f t="shared" si="60"/>
        <v>1748.74</v>
      </c>
      <c r="P69">
        <f t="shared" si="61"/>
        <v>1748.74</v>
      </c>
      <c r="Q69">
        <f t="shared" si="62"/>
        <v>0</v>
      </c>
      <c r="R69">
        <f t="shared" si="63"/>
        <v>0</v>
      </c>
      <c r="S69">
        <f t="shared" si="64"/>
        <v>0</v>
      </c>
      <c r="T69">
        <f t="shared" si="65"/>
        <v>0</v>
      </c>
      <c r="U69">
        <f t="shared" si="66"/>
        <v>0</v>
      </c>
      <c r="V69">
        <f t="shared" si="67"/>
        <v>0</v>
      </c>
      <c r="W69">
        <f t="shared" si="68"/>
        <v>0</v>
      </c>
      <c r="X69">
        <f t="shared" si="69"/>
        <v>0</v>
      </c>
      <c r="Y69">
        <f t="shared" si="70"/>
        <v>0</v>
      </c>
      <c r="AA69">
        <v>16501255</v>
      </c>
      <c r="AB69">
        <f t="shared" si="71"/>
        <v>18390.16</v>
      </c>
      <c r="AC69">
        <f t="shared" si="51"/>
        <v>18390.16</v>
      </c>
      <c r="AD69">
        <f>ROUND((((ET69)-(EU69))+AE69),6)</f>
        <v>0</v>
      </c>
      <c r="AE69">
        <f t="shared" si="96"/>
        <v>0</v>
      </c>
      <c r="AF69">
        <f t="shared" si="96"/>
        <v>0</v>
      </c>
      <c r="AG69">
        <f t="shared" si="72"/>
        <v>0</v>
      </c>
      <c r="AH69">
        <f t="shared" si="97"/>
        <v>0</v>
      </c>
      <c r="AI69">
        <f t="shared" si="97"/>
        <v>0</v>
      </c>
      <c r="AJ69">
        <f t="shared" si="73"/>
        <v>0</v>
      </c>
      <c r="AK69">
        <v>18390.16</v>
      </c>
      <c r="AL69">
        <v>18390.16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95</v>
      </c>
      <c r="AU69">
        <v>47</v>
      </c>
      <c r="AV69">
        <v>1</v>
      </c>
      <c r="AW69">
        <v>1</v>
      </c>
      <c r="AZ69">
        <v>6.08</v>
      </c>
      <c r="BA69">
        <v>1</v>
      </c>
      <c r="BB69">
        <v>1</v>
      </c>
      <c r="BC69">
        <v>6.08</v>
      </c>
      <c r="BD69" t="s">
        <v>4</v>
      </c>
      <c r="BE69" t="s">
        <v>4</v>
      </c>
      <c r="BF69" t="s">
        <v>4</v>
      </c>
      <c r="BG69" t="s">
        <v>4</v>
      </c>
      <c r="BH69">
        <v>3</v>
      </c>
      <c r="BI69">
        <v>1</v>
      </c>
      <c r="BJ69" t="s">
        <v>112</v>
      </c>
      <c r="BM69">
        <v>15001</v>
      </c>
      <c r="BN69">
        <v>0</v>
      </c>
      <c r="BO69" t="s">
        <v>4</v>
      </c>
      <c r="BP69">
        <v>0</v>
      </c>
      <c r="BQ69">
        <v>2</v>
      </c>
      <c r="BR69">
        <v>0</v>
      </c>
      <c r="BS69">
        <v>1</v>
      </c>
      <c r="BT69">
        <v>1</v>
      </c>
      <c r="BU69">
        <v>1</v>
      </c>
      <c r="BV69">
        <v>1</v>
      </c>
      <c r="BW69">
        <v>1</v>
      </c>
      <c r="BX69">
        <v>1</v>
      </c>
      <c r="BY69" t="s">
        <v>4</v>
      </c>
      <c r="BZ69">
        <v>105</v>
      </c>
      <c r="CA69">
        <v>55</v>
      </c>
      <c r="CF69">
        <v>0</v>
      </c>
      <c r="CG69">
        <v>0</v>
      </c>
      <c r="CM69">
        <v>0</v>
      </c>
      <c r="CN69" t="s">
        <v>4</v>
      </c>
      <c r="CO69">
        <v>0</v>
      </c>
      <c r="CP69">
        <f t="shared" si="74"/>
        <v>1748.74</v>
      </c>
      <c r="CQ69">
        <f t="shared" si="75"/>
        <v>111812.1728</v>
      </c>
      <c r="CR69">
        <f t="shared" si="76"/>
        <v>0</v>
      </c>
      <c r="CS69">
        <f t="shared" si="77"/>
        <v>0</v>
      </c>
      <c r="CT69">
        <f t="shared" si="78"/>
        <v>0</v>
      </c>
      <c r="CU69">
        <f t="shared" si="79"/>
        <v>0</v>
      </c>
      <c r="CV69">
        <f t="shared" si="80"/>
        <v>0</v>
      </c>
      <c r="CW69">
        <f t="shared" si="81"/>
        <v>0</v>
      </c>
      <c r="CX69">
        <f t="shared" si="82"/>
        <v>0</v>
      </c>
      <c r="CY69">
        <f t="shared" si="83"/>
        <v>0</v>
      </c>
      <c r="CZ69">
        <f t="shared" si="84"/>
        <v>0</v>
      </c>
      <c r="DC69" t="s">
        <v>4</v>
      </c>
      <c r="DD69" t="s">
        <v>4</v>
      </c>
      <c r="DE69" t="s">
        <v>4</v>
      </c>
      <c r="DF69" t="s">
        <v>4</v>
      </c>
      <c r="DG69" t="s">
        <v>4</v>
      </c>
      <c r="DH69" t="s">
        <v>4</v>
      </c>
      <c r="DI69" t="s">
        <v>4</v>
      </c>
      <c r="DJ69" t="s">
        <v>4</v>
      </c>
      <c r="DK69" t="s">
        <v>4</v>
      </c>
      <c r="DL69" t="s">
        <v>4</v>
      </c>
      <c r="DM69" t="s">
        <v>4</v>
      </c>
      <c r="DN69">
        <v>0</v>
      </c>
      <c r="DO69">
        <v>0</v>
      </c>
      <c r="DP69">
        <v>1</v>
      </c>
      <c r="DQ69">
        <v>1</v>
      </c>
      <c r="DU69">
        <v>1009</v>
      </c>
      <c r="DV69" t="s">
        <v>58</v>
      </c>
      <c r="DW69" t="s">
        <v>58</v>
      </c>
      <c r="DX69">
        <v>1000</v>
      </c>
      <c r="EE69">
        <v>16510513</v>
      </c>
      <c r="EF69">
        <v>2</v>
      </c>
      <c r="EG69" t="s">
        <v>31</v>
      </c>
      <c r="EH69">
        <v>0</v>
      </c>
      <c r="EI69" t="s">
        <v>4</v>
      </c>
      <c r="EJ69">
        <v>1</v>
      </c>
      <c r="EK69">
        <v>15001</v>
      </c>
      <c r="EL69" t="s">
        <v>100</v>
      </c>
      <c r="EM69" t="s">
        <v>101</v>
      </c>
      <c r="EO69" t="s">
        <v>4</v>
      </c>
      <c r="EQ69">
        <v>0</v>
      </c>
      <c r="ER69">
        <v>18390.16</v>
      </c>
      <c r="ES69">
        <v>18390.16</v>
      </c>
      <c r="ET69">
        <v>0</v>
      </c>
      <c r="EU69">
        <v>0</v>
      </c>
      <c r="EV69">
        <v>0</v>
      </c>
      <c r="EW69">
        <v>0</v>
      </c>
      <c r="EX69">
        <v>0</v>
      </c>
      <c r="FQ69">
        <v>0</v>
      </c>
      <c r="FR69">
        <f t="shared" si="85"/>
        <v>0</v>
      </c>
      <c r="FS69">
        <v>0</v>
      </c>
      <c r="FT69" t="s">
        <v>34</v>
      </c>
      <c r="FU69" t="s">
        <v>35</v>
      </c>
      <c r="FX69">
        <v>94.5</v>
      </c>
      <c r="FY69">
        <v>46.75</v>
      </c>
      <c r="GA69" t="s">
        <v>4</v>
      </c>
      <c r="GD69">
        <v>0</v>
      </c>
      <c r="GF69">
        <v>-1919714308</v>
      </c>
      <c r="GG69">
        <v>1</v>
      </c>
      <c r="GH69">
        <v>1</v>
      </c>
      <c r="GI69">
        <v>4</v>
      </c>
      <c r="GJ69">
        <v>0</v>
      </c>
      <c r="GK69">
        <f>ROUND(R69*(S12)/100,2)</f>
        <v>0</v>
      </c>
      <c r="GL69">
        <f t="shared" si="86"/>
        <v>0</v>
      </c>
      <c r="GM69">
        <f t="shared" si="87"/>
        <v>1748.74</v>
      </c>
      <c r="GN69">
        <f t="shared" si="88"/>
        <v>1748.74</v>
      </c>
      <c r="GO69">
        <f t="shared" si="89"/>
        <v>0</v>
      </c>
      <c r="GP69">
        <f t="shared" si="90"/>
        <v>0</v>
      </c>
      <c r="GR69">
        <v>0</v>
      </c>
      <c r="GS69">
        <v>3</v>
      </c>
      <c r="GT69">
        <v>0</v>
      </c>
      <c r="GU69" t="s">
        <v>4</v>
      </c>
      <c r="GV69">
        <f t="shared" si="91"/>
        <v>0</v>
      </c>
      <c r="GW69">
        <v>1</v>
      </c>
      <c r="GX69">
        <f t="shared" si="92"/>
        <v>0</v>
      </c>
      <c r="HA69">
        <v>0</v>
      </c>
      <c r="HB69">
        <v>0</v>
      </c>
      <c r="IK69">
        <v>0</v>
      </c>
    </row>
    <row r="70" spans="1:255" x14ac:dyDescent="0.2">
      <c r="A70" s="2">
        <v>17</v>
      </c>
      <c r="B70" s="2">
        <v>1</v>
      </c>
      <c r="C70" s="2">
        <f>ROW(SmtRes!A121)</f>
        <v>121</v>
      </c>
      <c r="D70" s="2">
        <f>ROW(EtalonRes!A121)</f>
        <v>121</v>
      </c>
      <c r="E70" s="2" t="s">
        <v>122</v>
      </c>
      <c r="F70" s="2" t="s">
        <v>123</v>
      </c>
      <c r="G70" s="2" t="s">
        <v>124</v>
      </c>
      <c r="H70" s="2" t="s">
        <v>23</v>
      </c>
      <c r="I70" s="2">
        <f>ROUND(36.3/100,9)</f>
        <v>0.36299999999999999</v>
      </c>
      <c r="J70" s="2">
        <v>0</v>
      </c>
      <c r="K70" s="2"/>
      <c r="L70" s="2"/>
      <c r="M70" s="2"/>
      <c r="N70" s="2"/>
      <c r="O70" s="2">
        <f t="shared" si="60"/>
        <v>484.68</v>
      </c>
      <c r="P70" s="2">
        <f t="shared" si="61"/>
        <v>249.8</v>
      </c>
      <c r="Q70" s="2">
        <f t="shared" si="62"/>
        <v>5.0199999999999996</v>
      </c>
      <c r="R70" s="2">
        <f t="shared" si="63"/>
        <v>0.95</v>
      </c>
      <c r="S70" s="2">
        <f t="shared" si="64"/>
        <v>229.86</v>
      </c>
      <c r="T70" s="2">
        <f t="shared" si="65"/>
        <v>0</v>
      </c>
      <c r="U70" s="2">
        <f t="shared" si="66"/>
        <v>26.299349999999993</v>
      </c>
      <c r="V70" s="2">
        <f t="shared" si="67"/>
        <v>8.1674999999999984E-2</v>
      </c>
      <c r="W70" s="2">
        <f t="shared" si="68"/>
        <v>0</v>
      </c>
      <c r="X70" s="2">
        <f t="shared" si="69"/>
        <v>219.27</v>
      </c>
      <c r="Y70" s="2">
        <f t="shared" si="70"/>
        <v>108.48</v>
      </c>
      <c r="Z70" s="2"/>
      <c r="AA70" s="2">
        <v>16501254</v>
      </c>
      <c r="AB70" s="2">
        <f t="shared" si="71"/>
        <v>1335.1880000000001</v>
      </c>
      <c r="AC70" s="2">
        <f t="shared" si="51"/>
        <v>688.15</v>
      </c>
      <c r="AD70" s="2">
        <f>ROUND(((((ET70*1.25))-((EU70*1.25)))+AE70),6)</f>
        <v>13.824999999999999</v>
      </c>
      <c r="AE70" s="2">
        <f>ROUND(((EU70*1.25)),6)</f>
        <v>2.6124999999999998</v>
      </c>
      <c r="AF70" s="2">
        <f>ROUND(((EV70*1.15)),6)</f>
        <v>633.21299999999997</v>
      </c>
      <c r="AG70" s="2">
        <f t="shared" si="72"/>
        <v>0</v>
      </c>
      <c r="AH70" s="2">
        <f>((EW70*1.15))</f>
        <v>72.449999999999989</v>
      </c>
      <c r="AI70" s="2">
        <f>((EX70*1.25))</f>
        <v>0.22499999999999998</v>
      </c>
      <c r="AJ70" s="2">
        <f t="shared" si="73"/>
        <v>0</v>
      </c>
      <c r="AK70" s="2">
        <v>1249.83</v>
      </c>
      <c r="AL70" s="2">
        <v>688.15</v>
      </c>
      <c r="AM70" s="2">
        <v>11.06</v>
      </c>
      <c r="AN70" s="2">
        <v>2.09</v>
      </c>
      <c r="AO70" s="2">
        <v>550.62</v>
      </c>
      <c r="AP70" s="2">
        <v>0</v>
      </c>
      <c r="AQ70" s="2">
        <v>63</v>
      </c>
      <c r="AR70" s="2">
        <v>0.18</v>
      </c>
      <c r="AS70" s="2">
        <v>0</v>
      </c>
      <c r="AT70" s="2">
        <v>95</v>
      </c>
      <c r="AU70" s="2">
        <v>47</v>
      </c>
      <c r="AV70" s="2">
        <v>1</v>
      </c>
      <c r="AW70" s="2">
        <v>1</v>
      </c>
      <c r="AX70" s="2"/>
      <c r="AY70" s="2"/>
      <c r="AZ70" s="2">
        <v>1</v>
      </c>
      <c r="BA70" s="2">
        <v>1</v>
      </c>
      <c r="BB70" s="2">
        <v>1</v>
      </c>
      <c r="BC70" s="2">
        <v>1</v>
      </c>
      <c r="BD70" s="2" t="s">
        <v>4</v>
      </c>
      <c r="BE70" s="2" t="s">
        <v>4</v>
      </c>
      <c r="BF70" s="2" t="s">
        <v>4</v>
      </c>
      <c r="BG70" s="2" t="s">
        <v>4</v>
      </c>
      <c r="BH70" s="2">
        <v>0</v>
      </c>
      <c r="BI70" s="2">
        <v>1</v>
      </c>
      <c r="BJ70" s="2" t="s">
        <v>125</v>
      </c>
      <c r="BK70" s="2"/>
      <c r="BL70" s="2"/>
      <c r="BM70" s="2">
        <v>15001</v>
      </c>
      <c r="BN70" s="2">
        <v>0</v>
      </c>
      <c r="BO70" s="2" t="s">
        <v>4</v>
      </c>
      <c r="BP70" s="2">
        <v>0</v>
      </c>
      <c r="BQ70" s="2">
        <v>2</v>
      </c>
      <c r="BR70" s="2">
        <v>0</v>
      </c>
      <c r="BS70" s="2">
        <v>1</v>
      </c>
      <c r="BT70" s="2">
        <v>1</v>
      </c>
      <c r="BU70" s="2">
        <v>1</v>
      </c>
      <c r="BV70" s="2">
        <v>1</v>
      </c>
      <c r="BW70" s="2">
        <v>1</v>
      </c>
      <c r="BX70" s="2">
        <v>1</v>
      </c>
      <c r="BY70" s="2" t="s">
        <v>4</v>
      </c>
      <c r="BZ70" s="2">
        <v>105</v>
      </c>
      <c r="CA70" s="2">
        <v>55</v>
      </c>
      <c r="CB70" s="2"/>
      <c r="CC70" s="2"/>
      <c r="CD70" s="2"/>
      <c r="CE70" s="2"/>
      <c r="CF70" s="2">
        <v>0</v>
      </c>
      <c r="CG70" s="2">
        <v>0</v>
      </c>
      <c r="CH70" s="2"/>
      <c r="CI70" s="2"/>
      <c r="CJ70" s="2"/>
      <c r="CK70" s="2"/>
      <c r="CL70" s="2"/>
      <c r="CM70" s="2">
        <v>0</v>
      </c>
      <c r="CN70" s="2" t="s">
        <v>323</v>
      </c>
      <c r="CO70" s="2">
        <v>0</v>
      </c>
      <c r="CP70" s="2">
        <f t="shared" si="74"/>
        <v>484.68000000000006</v>
      </c>
      <c r="CQ70" s="2">
        <f t="shared" si="75"/>
        <v>688.15</v>
      </c>
      <c r="CR70" s="2">
        <f t="shared" si="76"/>
        <v>13.824999999999999</v>
      </c>
      <c r="CS70" s="2">
        <f t="shared" si="77"/>
        <v>2.6124999999999998</v>
      </c>
      <c r="CT70" s="2">
        <f t="shared" si="78"/>
        <v>633.21299999999997</v>
      </c>
      <c r="CU70" s="2">
        <f t="shared" si="79"/>
        <v>0</v>
      </c>
      <c r="CV70" s="2">
        <f t="shared" si="80"/>
        <v>72.449999999999989</v>
      </c>
      <c r="CW70" s="2">
        <f t="shared" si="81"/>
        <v>0.22499999999999998</v>
      </c>
      <c r="CX70" s="2">
        <f t="shared" si="82"/>
        <v>0</v>
      </c>
      <c r="CY70" s="2">
        <f t="shared" si="83"/>
        <v>219.26949999999999</v>
      </c>
      <c r="CZ70" s="2">
        <f t="shared" si="84"/>
        <v>108.4807</v>
      </c>
      <c r="DA70" s="2"/>
      <c r="DB70" s="2"/>
      <c r="DC70" s="2" t="s">
        <v>4</v>
      </c>
      <c r="DD70" s="2" t="s">
        <v>4</v>
      </c>
      <c r="DE70" s="2" t="s">
        <v>29</v>
      </c>
      <c r="DF70" s="2" t="s">
        <v>29</v>
      </c>
      <c r="DG70" s="2" t="s">
        <v>30</v>
      </c>
      <c r="DH70" s="2" t="s">
        <v>4</v>
      </c>
      <c r="DI70" s="2" t="s">
        <v>30</v>
      </c>
      <c r="DJ70" s="2" t="s">
        <v>29</v>
      </c>
      <c r="DK70" s="2" t="s">
        <v>4</v>
      </c>
      <c r="DL70" s="2" t="s">
        <v>4</v>
      </c>
      <c r="DM70" s="2" t="s">
        <v>4</v>
      </c>
      <c r="DN70" s="2">
        <v>0</v>
      </c>
      <c r="DO70" s="2">
        <v>0</v>
      </c>
      <c r="DP70" s="2">
        <v>1</v>
      </c>
      <c r="DQ70" s="2">
        <v>1</v>
      </c>
      <c r="DR70" s="2"/>
      <c r="DS70" s="2"/>
      <c r="DT70" s="2"/>
      <c r="DU70" s="2">
        <v>1005</v>
      </c>
      <c r="DV70" s="2" t="s">
        <v>23</v>
      </c>
      <c r="DW70" s="2" t="s">
        <v>23</v>
      </c>
      <c r="DX70" s="2">
        <v>100</v>
      </c>
      <c r="DY70" s="2"/>
      <c r="DZ70" s="2"/>
      <c r="EA70" s="2"/>
      <c r="EB70" s="2"/>
      <c r="EC70" s="2"/>
      <c r="ED70" s="2"/>
      <c r="EE70" s="2">
        <v>16510513</v>
      </c>
      <c r="EF70" s="2">
        <v>2</v>
      </c>
      <c r="EG70" s="2" t="s">
        <v>31</v>
      </c>
      <c r="EH70" s="2">
        <v>0</v>
      </c>
      <c r="EI70" s="2" t="s">
        <v>4</v>
      </c>
      <c r="EJ70" s="2">
        <v>1</v>
      </c>
      <c r="EK70" s="2">
        <v>15001</v>
      </c>
      <c r="EL70" s="2" t="s">
        <v>100</v>
      </c>
      <c r="EM70" s="2" t="s">
        <v>101</v>
      </c>
      <c r="EN70" s="2"/>
      <c r="EO70" s="2" t="s">
        <v>33</v>
      </c>
      <c r="EP70" s="2"/>
      <c r="EQ70" s="2">
        <v>0</v>
      </c>
      <c r="ER70" s="2">
        <v>1249.83</v>
      </c>
      <c r="ES70" s="2">
        <v>688.15</v>
      </c>
      <c r="ET70" s="2">
        <v>11.06</v>
      </c>
      <c r="EU70" s="2">
        <v>2.09</v>
      </c>
      <c r="EV70" s="2">
        <v>550.62</v>
      </c>
      <c r="EW70" s="2">
        <v>63</v>
      </c>
      <c r="EX70" s="2">
        <v>0.18</v>
      </c>
      <c r="EY70" s="2">
        <v>0</v>
      </c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>
        <v>0</v>
      </c>
      <c r="FR70" s="2">
        <f t="shared" si="85"/>
        <v>0</v>
      </c>
      <c r="FS70" s="2">
        <v>0</v>
      </c>
      <c r="FT70" s="2" t="s">
        <v>34</v>
      </c>
      <c r="FU70" s="2" t="s">
        <v>35</v>
      </c>
      <c r="FV70" s="2"/>
      <c r="FW70" s="2"/>
      <c r="FX70" s="2">
        <v>94.5</v>
      </c>
      <c r="FY70" s="2">
        <v>46.75</v>
      </c>
      <c r="FZ70" s="2"/>
      <c r="GA70" s="2" t="s">
        <v>4</v>
      </c>
      <c r="GB70" s="2"/>
      <c r="GC70" s="2"/>
      <c r="GD70" s="2">
        <v>0</v>
      </c>
      <c r="GE70" s="2"/>
      <c r="GF70" s="2">
        <v>1551688331</v>
      </c>
      <c r="GG70" s="2">
        <v>2</v>
      </c>
      <c r="GH70" s="2">
        <v>1</v>
      </c>
      <c r="GI70" s="2">
        <v>-2</v>
      </c>
      <c r="GJ70" s="2">
        <v>0</v>
      </c>
      <c r="GK70" s="2">
        <f>ROUND(R70*(R12)/100,2)</f>
        <v>0</v>
      </c>
      <c r="GL70" s="2">
        <f t="shared" si="86"/>
        <v>0</v>
      </c>
      <c r="GM70" s="2">
        <f t="shared" si="87"/>
        <v>812.43</v>
      </c>
      <c r="GN70" s="2">
        <f t="shared" si="88"/>
        <v>812.43</v>
      </c>
      <c r="GO70" s="2">
        <f t="shared" si="89"/>
        <v>0</v>
      </c>
      <c r="GP70" s="2">
        <f t="shared" si="90"/>
        <v>0</v>
      </c>
      <c r="GQ70" s="2"/>
      <c r="GR70" s="2">
        <v>0</v>
      </c>
      <c r="GS70" s="2">
        <v>3</v>
      </c>
      <c r="GT70" s="2">
        <v>0</v>
      </c>
      <c r="GU70" s="2" t="s">
        <v>4</v>
      </c>
      <c r="GV70" s="2">
        <f t="shared" si="91"/>
        <v>0</v>
      </c>
      <c r="GW70" s="2">
        <v>1</v>
      </c>
      <c r="GX70" s="2">
        <f t="shared" si="92"/>
        <v>0</v>
      </c>
      <c r="GY70" s="2"/>
      <c r="GZ70" s="2"/>
      <c r="HA70" s="2">
        <v>0</v>
      </c>
      <c r="HB70" s="2">
        <v>0</v>
      </c>
      <c r="HC70" s="2"/>
      <c r="HD70" s="2"/>
      <c r="HE70" s="2"/>
      <c r="HF70" s="2"/>
      <c r="HG70" s="2"/>
      <c r="HH70" s="2"/>
      <c r="HI70" s="2"/>
      <c r="HJ70" s="2"/>
      <c r="HK70" s="2"/>
      <c r="HL70" s="2"/>
      <c r="HM70" s="2"/>
      <c r="HN70" s="2"/>
      <c r="HO70" s="2"/>
      <c r="HP70" s="2"/>
      <c r="HQ70" s="2"/>
      <c r="HR70" s="2"/>
      <c r="HS70" s="2"/>
      <c r="HT70" s="2"/>
      <c r="HU70" s="2"/>
      <c r="HV70" s="2"/>
      <c r="HW70" s="2"/>
      <c r="HX70" s="2"/>
      <c r="HY70" s="2"/>
      <c r="HZ70" s="2"/>
      <c r="IA70" s="2"/>
      <c r="IB70" s="2"/>
      <c r="IC70" s="2"/>
      <c r="ID70" s="2"/>
      <c r="IE70" s="2"/>
      <c r="IF70" s="2"/>
      <c r="IG70" s="2"/>
      <c r="IH70" s="2"/>
      <c r="II70" s="2"/>
      <c r="IJ70" s="2"/>
      <c r="IK70" s="2">
        <v>0</v>
      </c>
      <c r="IL70" s="2"/>
      <c r="IM70" s="2"/>
      <c r="IN70" s="2"/>
      <c r="IO70" s="2"/>
      <c r="IP70" s="2"/>
      <c r="IQ70" s="2"/>
      <c r="IR70" s="2"/>
      <c r="IS70" s="2"/>
      <c r="IT70" s="2"/>
      <c r="IU70" s="2"/>
    </row>
    <row r="71" spans="1:255" x14ac:dyDescent="0.2">
      <c r="A71">
        <v>17</v>
      </c>
      <c r="B71">
        <v>1</v>
      </c>
      <c r="C71">
        <f>ROW(SmtRes!A130)</f>
        <v>130</v>
      </c>
      <c r="D71">
        <f>ROW(EtalonRes!A130)</f>
        <v>130</v>
      </c>
      <c r="E71" t="s">
        <v>122</v>
      </c>
      <c r="F71" t="s">
        <v>123</v>
      </c>
      <c r="G71" t="s">
        <v>124</v>
      </c>
      <c r="H71" t="s">
        <v>23</v>
      </c>
      <c r="I71">
        <f>ROUND(36.3/100,9)</f>
        <v>0.36299999999999999</v>
      </c>
      <c r="J71">
        <v>0</v>
      </c>
      <c r="O71">
        <f t="shared" si="60"/>
        <v>2946.81</v>
      </c>
      <c r="P71">
        <f t="shared" si="61"/>
        <v>1518.77</v>
      </c>
      <c r="Q71">
        <f t="shared" si="62"/>
        <v>30.51</v>
      </c>
      <c r="R71">
        <f t="shared" si="63"/>
        <v>5.77</v>
      </c>
      <c r="S71">
        <f t="shared" si="64"/>
        <v>1397.53</v>
      </c>
      <c r="T71">
        <f t="shared" si="65"/>
        <v>0</v>
      </c>
      <c r="U71">
        <f t="shared" si="66"/>
        <v>26.299349999999993</v>
      </c>
      <c r="V71">
        <f t="shared" si="67"/>
        <v>8.1674999999999984E-2</v>
      </c>
      <c r="W71">
        <f t="shared" si="68"/>
        <v>0</v>
      </c>
      <c r="X71">
        <f t="shared" si="69"/>
        <v>1333.14</v>
      </c>
      <c r="Y71">
        <f t="shared" si="70"/>
        <v>659.55</v>
      </c>
      <c r="AA71">
        <v>16501255</v>
      </c>
      <c r="AB71">
        <f t="shared" si="71"/>
        <v>1335.1880000000001</v>
      </c>
      <c r="AC71">
        <f t="shared" si="51"/>
        <v>688.15</v>
      </c>
      <c r="AD71">
        <f>ROUND(((((ET71*1.25))-((EU71*1.25)))+AE71),6)</f>
        <v>13.824999999999999</v>
      </c>
      <c r="AE71">
        <f>ROUND(((EU71*1.25)),6)</f>
        <v>2.6124999999999998</v>
      </c>
      <c r="AF71">
        <f>ROUND(((EV71*1.15)),6)</f>
        <v>633.21299999999997</v>
      </c>
      <c r="AG71">
        <f t="shared" si="72"/>
        <v>0</v>
      </c>
      <c r="AH71">
        <f>((EW71*1.15))</f>
        <v>72.449999999999989</v>
      </c>
      <c r="AI71">
        <f>((EX71*1.25))</f>
        <v>0.22499999999999998</v>
      </c>
      <c r="AJ71">
        <f t="shared" si="73"/>
        <v>0</v>
      </c>
      <c r="AK71">
        <v>1249.83</v>
      </c>
      <c r="AL71">
        <v>688.15</v>
      </c>
      <c r="AM71">
        <v>11.06</v>
      </c>
      <c r="AN71">
        <v>2.09</v>
      </c>
      <c r="AO71">
        <v>550.62</v>
      </c>
      <c r="AP71">
        <v>0</v>
      </c>
      <c r="AQ71">
        <v>63</v>
      </c>
      <c r="AR71">
        <v>0.18</v>
      </c>
      <c r="AS71">
        <v>0</v>
      </c>
      <c r="AT71">
        <v>95</v>
      </c>
      <c r="AU71">
        <v>47</v>
      </c>
      <c r="AV71">
        <v>1</v>
      </c>
      <c r="AW71">
        <v>1</v>
      </c>
      <c r="AZ71">
        <v>6.08</v>
      </c>
      <c r="BA71">
        <v>6.08</v>
      </c>
      <c r="BB71">
        <v>6.08</v>
      </c>
      <c r="BC71">
        <v>6.08</v>
      </c>
      <c r="BD71" t="s">
        <v>4</v>
      </c>
      <c r="BE71" t="s">
        <v>4</v>
      </c>
      <c r="BF71" t="s">
        <v>4</v>
      </c>
      <c r="BG71" t="s">
        <v>4</v>
      </c>
      <c r="BH71">
        <v>0</v>
      </c>
      <c r="BI71">
        <v>1</v>
      </c>
      <c r="BJ71" t="s">
        <v>125</v>
      </c>
      <c r="BM71">
        <v>15001</v>
      </c>
      <c r="BN71">
        <v>0</v>
      </c>
      <c r="BO71" t="s">
        <v>4</v>
      </c>
      <c r="BP71">
        <v>0</v>
      </c>
      <c r="BQ71">
        <v>2</v>
      </c>
      <c r="BR71">
        <v>0</v>
      </c>
      <c r="BS71">
        <v>6.08</v>
      </c>
      <c r="BT71">
        <v>1</v>
      </c>
      <c r="BU71">
        <v>1</v>
      </c>
      <c r="BV71">
        <v>1</v>
      </c>
      <c r="BW71">
        <v>1</v>
      </c>
      <c r="BX71">
        <v>1</v>
      </c>
      <c r="BY71" t="s">
        <v>4</v>
      </c>
      <c r="BZ71">
        <v>105</v>
      </c>
      <c r="CA71">
        <v>55</v>
      </c>
      <c r="CF71">
        <v>0</v>
      </c>
      <c r="CG71">
        <v>0</v>
      </c>
      <c r="CM71">
        <v>0</v>
      </c>
      <c r="CN71" t="s">
        <v>323</v>
      </c>
      <c r="CO71">
        <v>0</v>
      </c>
      <c r="CP71">
        <f t="shared" si="74"/>
        <v>2946.81</v>
      </c>
      <c r="CQ71">
        <f t="shared" si="75"/>
        <v>4183.9520000000002</v>
      </c>
      <c r="CR71">
        <f t="shared" si="76"/>
        <v>84.055999999999997</v>
      </c>
      <c r="CS71">
        <f t="shared" si="77"/>
        <v>15.883999999999999</v>
      </c>
      <c r="CT71">
        <f t="shared" si="78"/>
        <v>3849.9350399999998</v>
      </c>
      <c r="CU71">
        <f t="shared" si="79"/>
        <v>0</v>
      </c>
      <c r="CV71">
        <f t="shared" si="80"/>
        <v>72.449999999999989</v>
      </c>
      <c r="CW71">
        <f t="shared" si="81"/>
        <v>0.22499999999999998</v>
      </c>
      <c r="CX71">
        <f t="shared" si="82"/>
        <v>0</v>
      </c>
      <c r="CY71">
        <f t="shared" si="83"/>
        <v>1333.135</v>
      </c>
      <c r="CZ71">
        <f t="shared" si="84"/>
        <v>659.55099999999993</v>
      </c>
      <c r="DC71" t="s">
        <v>4</v>
      </c>
      <c r="DD71" t="s">
        <v>4</v>
      </c>
      <c r="DE71" t="s">
        <v>29</v>
      </c>
      <c r="DF71" t="s">
        <v>29</v>
      </c>
      <c r="DG71" t="s">
        <v>30</v>
      </c>
      <c r="DH71" t="s">
        <v>4</v>
      </c>
      <c r="DI71" t="s">
        <v>30</v>
      </c>
      <c r="DJ71" t="s">
        <v>29</v>
      </c>
      <c r="DK71" t="s">
        <v>4</v>
      </c>
      <c r="DL71" t="s">
        <v>4</v>
      </c>
      <c r="DM71" t="s">
        <v>4</v>
      </c>
      <c r="DN71">
        <v>0</v>
      </c>
      <c r="DO71">
        <v>0</v>
      </c>
      <c r="DP71">
        <v>1</v>
      </c>
      <c r="DQ71">
        <v>1</v>
      </c>
      <c r="DU71">
        <v>1005</v>
      </c>
      <c r="DV71" t="s">
        <v>23</v>
      </c>
      <c r="DW71" t="s">
        <v>23</v>
      </c>
      <c r="DX71">
        <v>100</v>
      </c>
      <c r="EE71">
        <v>16510513</v>
      </c>
      <c r="EF71">
        <v>2</v>
      </c>
      <c r="EG71" t="s">
        <v>31</v>
      </c>
      <c r="EH71">
        <v>0</v>
      </c>
      <c r="EI71" t="s">
        <v>4</v>
      </c>
      <c r="EJ71">
        <v>1</v>
      </c>
      <c r="EK71">
        <v>15001</v>
      </c>
      <c r="EL71" t="s">
        <v>100</v>
      </c>
      <c r="EM71" t="s">
        <v>101</v>
      </c>
      <c r="EO71" t="s">
        <v>33</v>
      </c>
      <c r="EQ71">
        <v>0</v>
      </c>
      <c r="ER71">
        <v>1249.83</v>
      </c>
      <c r="ES71">
        <v>688.15</v>
      </c>
      <c r="ET71">
        <v>11.06</v>
      </c>
      <c r="EU71">
        <v>2.09</v>
      </c>
      <c r="EV71">
        <v>550.62</v>
      </c>
      <c r="EW71">
        <v>63</v>
      </c>
      <c r="EX71">
        <v>0.18</v>
      </c>
      <c r="EY71">
        <v>0</v>
      </c>
      <c r="FQ71">
        <v>0</v>
      </c>
      <c r="FR71">
        <f t="shared" si="85"/>
        <v>0</v>
      </c>
      <c r="FS71">
        <v>0</v>
      </c>
      <c r="FT71" t="s">
        <v>34</v>
      </c>
      <c r="FU71" t="s">
        <v>35</v>
      </c>
      <c r="FX71">
        <v>94.5</v>
      </c>
      <c r="FY71">
        <v>46.75</v>
      </c>
      <c r="GA71" t="s">
        <v>4</v>
      </c>
      <c r="GD71">
        <v>0</v>
      </c>
      <c r="GF71">
        <v>1551688331</v>
      </c>
      <c r="GG71">
        <v>1</v>
      </c>
      <c r="GH71">
        <v>1</v>
      </c>
      <c r="GI71">
        <v>4</v>
      </c>
      <c r="GJ71">
        <v>0</v>
      </c>
      <c r="GK71">
        <f>ROUND(R71*(S12)/100,2)</f>
        <v>0</v>
      </c>
      <c r="GL71">
        <f t="shared" si="86"/>
        <v>0</v>
      </c>
      <c r="GM71">
        <f t="shared" si="87"/>
        <v>4939.5</v>
      </c>
      <c r="GN71">
        <f t="shared" si="88"/>
        <v>4939.5</v>
      </c>
      <c r="GO71">
        <f t="shared" si="89"/>
        <v>0</v>
      </c>
      <c r="GP71">
        <f t="shared" si="90"/>
        <v>0</v>
      </c>
      <c r="GR71">
        <v>0</v>
      </c>
      <c r="GS71">
        <v>3</v>
      </c>
      <c r="GT71">
        <v>0</v>
      </c>
      <c r="GU71" t="s">
        <v>4</v>
      </c>
      <c r="GV71">
        <f t="shared" si="91"/>
        <v>0</v>
      </c>
      <c r="GW71">
        <v>1</v>
      </c>
      <c r="GX71">
        <f t="shared" si="92"/>
        <v>0</v>
      </c>
      <c r="HA71">
        <v>0</v>
      </c>
      <c r="HB71">
        <v>0</v>
      </c>
      <c r="IK71">
        <v>0</v>
      </c>
    </row>
    <row r="72" spans="1:255" x14ac:dyDescent="0.2">
      <c r="A72" s="2">
        <v>18</v>
      </c>
      <c r="B72" s="2">
        <v>1</v>
      </c>
      <c r="C72" s="2">
        <v>120</v>
      </c>
      <c r="D72" s="2"/>
      <c r="E72" s="2" t="s">
        <v>126</v>
      </c>
      <c r="F72" s="2" t="s">
        <v>118</v>
      </c>
      <c r="G72" s="2" t="s">
        <v>119</v>
      </c>
      <c r="H72" s="2" t="s">
        <v>58</v>
      </c>
      <c r="I72" s="2">
        <f>I70*J72</f>
        <v>1.1979E-2</v>
      </c>
      <c r="J72" s="2">
        <v>3.3000000000000002E-2</v>
      </c>
      <c r="K72" s="2"/>
      <c r="L72" s="2"/>
      <c r="M72" s="2"/>
      <c r="N72" s="2"/>
      <c r="O72" s="2">
        <f t="shared" si="60"/>
        <v>91.37</v>
      </c>
      <c r="P72" s="2">
        <f t="shared" si="61"/>
        <v>91.37</v>
      </c>
      <c r="Q72" s="2">
        <f t="shared" si="62"/>
        <v>0</v>
      </c>
      <c r="R72" s="2">
        <f t="shared" si="63"/>
        <v>0</v>
      </c>
      <c r="S72" s="2">
        <f t="shared" si="64"/>
        <v>0</v>
      </c>
      <c r="T72" s="2">
        <f t="shared" si="65"/>
        <v>0</v>
      </c>
      <c r="U72" s="2">
        <f t="shared" si="66"/>
        <v>0</v>
      </c>
      <c r="V72" s="2">
        <f t="shared" si="67"/>
        <v>0</v>
      </c>
      <c r="W72" s="2">
        <f t="shared" si="68"/>
        <v>0</v>
      </c>
      <c r="X72" s="2">
        <f t="shared" si="69"/>
        <v>0</v>
      </c>
      <c r="Y72" s="2">
        <f t="shared" si="70"/>
        <v>0</v>
      </c>
      <c r="Z72" s="2"/>
      <c r="AA72" s="2">
        <v>16501254</v>
      </c>
      <c r="AB72" s="2">
        <f t="shared" si="71"/>
        <v>7627.37</v>
      </c>
      <c r="AC72" s="2">
        <f t="shared" si="51"/>
        <v>7627.37</v>
      </c>
      <c r="AD72" s="2">
        <f>ROUND((((ET72)-(EU72))+AE72),6)</f>
        <v>0</v>
      </c>
      <c r="AE72" s="2">
        <f t="shared" ref="AE72:AF75" si="98">ROUND((EU72),6)</f>
        <v>0</v>
      </c>
      <c r="AF72" s="2">
        <f t="shared" si="98"/>
        <v>0</v>
      </c>
      <c r="AG72" s="2">
        <f t="shared" si="72"/>
        <v>0</v>
      </c>
      <c r="AH72" s="2">
        <f t="shared" ref="AH72:AI75" si="99">(EW72)</f>
        <v>0</v>
      </c>
      <c r="AI72" s="2">
        <f t="shared" si="99"/>
        <v>0</v>
      </c>
      <c r="AJ72" s="2">
        <f t="shared" si="73"/>
        <v>0</v>
      </c>
      <c r="AK72" s="2">
        <v>7627.37</v>
      </c>
      <c r="AL72" s="2">
        <v>7627.37</v>
      </c>
      <c r="AM72" s="2">
        <v>0</v>
      </c>
      <c r="AN72" s="2">
        <v>0</v>
      </c>
      <c r="AO72" s="2">
        <v>0</v>
      </c>
      <c r="AP72" s="2">
        <v>0</v>
      </c>
      <c r="AQ72" s="2">
        <v>0</v>
      </c>
      <c r="AR72" s="2">
        <v>0</v>
      </c>
      <c r="AS72" s="2">
        <v>0</v>
      </c>
      <c r="AT72" s="2">
        <v>95</v>
      </c>
      <c r="AU72" s="2">
        <v>47</v>
      </c>
      <c r="AV72" s="2">
        <v>1</v>
      </c>
      <c r="AW72" s="2">
        <v>1</v>
      </c>
      <c r="AX72" s="2"/>
      <c r="AY72" s="2"/>
      <c r="AZ72" s="2">
        <v>1</v>
      </c>
      <c r="BA72" s="2">
        <v>1</v>
      </c>
      <c r="BB72" s="2">
        <v>1</v>
      </c>
      <c r="BC72" s="2">
        <v>1</v>
      </c>
      <c r="BD72" s="2" t="s">
        <v>4</v>
      </c>
      <c r="BE72" s="2" t="s">
        <v>4</v>
      </c>
      <c r="BF72" s="2" t="s">
        <v>4</v>
      </c>
      <c r="BG72" s="2" t="s">
        <v>4</v>
      </c>
      <c r="BH72" s="2">
        <v>3</v>
      </c>
      <c r="BI72" s="2">
        <v>1</v>
      </c>
      <c r="BJ72" s="2" t="s">
        <v>120</v>
      </c>
      <c r="BK72" s="2"/>
      <c r="BL72" s="2"/>
      <c r="BM72" s="2">
        <v>15001</v>
      </c>
      <c r="BN72" s="2">
        <v>0</v>
      </c>
      <c r="BO72" s="2" t="s">
        <v>4</v>
      </c>
      <c r="BP72" s="2">
        <v>0</v>
      </c>
      <c r="BQ72" s="2">
        <v>2</v>
      </c>
      <c r="BR72" s="2">
        <v>0</v>
      </c>
      <c r="BS72" s="2">
        <v>1</v>
      </c>
      <c r="BT72" s="2">
        <v>1</v>
      </c>
      <c r="BU72" s="2">
        <v>1</v>
      </c>
      <c r="BV72" s="2">
        <v>1</v>
      </c>
      <c r="BW72" s="2">
        <v>1</v>
      </c>
      <c r="BX72" s="2">
        <v>1</v>
      </c>
      <c r="BY72" s="2" t="s">
        <v>4</v>
      </c>
      <c r="BZ72" s="2">
        <v>105</v>
      </c>
      <c r="CA72" s="2">
        <v>55</v>
      </c>
      <c r="CB72" s="2"/>
      <c r="CC72" s="2"/>
      <c r="CD72" s="2"/>
      <c r="CE72" s="2"/>
      <c r="CF72" s="2">
        <v>0</v>
      </c>
      <c r="CG72" s="2">
        <v>0</v>
      </c>
      <c r="CH72" s="2"/>
      <c r="CI72" s="2"/>
      <c r="CJ72" s="2"/>
      <c r="CK72" s="2"/>
      <c r="CL72" s="2"/>
      <c r="CM72" s="2">
        <v>0</v>
      </c>
      <c r="CN72" s="2" t="s">
        <v>4</v>
      </c>
      <c r="CO72" s="2">
        <v>0</v>
      </c>
      <c r="CP72" s="2">
        <f t="shared" si="74"/>
        <v>91.37</v>
      </c>
      <c r="CQ72" s="2">
        <f t="shared" si="75"/>
        <v>7627.37</v>
      </c>
      <c r="CR72" s="2">
        <f t="shared" si="76"/>
        <v>0</v>
      </c>
      <c r="CS72" s="2">
        <f t="shared" si="77"/>
        <v>0</v>
      </c>
      <c r="CT72" s="2">
        <f t="shared" si="78"/>
        <v>0</v>
      </c>
      <c r="CU72" s="2">
        <f t="shared" si="79"/>
        <v>0</v>
      </c>
      <c r="CV72" s="2">
        <f t="shared" si="80"/>
        <v>0</v>
      </c>
      <c r="CW72" s="2">
        <f t="shared" si="81"/>
        <v>0</v>
      </c>
      <c r="CX72" s="2">
        <f t="shared" si="82"/>
        <v>0</v>
      </c>
      <c r="CY72" s="2">
        <f t="shared" si="83"/>
        <v>0</v>
      </c>
      <c r="CZ72" s="2">
        <f t="shared" si="84"/>
        <v>0</v>
      </c>
      <c r="DA72" s="2"/>
      <c r="DB72" s="2"/>
      <c r="DC72" s="2" t="s">
        <v>4</v>
      </c>
      <c r="DD72" s="2" t="s">
        <v>4</v>
      </c>
      <c r="DE72" s="2" t="s">
        <v>4</v>
      </c>
      <c r="DF72" s="2" t="s">
        <v>4</v>
      </c>
      <c r="DG72" s="2" t="s">
        <v>4</v>
      </c>
      <c r="DH72" s="2" t="s">
        <v>4</v>
      </c>
      <c r="DI72" s="2" t="s">
        <v>4</v>
      </c>
      <c r="DJ72" s="2" t="s">
        <v>4</v>
      </c>
      <c r="DK72" s="2" t="s">
        <v>4</v>
      </c>
      <c r="DL72" s="2" t="s">
        <v>4</v>
      </c>
      <c r="DM72" s="2" t="s">
        <v>4</v>
      </c>
      <c r="DN72" s="2">
        <v>0</v>
      </c>
      <c r="DO72" s="2">
        <v>0</v>
      </c>
      <c r="DP72" s="2">
        <v>1</v>
      </c>
      <c r="DQ72" s="2">
        <v>1</v>
      </c>
      <c r="DR72" s="2"/>
      <c r="DS72" s="2"/>
      <c r="DT72" s="2"/>
      <c r="DU72" s="2">
        <v>1009</v>
      </c>
      <c r="DV72" s="2" t="s">
        <v>58</v>
      </c>
      <c r="DW72" s="2" t="s">
        <v>58</v>
      </c>
      <c r="DX72" s="2">
        <v>1000</v>
      </c>
      <c r="DY72" s="2"/>
      <c r="DZ72" s="2"/>
      <c r="EA72" s="2"/>
      <c r="EB72" s="2"/>
      <c r="EC72" s="2"/>
      <c r="ED72" s="2"/>
      <c r="EE72" s="2">
        <v>16510513</v>
      </c>
      <c r="EF72" s="2">
        <v>2</v>
      </c>
      <c r="EG72" s="2" t="s">
        <v>31</v>
      </c>
      <c r="EH72" s="2">
        <v>0</v>
      </c>
      <c r="EI72" s="2" t="s">
        <v>4</v>
      </c>
      <c r="EJ72" s="2">
        <v>1</v>
      </c>
      <c r="EK72" s="2">
        <v>15001</v>
      </c>
      <c r="EL72" s="2" t="s">
        <v>100</v>
      </c>
      <c r="EM72" s="2" t="s">
        <v>101</v>
      </c>
      <c r="EN72" s="2"/>
      <c r="EO72" s="2" t="s">
        <v>4</v>
      </c>
      <c r="EP72" s="2"/>
      <c r="EQ72" s="2">
        <v>0</v>
      </c>
      <c r="ER72" s="2">
        <v>7627.37</v>
      </c>
      <c r="ES72" s="2">
        <v>7627.37</v>
      </c>
      <c r="ET72" s="2">
        <v>0</v>
      </c>
      <c r="EU72" s="2">
        <v>0</v>
      </c>
      <c r="EV72" s="2">
        <v>0</v>
      </c>
      <c r="EW72" s="2">
        <v>0</v>
      </c>
      <c r="EX72" s="2">
        <v>0</v>
      </c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>
        <v>0</v>
      </c>
      <c r="FR72" s="2">
        <f t="shared" si="85"/>
        <v>0</v>
      </c>
      <c r="FS72" s="2">
        <v>0</v>
      </c>
      <c r="FT72" s="2" t="s">
        <v>34</v>
      </c>
      <c r="FU72" s="2" t="s">
        <v>35</v>
      </c>
      <c r="FV72" s="2"/>
      <c r="FW72" s="2"/>
      <c r="FX72" s="2">
        <v>94.5</v>
      </c>
      <c r="FY72" s="2">
        <v>46.75</v>
      </c>
      <c r="FZ72" s="2"/>
      <c r="GA72" s="2" t="s">
        <v>4</v>
      </c>
      <c r="GB72" s="2"/>
      <c r="GC72" s="2"/>
      <c r="GD72" s="2">
        <v>0</v>
      </c>
      <c r="GE72" s="2"/>
      <c r="GF72" s="2">
        <v>763838732</v>
      </c>
      <c r="GG72" s="2">
        <v>2</v>
      </c>
      <c r="GH72" s="2">
        <v>1</v>
      </c>
      <c r="GI72" s="2">
        <v>-2</v>
      </c>
      <c r="GJ72" s="2">
        <v>0</v>
      </c>
      <c r="GK72" s="2">
        <f>ROUND(R72*(R12)/100,2)</f>
        <v>0</v>
      </c>
      <c r="GL72" s="2">
        <f t="shared" si="86"/>
        <v>0</v>
      </c>
      <c r="GM72" s="2">
        <f t="shared" si="87"/>
        <v>91.37</v>
      </c>
      <c r="GN72" s="2">
        <f t="shared" si="88"/>
        <v>91.37</v>
      </c>
      <c r="GO72" s="2">
        <f t="shared" si="89"/>
        <v>0</v>
      </c>
      <c r="GP72" s="2">
        <f t="shared" si="90"/>
        <v>0</v>
      </c>
      <c r="GQ72" s="2"/>
      <c r="GR72" s="2">
        <v>0</v>
      </c>
      <c r="GS72" s="2">
        <v>3</v>
      </c>
      <c r="GT72" s="2">
        <v>0</v>
      </c>
      <c r="GU72" s="2" t="s">
        <v>4</v>
      </c>
      <c r="GV72" s="2">
        <f t="shared" si="91"/>
        <v>0</v>
      </c>
      <c r="GW72" s="2">
        <v>1</v>
      </c>
      <c r="GX72" s="2">
        <f t="shared" si="92"/>
        <v>0</v>
      </c>
      <c r="GY72" s="2"/>
      <c r="GZ72" s="2"/>
      <c r="HA72" s="2">
        <v>0</v>
      </c>
      <c r="HB72" s="2">
        <v>0</v>
      </c>
      <c r="HC72" s="2"/>
      <c r="HD72" s="2"/>
      <c r="HE72" s="2"/>
      <c r="HF72" s="2"/>
      <c r="HG72" s="2"/>
      <c r="HH72" s="2"/>
      <c r="HI72" s="2"/>
      <c r="HJ72" s="2"/>
      <c r="HK72" s="2"/>
      <c r="HL72" s="2"/>
      <c r="HM72" s="2"/>
      <c r="HN72" s="2"/>
      <c r="HO72" s="2"/>
      <c r="HP72" s="2"/>
      <c r="HQ72" s="2"/>
      <c r="HR72" s="2"/>
      <c r="HS72" s="2"/>
      <c r="HT72" s="2"/>
      <c r="HU72" s="2"/>
      <c r="HV72" s="2"/>
      <c r="HW72" s="2"/>
      <c r="HX72" s="2"/>
      <c r="HY72" s="2"/>
      <c r="HZ72" s="2"/>
      <c r="IA72" s="2"/>
      <c r="IB72" s="2"/>
      <c r="IC72" s="2"/>
      <c r="ID72" s="2"/>
      <c r="IE72" s="2"/>
      <c r="IF72" s="2"/>
      <c r="IG72" s="2"/>
      <c r="IH72" s="2"/>
      <c r="II72" s="2"/>
      <c r="IJ72" s="2"/>
      <c r="IK72" s="2">
        <v>0</v>
      </c>
      <c r="IL72" s="2"/>
      <c r="IM72" s="2"/>
      <c r="IN72" s="2"/>
      <c r="IO72" s="2"/>
      <c r="IP72" s="2"/>
      <c r="IQ72" s="2"/>
      <c r="IR72" s="2"/>
      <c r="IS72" s="2"/>
      <c r="IT72" s="2"/>
      <c r="IU72" s="2"/>
    </row>
    <row r="73" spans="1:255" x14ac:dyDescent="0.2">
      <c r="A73">
        <v>18</v>
      </c>
      <c r="B73">
        <v>1</v>
      </c>
      <c r="C73">
        <v>129</v>
      </c>
      <c r="E73" t="s">
        <v>126</v>
      </c>
      <c r="F73" t="s">
        <v>118</v>
      </c>
      <c r="G73" t="s">
        <v>119</v>
      </c>
      <c r="H73" t="s">
        <v>58</v>
      </c>
      <c r="I73">
        <f>I71*J73</f>
        <v>1.1979E-2</v>
      </c>
      <c r="J73">
        <v>3.3000000000000002E-2</v>
      </c>
      <c r="O73">
        <f t="shared" si="60"/>
        <v>555.52</v>
      </c>
      <c r="P73">
        <f t="shared" si="61"/>
        <v>555.52</v>
      </c>
      <c r="Q73">
        <f t="shared" si="62"/>
        <v>0</v>
      </c>
      <c r="R73">
        <f t="shared" si="63"/>
        <v>0</v>
      </c>
      <c r="S73">
        <f t="shared" si="64"/>
        <v>0</v>
      </c>
      <c r="T73">
        <f t="shared" si="65"/>
        <v>0</v>
      </c>
      <c r="U73">
        <f t="shared" si="66"/>
        <v>0</v>
      </c>
      <c r="V73">
        <f t="shared" si="67"/>
        <v>0</v>
      </c>
      <c r="W73">
        <f t="shared" si="68"/>
        <v>0</v>
      </c>
      <c r="X73">
        <f t="shared" si="69"/>
        <v>0</v>
      </c>
      <c r="Y73">
        <f t="shared" si="70"/>
        <v>0</v>
      </c>
      <c r="AA73">
        <v>16501255</v>
      </c>
      <c r="AB73">
        <f t="shared" si="71"/>
        <v>7627.37</v>
      </c>
      <c r="AC73">
        <f t="shared" si="51"/>
        <v>7627.37</v>
      </c>
      <c r="AD73">
        <f>ROUND((((ET73)-(EU73))+AE73),6)</f>
        <v>0</v>
      </c>
      <c r="AE73">
        <f t="shared" si="98"/>
        <v>0</v>
      </c>
      <c r="AF73">
        <f t="shared" si="98"/>
        <v>0</v>
      </c>
      <c r="AG73">
        <f t="shared" si="72"/>
        <v>0</v>
      </c>
      <c r="AH73">
        <f t="shared" si="99"/>
        <v>0</v>
      </c>
      <c r="AI73">
        <f t="shared" si="99"/>
        <v>0</v>
      </c>
      <c r="AJ73">
        <f t="shared" si="73"/>
        <v>0</v>
      </c>
      <c r="AK73">
        <v>7627.37</v>
      </c>
      <c r="AL73">
        <v>7627.37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95</v>
      </c>
      <c r="AU73">
        <v>47</v>
      </c>
      <c r="AV73">
        <v>1</v>
      </c>
      <c r="AW73">
        <v>1</v>
      </c>
      <c r="AZ73">
        <v>6.08</v>
      </c>
      <c r="BA73">
        <v>1</v>
      </c>
      <c r="BB73">
        <v>1</v>
      </c>
      <c r="BC73">
        <v>6.08</v>
      </c>
      <c r="BD73" t="s">
        <v>4</v>
      </c>
      <c r="BE73" t="s">
        <v>4</v>
      </c>
      <c r="BF73" t="s">
        <v>4</v>
      </c>
      <c r="BG73" t="s">
        <v>4</v>
      </c>
      <c r="BH73">
        <v>3</v>
      </c>
      <c r="BI73">
        <v>1</v>
      </c>
      <c r="BJ73" t="s">
        <v>120</v>
      </c>
      <c r="BM73">
        <v>15001</v>
      </c>
      <c r="BN73">
        <v>0</v>
      </c>
      <c r="BO73" t="s">
        <v>4</v>
      </c>
      <c r="BP73">
        <v>0</v>
      </c>
      <c r="BQ73">
        <v>2</v>
      </c>
      <c r="BR73">
        <v>0</v>
      </c>
      <c r="BS73">
        <v>1</v>
      </c>
      <c r="BT73">
        <v>1</v>
      </c>
      <c r="BU73">
        <v>1</v>
      </c>
      <c r="BV73">
        <v>1</v>
      </c>
      <c r="BW73">
        <v>1</v>
      </c>
      <c r="BX73">
        <v>1</v>
      </c>
      <c r="BY73" t="s">
        <v>4</v>
      </c>
      <c r="BZ73">
        <v>105</v>
      </c>
      <c r="CA73">
        <v>55</v>
      </c>
      <c r="CF73">
        <v>0</v>
      </c>
      <c r="CG73">
        <v>0</v>
      </c>
      <c r="CM73">
        <v>0</v>
      </c>
      <c r="CN73" t="s">
        <v>4</v>
      </c>
      <c r="CO73">
        <v>0</v>
      </c>
      <c r="CP73">
        <f t="shared" si="74"/>
        <v>555.52</v>
      </c>
      <c r="CQ73">
        <f t="shared" si="75"/>
        <v>46374.409599999999</v>
      </c>
      <c r="CR73">
        <f t="shared" si="76"/>
        <v>0</v>
      </c>
      <c r="CS73">
        <f t="shared" si="77"/>
        <v>0</v>
      </c>
      <c r="CT73">
        <f t="shared" si="78"/>
        <v>0</v>
      </c>
      <c r="CU73">
        <f t="shared" si="79"/>
        <v>0</v>
      </c>
      <c r="CV73">
        <f t="shared" si="80"/>
        <v>0</v>
      </c>
      <c r="CW73">
        <f t="shared" si="81"/>
        <v>0</v>
      </c>
      <c r="CX73">
        <f t="shared" si="82"/>
        <v>0</v>
      </c>
      <c r="CY73">
        <f t="shared" si="83"/>
        <v>0</v>
      </c>
      <c r="CZ73">
        <f t="shared" si="84"/>
        <v>0</v>
      </c>
      <c r="DC73" t="s">
        <v>4</v>
      </c>
      <c r="DD73" t="s">
        <v>4</v>
      </c>
      <c r="DE73" t="s">
        <v>4</v>
      </c>
      <c r="DF73" t="s">
        <v>4</v>
      </c>
      <c r="DG73" t="s">
        <v>4</v>
      </c>
      <c r="DH73" t="s">
        <v>4</v>
      </c>
      <c r="DI73" t="s">
        <v>4</v>
      </c>
      <c r="DJ73" t="s">
        <v>4</v>
      </c>
      <c r="DK73" t="s">
        <v>4</v>
      </c>
      <c r="DL73" t="s">
        <v>4</v>
      </c>
      <c r="DM73" t="s">
        <v>4</v>
      </c>
      <c r="DN73">
        <v>0</v>
      </c>
      <c r="DO73">
        <v>0</v>
      </c>
      <c r="DP73">
        <v>1</v>
      </c>
      <c r="DQ73">
        <v>1</v>
      </c>
      <c r="DU73">
        <v>1009</v>
      </c>
      <c r="DV73" t="s">
        <v>58</v>
      </c>
      <c r="DW73" t="s">
        <v>58</v>
      </c>
      <c r="DX73">
        <v>1000</v>
      </c>
      <c r="EE73">
        <v>16510513</v>
      </c>
      <c r="EF73">
        <v>2</v>
      </c>
      <c r="EG73" t="s">
        <v>31</v>
      </c>
      <c r="EH73">
        <v>0</v>
      </c>
      <c r="EI73" t="s">
        <v>4</v>
      </c>
      <c r="EJ73">
        <v>1</v>
      </c>
      <c r="EK73">
        <v>15001</v>
      </c>
      <c r="EL73" t="s">
        <v>100</v>
      </c>
      <c r="EM73" t="s">
        <v>101</v>
      </c>
      <c r="EO73" t="s">
        <v>4</v>
      </c>
      <c r="EQ73">
        <v>0</v>
      </c>
      <c r="ER73">
        <v>7627.37</v>
      </c>
      <c r="ES73">
        <v>7627.37</v>
      </c>
      <c r="ET73">
        <v>0</v>
      </c>
      <c r="EU73">
        <v>0</v>
      </c>
      <c r="EV73">
        <v>0</v>
      </c>
      <c r="EW73">
        <v>0</v>
      </c>
      <c r="EX73">
        <v>0</v>
      </c>
      <c r="FQ73">
        <v>0</v>
      </c>
      <c r="FR73">
        <f t="shared" si="85"/>
        <v>0</v>
      </c>
      <c r="FS73">
        <v>0</v>
      </c>
      <c r="FT73" t="s">
        <v>34</v>
      </c>
      <c r="FU73" t="s">
        <v>35</v>
      </c>
      <c r="FX73">
        <v>94.5</v>
      </c>
      <c r="FY73">
        <v>46.75</v>
      </c>
      <c r="GA73" t="s">
        <v>4</v>
      </c>
      <c r="GD73">
        <v>0</v>
      </c>
      <c r="GF73">
        <v>763838732</v>
      </c>
      <c r="GG73">
        <v>1</v>
      </c>
      <c r="GH73">
        <v>1</v>
      </c>
      <c r="GI73">
        <v>4</v>
      </c>
      <c r="GJ73">
        <v>0</v>
      </c>
      <c r="GK73">
        <f>ROUND(R73*(S12)/100,2)</f>
        <v>0</v>
      </c>
      <c r="GL73">
        <f t="shared" si="86"/>
        <v>0</v>
      </c>
      <c r="GM73">
        <f t="shared" si="87"/>
        <v>555.52</v>
      </c>
      <c r="GN73">
        <f t="shared" si="88"/>
        <v>555.52</v>
      </c>
      <c r="GO73">
        <f t="shared" si="89"/>
        <v>0</v>
      </c>
      <c r="GP73">
        <f t="shared" si="90"/>
        <v>0</v>
      </c>
      <c r="GR73">
        <v>0</v>
      </c>
      <c r="GS73">
        <v>3</v>
      </c>
      <c r="GT73">
        <v>0</v>
      </c>
      <c r="GU73" t="s">
        <v>4</v>
      </c>
      <c r="GV73">
        <f t="shared" si="91"/>
        <v>0</v>
      </c>
      <c r="GW73">
        <v>1</v>
      </c>
      <c r="GX73">
        <f t="shared" si="92"/>
        <v>0</v>
      </c>
      <c r="HA73">
        <v>0</v>
      </c>
      <c r="HB73">
        <v>0</v>
      </c>
      <c r="IK73">
        <v>0</v>
      </c>
    </row>
    <row r="74" spans="1:255" x14ac:dyDescent="0.2">
      <c r="A74" s="2">
        <v>18</v>
      </c>
      <c r="B74" s="2">
        <v>1</v>
      </c>
      <c r="C74" s="2">
        <v>119</v>
      </c>
      <c r="D74" s="2"/>
      <c r="E74" s="2" t="s">
        <v>127</v>
      </c>
      <c r="F74" s="2" t="s">
        <v>110</v>
      </c>
      <c r="G74" s="2" t="s">
        <v>111</v>
      </c>
      <c r="H74" s="2" t="s">
        <v>58</v>
      </c>
      <c r="I74" s="2">
        <f>I70*J74</f>
        <v>7.986E-3</v>
      </c>
      <c r="J74" s="2">
        <v>2.2000000000000002E-2</v>
      </c>
      <c r="K74" s="2"/>
      <c r="L74" s="2"/>
      <c r="M74" s="2"/>
      <c r="N74" s="2"/>
      <c r="O74" s="2">
        <f t="shared" si="60"/>
        <v>146.86000000000001</v>
      </c>
      <c r="P74" s="2">
        <f t="shared" si="61"/>
        <v>146.86000000000001</v>
      </c>
      <c r="Q74" s="2">
        <f t="shared" si="62"/>
        <v>0</v>
      </c>
      <c r="R74" s="2">
        <f t="shared" si="63"/>
        <v>0</v>
      </c>
      <c r="S74" s="2">
        <f t="shared" si="64"/>
        <v>0</v>
      </c>
      <c r="T74" s="2">
        <f t="shared" si="65"/>
        <v>0</v>
      </c>
      <c r="U74" s="2">
        <f t="shared" si="66"/>
        <v>0</v>
      </c>
      <c r="V74" s="2">
        <f t="shared" si="67"/>
        <v>0</v>
      </c>
      <c r="W74" s="2">
        <f t="shared" si="68"/>
        <v>0</v>
      </c>
      <c r="X74" s="2">
        <f t="shared" si="69"/>
        <v>0</v>
      </c>
      <c r="Y74" s="2">
        <f t="shared" si="70"/>
        <v>0</v>
      </c>
      <c r="Z74" s="2"/>
      <c r="AA74" s="2">
        <v>16501254</v>
      </c>
      <c r="AB74" s="2">
        <f t="shared" si="71"/>
        <v>18390.16</v>
      </c>
      <c r="AC74" s="2">
        <f t="shared" si="51"/>
        <v>18390.16</v>
      </c>
      <c r="AD74" s="2">
        <f>ROUND((((ET74)-(EU74))+AE74),6)</f>
        <v>0</v>
      </c>
      <c r="AE74" s="2">
        <f t="shared" si="98"/>
        <v>0</v>
      </c>
      <c r="AF74" s="2">
        <f t="shared" si="98"/>
        <v>0</v>
      </c>
      <c r="AG74" s="2">
        <f t="shared" si="72"/>
        <v>0</v>
      </c>
      <c r="AH74" s="2">
        <f t="shared" si="99"/>
        <v>0</v>
      </c>
      <c r="AI74" s="2">
        <f t="shared" si="99"/>
        <v>0</v>
      </c>
      <c r="AJ74" s="2">
        <f t="shared" si="73"/>
        <v>0</v>
      </c>
      <c r="AK74" s="2">
        <v>18390.16</v>
      </c>
      <c r="AL74" s="2">
        <v>18390.16</v>
      </c>
      <c r="AM74" s="2">
        <v>0</v>
      </c>
      <c r="AN74" s="2">
        <v>0</v>
      </c>
      <c r="AO74" s="2">
        <v>0</v>
      </c>
      <c r="AP74" s="2">
        <v>0</v>
      </c>
      <c r="AQ74" s="2">
        <v>0</v>
      </c>
      <c r="AR74" s="2">
        <v>0</v>
      </c>
      <c r="AS74" s="2">
        <v>0</v>
      </c>
      <c r="AT74" s="2">
        <v>95</v>
      </c>
      <c r="AU74" s="2">
        <v>47</v>
      </c>
      <c r="AV74" s="2">
        <v>1</v>
      </c>
      <c r="AW74" s="2">
        <v>1</v>
      </c>
      <c r="AX74" s="2"/>
      <c r="AY74" s="2"/>
      <c r="AZ74" s="2">
        <v>1</v>
      </c>
      <c r="BA74" s="2">
        <v>1</v>
      </c>
      <c r="BB74" s="2">
        <v>1</v>
      </c>
      <c r="BC74" s="2">
        <v>1</v>
      </c>
      <c r="BD74" s="2" t="s">
        <v>4</v>
      </c>
      <c r="BE74" s="2" t="s">
        <v>4</v>
      </c>
      <c r="BF74" s="2" t="s">
        <v>4</v>
      </c>
      <c r="BG74" s="2" t="s">
        <v>4</v>
      </c>
      <c r="BH74" s="2">
        <v>3</v>
      </c>
      <c r="BI74" s="2">
        <v>1</v>
      </c>
      <c r="BJ74" s="2" t="s">
        <v>112</v>
      </c>
      <c r="BK74" s="2"/>
      <c r="BL74" s="2"/>
      <c r="BM74" s="2">
        <v>15001</v>
      </c>
      <c r="BN74" s="2">
        <v>0</v>
      </c>
      <c r="BO74" s="2" t="s">
        <v>4</v>
      </c>
      <c r="BP74" s="2">
        <v>0</v>
      </c>
      <c r="BQ74" s="2">
        <v>2</v>
      </c>
      <c r="BR74" s="2">
        <v>0</v>
      </c>
      <c r="BS74" s="2">
        <v>1</v>
      </c>
      <c r="BT74" s="2">
        <v>1</v>
      </c>
      <c r="BU74" s="2">
        <v>1</v>
      </c>
      <c r="BV74" s="2">
        <v>1</v>
      </c>
      <c r="BW74" s="2">
        <v>1</v>
      </c>
      <c r="BX74" s="2">
        <v>1</v>
      </c>
      <c r="BY74" s="2" t="s">
        <v>4</v>
      </c>
      <c r="BZ74" s="2">
        <v>105</v>
      </c>
      <c r="CA74" s="2">
        <v>55</v>
      </c>
      <c r="CB74" s="2"/>
      <c r="CC74" s="2"/>
      <c r="CD74" s="2"/>
      <c r="CE74" s="2"/>
      <c r="CF74" s="2">
        <v>0</v>
      </c>
      <c r="CG74" s="2">
        <v>0</v>
      </c>
      <c r="CH74" s="2"/>
      <c r="CI74" s="2"/>
      <c r="CJ74" s="2"/>
      <c r="CK74" s="2"/>
      <c r="CL74" s="2"/>
      <c r="CM74" s="2">
        <v>0</v>
      </c>
      <c r="CN74" s="2" t="s">
        <v>4</v>
      </c>
      <c r="CO74" s="2">
        <v>0</v>
      </c>
      <c r="CP74" s="2">
        <f t="shared" si="74"/>
        <v>146.86000000000001</v>
      </c>
      <c r="CQ74" s="2">
        <f t="shared" si="75"/>
        <v>18390.16</v>
      </c>
      <c r="CR74" s="2">
        <f t="shared" si="76"/>
        <v>0</v>
      </c>
      <c r="CS74" s="2">
        <f t="shared" si="77"/>
        <v>0</v>
      </c>
      <c r="CT74" s="2">
        <f t="shared" si="78"/>
        <v>0</v>
      </c>
      <c r="CU74" s="2">
        <f t="shared" si="79"/>
        <v>0</v>
      </c>
      <c r="CV74" s="2">
        <f t="shared" si="80"/>
        <v>0</v>
      </c>
      <c r="CW74" s="2">
        <f t="shared" si="81"/>
        <v>0</v>
      </c>
      <c r="CX74" s="2">
        <f t="shared" si="82"/>
        <v>0</v>
      </c>
      <c r="CY74" s="2">
        <f t="shared" si="83"/>
        <v>0</v>
      </c>
      <c r="CZ74" s="2">
        <f t="shared" si="84"/>
        <v>0</v>
      </c>
      <c r="DA74" s="2"/>
      <c r="DB74" s="2"/>
      <c r="DC74" s="2" t="s">
        <v>4</v>
      </c>
      <c r="DD74" s="2" t="s">
        <v>4</v>
      </c>
      <c r="DE74" s="2" t="s">
        <v>4</v>
      </c>
      <c r="DF74" s="2" t="s">
        <v>4</v>
      </c>
      <c r="DG74" s="2" t="s">
        <v>4</v>
      </c>
      <c r="DH74" s="2" t="s">
        <v>4</v>
      </c>
      <c r="DI74" s="2" t="s">
        <v>4</v>
      </c>
      <c r="DJ74" s="2" t="s">
        <v>4</v>
      </c>
      <c r="DK74" s="2" t="s">
        <v>4</v>
      </c>
      <c r="DL74" s="2" t="s">
        <v>4</v>
      </c>
      <c r="DM74" s="2" t="s">
        <v>4</v>
      </c>
      <c r="DN74" s="2">
        <v>0</v>
      </c>
      <c r="DO74" s="2">
        <v>0</v>
      </c>
      <c r="DP74" s="2">
        <v>1</v>
      </c>
      <c r="DQ74" s="2">
        <v>1</v>
      </c>
      <c r="DR74" s="2"/>
      <c r="DS74" s="2"/>
      <c r="DT74" s="2"/>
      <c r="DU74" s="2">
        <v>1009</v>
      </c>
      <c r="DV74" s="2" t="s">
        <v>58</v>
      </c>
      <c r="DW74" s="2" t="s">
        <v>58</v>
      </c>
      <c r="DX74" s="2">
        <v>1000</v>
      </c>
      <c r="DY74" s="2"/>
      <c r="DZ74" s="2"/>
      <c r="EA74" s="2"/>
      <c r="EB74" s="2"/>
      <c r="EC74" s="2"/>
      <c r="ED74" s="2"/>
      <c r="EE74" s="2">
        <v>16510513</v>
      </c>
      <c r="EF74" s="2">
        <v>2</v>
      </c>
      <c r="EG74" s="2" t="s">
        <v>31</v>
      </c>
      <c r="EH74" s="2">
        <v>0</v>
      </c>
      <c r="EI74" s="2" t="s">
        <v>4</v>
      </c>
      <c r="EJ74" s="2">
        <v>1</v>
      </c>
      <c r="EK74" s="2">
        <v>15001</v>
      </c>
      <c r="EL74" s="2" t="s">
        <v>100</v>
      </c>
      <c r="EM74" s="2" t="s">
        <v>101</v>
      </c>
      <c r="EN74" s="2"/>
      <c r="EO74" s="2" t="s">
        <v>4</v>
      </c>
      <c r="EP74" s="2"/>
      <c r="EQ74" s="2">
        <v>0</v>
      </c>
      <c r="ER74" s="2">
        <v>18390.16</v>
      </c>
      <c r="ES74" s="2">
        <v>18390.16</v>
      </c>
      <c r="ET74" s="2">
        <v>0</v>
      </c>
      <c r="EU74" s="2">
        <v>0</v>
      </c>
      <c r="EV74" s="2">
        <v>0</v>
      </c>
      <c r="EW74" s="2">
        <v>0</v>
      </c>
      <c r="EX74" s="2">
        <v>0</v>
      </c>
      <c r="EY74" s="2"/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  <c r="FQ74" s="2">
        <v>0</v>
      </c>
      <c r="FR74" s="2">
        <f t="shared" si="85"/>
        <v>0</v>
      </c>
      <c r="FS74" s="2">
        <v>0</v>
      </c>
      <c r="FT74" s="2" t="s">
        <v>34</v>
      </c>
      <c r="FU74" s="2" t="s">
        <v>35</v>
      </c>
      <c r="FV74" s="2"/>
      <c r="FW74" s="2"/>
      <c r="FX74" s="2">
        <v>94.5</v>
      </c>
      <c r="FY74" s="2">
        <v>46.75</v>
      </c>
      <c r="FZ74" s="2"/>
      <c r="GA74" s="2" t="s">
        <v>4</v>
      </c>
      <c r="GB74" s="2"/>
      <c r="GC74" s="2"/>
      <c r="GD74" s="2">
        <v>0</v>
      </c>
      <c r="GE74" s="2"/>
      <c r="GF74" s="2">
        <v>-1919714308</v>
      </c>
      <c r="GG74" s="2">
        <v>2</v>
      </c>
      <c r="GH74" s="2">
        <v>1</v>
      </c>
      <c r="GI74" s="2">
        <v>-2</v>
      </c>
      <c r="GJ74" s="2">
        <v>0</v>
      </c>
      <c r="GK74" s="2">
        <f>ROUND(R74*(R12)/100,2)</f>
        <v>0</v>
      </c>
      <c r="GL74" s="2">
        <f t="shared" si="86"/>
        <v>0</v>
      </c>
      <c r="GM74" s="2">
        <f t="shared" si="87"/>
        <v>146.86000000000001</v>
      </c>
      <c r="GN74" s="2">
        <f t="shared" si="88"/>
        <v>146.86000000000001</v>
      </c>
      <c r="GO74" s="2">
        <f t="shared" si="89"/>
        <v>0</v>
      </c>
      <c r="GP74" s="2">
        <f t="shared" si="90"/>
        <v>0</v>
      </c>
      <c r="GQ74" s="2"/>
      <c r="GR74" s="2">
        <v>0</v>
      </c>
      <c r="GS74" s="2">
        <v>3</v>
      </c>
      <c r="GT74" s="2">
        <v>0</v>
      </c>
      <c r="GU74" s="2" t="s">
        <v>4</v>
      </c>
      <c r="GV74" s="2">
        <f t="shared" si="91"/>
        <v>0</v>
      </c>
      <c r="GW74" s="2">
        <v>1</v>
      </c>
      <c r="GX74" s="2">
        <f t="shared" si="92"/>
        <v>0</v>
      </c>
      <c r="GY74" s="2"/>
      <c r="GZ74" s="2"/>
      <c r="HA74" s="2">
        <v>0</v>
      </c>
      <c r="HB74" s="2">
        <v>0</v>
      </c>
      <c r="HC74" s="2"/>
      <c r="HD74" s="2"/>
      <c r="HE74" s="2"/>
      <c r="HF74" s="2"/>
      <c r="HG74" s="2"/>
      <c r="HH74" s="2"/>
      <c r="HI74" s="2"/>
      <c r="HJ74" s="2"/>
      <c r="HK74" s="2"/>
      <c r="HL74" s="2"/>
      <c r="HM74" s="2"/>
      <c r="HN74" s="2"/>
      <c r="HO74" s="2"/>
      <c r="HP74" s="2"/>
      <c r="HQ74" s="2"/>
      <c r="HR74" s="2"/>
      <c r="HS74" s="2"/>
      <c r="HT74" s="2"/>
      <c r="HU74" s="2"/>
      <c r="HV74" s="2"/>
      <c r="HW74" s="2"/>
      <c r="HX74" s="2"/>
      <c r="HY74" s="2"/>
      <c r="HZ74" s="2"/>
      <c r="IA74" s="2"/>
      <c r="IB74" s="2"/>
      <c r="IC74" s="2"/>
      <c r="ID74" s="2"/>
      <c r="IE74" s="2"/>
      <c r="IF74" s="2"/>
      <c r="IG74" s="2"/>
      <c r="IH74" s="2"/>
      <c r="II74" s="2"/>
      <c r="IJ74" s="2"/>
      <c r="IK74" s="2">
        <v>0</v>
      </c>
      <c r="IL74" s="2"/>
      <c r="IM74" s="2"/>
      <c r="IN74" s="2"/>
      <c r="IO74" s="2"/>
      <c r="IP74" s="2"/>
      <c r="IQ74" s="2"/>
      <c r="IR74" s="2"/>
      <c r="IS74" s="2"/>
      <c r="IT74" s="2"/>
      <c r="IU74" s="2"/>
    </row>
    <row r="75" spans="1:255" x14ac:dyDescent="0.2">
      <c r="A75">
        <v>18</v>
      </c>
      <c r="B75">
        <v>1</v>
      </c>
      <c r="C75">
        <v>128</v>
      </c>
      <c r="E75" t="s">
        <v>127</v>
      </c>
      <c r="F75" t="s">
        <v>110</v>
      </c>
      <c r="G75" t="s">
        <v>111</v>
      </c>
      <c r="H75" t="s">
        <v>58</v>
      </c>
      <c r="I75">
        <f>I71*J75</f>
        <v>7.986E-3</v>
      </c>
      <c r="J75">
        <v>2.2000000000000002E-2</v>
      </c>
      <c r="O75">
        <f t="shared" si="60"/>
        <v>892.93</v>
      </c>
      <c r="P75">
        <f t="shared" si="61"/>
        <v>892.93</v>
      </c>
      <c r="Q75">
        <f t="shared" si="62"/>
        <v>0</v>
      </c>
      <c r="R75">
        <f t="shared" si="63"/>
        <v>0</v>
      </c>
      <c r="S75">
        <f t="shared" si="64"/>
        <v>0</v>
      </c>
      <c r="T75">
        <f t="shared" si="65"/>
        <v>0</v>
      </c>
      <c r="U75">
        <f t="shared" si="66"/>
        <v>0</v>
      </c>
      <c r="V75">
        <f t="shared" si="67"/>
        <v>0</v>
      </c>
      <c r="W75">
        <f t="shared" si="68"/>
        <v>0</v>
      </c>
      <c r="X75">
        <f t="shared" si="69"/>
        <v>0</v>
      </c>
      <c r="Y75">
        <f t="shared" si="70"/>
        <v>0</v>
      </c>
      <c r="AA75">
        <v>16501255</v>
      </c>
      <c r="AB75">
        <f t="shared" si="71"/>
        <v>18390.16</v>
      </c>
      <c r="AC75">
        <f t="shared" si="51"/>
        <v>18390.16</v>
      </c>
      <c r="AD75">
        <f>ROUND((((ET75)-(EU75))+AE75),6)</f>
        <v>0</v>
      </c>
      <c r="AE75">
        <f t="shared" si="98"/>
        <v>0</v>
      </c>
      <c r="AF75">
        <f t="shared" si="98"/>
        <v>0</v>
      </c>
      <c r="AG75">
        <f t="shared" si="72"/>
        <v>0</v>
      </c>
      <c r="AH75">
        <f t="shared" si="99"/>
        <v>0</v>
      </c>
      <c r="AI75">
        <f t="shared" si="99"/>
        <v>0</v>
      </c>
      <c r="AJ75">
        <f t="shared" si="73"/>
        <v>0</v>
      </c>
      <c r="AK75">
        <v>18390.16</v>
      </c>
      <c r="AL75">
        <v>18390.16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95</v>
      </c>
      <c r="AU75">
        <v>47</v>
      </c>
      <c r="AV75">
        <v>1</v>
      </c>
      <c r="AW75">
        <v>1</v>
      </c>
      <c r="AZ75">
        <v>6.08</v>
      </c>
      <c r="BA75">
        <v>1</v>
      </c>
      <c r="BB75">
        <v>1</v>
      </c>
      <c r="BC75">
        <v>6.08</v>
      </c>
      <c r="BD75" t="s">
        <v>4</v>
      </c>
      <c r="BE75" t="s">
        <v>4</v>
      </c>
      <c r="BF75" t="s">
        <v>4</v>
      </c>
      <c r="BG75" t="s">
        <v>4</v>
      </c>
      <c r="BH75">
        <v>3</v>
      </c>
      <c r="BI75">
        <v>1</v>
      </c>
      <c r="BJ75" t="s">
        <v>112</v>
      </c>
      <c r="BM75">
        <v>15001</v>
      </c>
      <c r="BN75">
        <v>0</v>
      </c>
      <c r="BO75" t="s">
        <v>4</v>
      </c>
      <c r="BP75">
        <v>0</v>
      </c>
      <c r="BQ75">
        <v>2</v>
      </c>
      <c r="BR75">
        <v>0</v>
      </c>
      <c r="BS75">
        <v>1</v>
      </c>
      <c r="BT75">
        <v>1</v>
      </c>
      <c r="BU75">
        <v>1</v>
      </c>
      <c r="BV75">
        <v>1</v>
      </c>
      <c r="BW75">
        <v>1</v>
      </c>
      <c r="BX75">
        <v>1</v>
      </c>
      <c r="BY75" t="s">
        <v>4</v>
      </c>
      <c r="BZ75">
        <v>105</v>
      </c>
      <c r="CA75">
        <v>55</v>
      </c>
      <c r="CF75">
        <v>0</v>
      </c>
      <c r="CG75">
        <v>0</v>
      </c>
      <c r="CM75">
        <v>0</v>
      </c>
      <c r="CN75" t="s">
        <v>4</v>
      </c>
      <c r="CO75">
        <v>0</v>
      </c>
      <c r="CP75">
        <f t="shared" si="74"/>
        <v>892.93</v>
      </c>
      <c r="CQ75">
        <f t="shared" si="75"/>
        <v>111812.1728</v>
      </c>
      <c r="CR75">
        <f t="shared" si="76"/>
        <v>0</v>
      </c>
      <c r="CS75">
        <f t="shared" si="77"/>
        <v>0</v>
      </c>
      <c r="CT75">
        <f t="shared" si="78"/>
        <v>0</v>
      </c>
      <c r="CU75">
        <f t="shared" si="79"/>
        <v>0</v>
      </c>
      <c r="CV75">
        <f t="shared" si="80"/>
        <v>0</v>
      </c>
      <c r="CW75">
        <f t="shared" si="81"/>
        <v>0</v>
      </c>
      <c r="CX75">
        <f t="shared" si="82"/>
        <v>0</v>
      </c>
      <c r="CY75">
        <f t="shared" si="83"/>
        <v>0</v>
      </c>
      <c r="CZ75">
        <f t="shared" si="84"/>
        <v>0</v>
      </c>
      <c r="DC75" t="s">
        <v>4</v>
      </c>
      <c r="DD75" t="s">
        <v>4</v>
      </c>
      <c r="DE75" t="s">
        <v>4</v>
      </c>
      <c r="DF75" t="s">
        <v>4</v>
      </c>
      <c r="DG75" t="s">
        <v>4</v>
      </c>
      <c r="DH75" t="s">
        <v>4</v>
      </c>
      <c r="DI75" t="s">
        <v>4</v>
      </c>
      <c r="DJ75" t="s">
        <v>4</v>
      </c>
      <c r="DK75" t="s">
        <v>4</v>
      </c>
      <c r="DL75" t="s">
        <v>4</v>
      </c>
      <c r="DM75" t="s">
        <v>4</v>
      </c>
      <c r="DN75">
        <v>0</v>
      </c>
      <c r="DO75">
        <v>0</v>
      </c>
      <c r="DP75">
        <v>1</v>
      </c>
      <c r="DQ75">
        <v>1</v>
      </c>
      <c r="DU75">
        <v>1009</v>
      </c>
      <c r="DV75" t="s">
        <v>58</v>
      </c>
      <c r="DW75" t="s">
        <v>58</v>
      </c>
      <c r="DX75">
        <v>1000</v>
      </c>
      <c r="EE75">
        <v>16510513</v>
      </c>
      <c r="EF75">
        <v>2</v>
      </c>
      <c r="EG75" t="s">
        <v>31</v>
      </c>
      <c r="EH75">
        <v>0</v>
      </c>
      <c r="EI75" t="s">
        <v>4</v>
      </c>
      <c r="EJ75">
        <v>1</v>
      </c>
      <c r="EK75">
        <v>15001</v>
      </c>
      <c r="EL75" t="s">
        <v>100</v>
      </c>
      <c r="EM75" t="s">
        <v>101</v>
      </c>
      <c r="EO75" t="s">
        <v>4</v>
      </c>
      <c r="EQ75">
        <v>0</v>
      </c>
      <c r="ER75">
        <v>18390.16</v>
      </c>
      <c r="ES75">
        <v>18390.16</v>
      </c>
      <c r="ET75">
        <v>0</v>
      </c>
      <c r="EU75">
        <v>0</v>
      </c>
      <c r="EV75">
        <v>0</v>
      </c>
      <c r="EW75">
        <v>0</v>
      </c>
      <c r="EX75">
        <v>0</v>
      </c>
      <c r="FQ75">
        <v>0</v>
      </c>
      <c r="FR75">
        <f t="shared" si="85"/>
        <v>0</v>
      </c>
      <c r="FS75">
        <v>0</v>
      </c>
      <c r="FT75" t="s">
        <v>34</v>
      </c>
      <c r="FU75" t="s">
        <v>35</v>
      </c>
      <c r="FX75">
        <v>94.5</v>
      </c>
      <c r="FY75">
        <v>46.75</v>
      </c>
      <c r="GA75" t="s">
        <v>4</v>
      </c>
      <c r="GD75">
        <v>0</v>
      </c>
      <c r="GF75">
        <v>-1919714308</v>
      </c>
      <c r="GG75">
        <v>1</v>
      </c>
      <c r="GH75">
        <v>1</v>
      </c>
      <c r="GI75">
        <v>4</v>
      </c>
      <c r="GJ75">
        <v>0</v>
      </c>
      <c r="GK75">
        <f>ROUND(R75*(S12)/100,2)</f>
        <v>0</v>
      </c>
      <c r="GL75">
        <f t="shared" si="86"/>
        <v>0</v>
      </c>
      <c r="GM75">
        <f t="shared" si="87"/>
        <v>892.93</v>
      </c>
      <c r="GN75">
        <f t="shared" si="88"/>
        <v>892.93</v>
      </c>
      <c r="GO75">
        <f t="shared" si="89"/>
        <v>0</v>
      </c>
      <c r="GP75">
        <f t="shared" si="90"/>
        <v>0</v>
      </c>
      <c r="GR75">
        <v>0</v>
      </c>
      <c r="GS75">
        <v>3</v>
      </c>
      <c r="GT75">
        <v>0</v>
      </c>
      <c r="GU75" t="s">
        <v>4</v>
      </c>
      <c r="GV75">
        <f t="shared" si="91"/>
        <v>0</v>
      </c>
      <c r="GW75">
        <v>1</v>
      </c>
      <c r="GX75">
        <f t="shared" si="92"/>
        <v>0</v>
      </c>
      <c r="HA75">
        <v>0</v>
      </c>
      <c r="HB75">
        <v>0</v>
      </c>
      <c r="IK75">
        <v>0</v>
      </c>
    </row>
    <row r="77" spans="1:255" x14ac:dyDescent="0.2">
      <c r="A77" s="3">
        <v>51</v>
      </c>
      <c r="B77" s="3">
        <f>B20</f>
        <v>1</v>
      </c>
      <c r="C77" s="3">
        <f>A20</f>
        <v>3</v>
      </c>
      <c r="D77" s="3">
        <f>ROW(A20)</f>
        <v>20</v>
      </c>
      <c r="E77" s="3"/>
      <c r="F77" s="3" t="str">
        <f>IF(F20&lt;&gt;"",F20,"")</f>
        <v>Новая локальная смета</v>
      </c>
      <c r="G77" s="3" t="str">
        <f>IF(G20&lt;&gt;"",G20,"")</f>
        <v>Новая локальная смета</v>
      </c>
      <c r="H77" s="3">
        <v>0</v>
      </c>
      <c r="I77" s="3"/>
      <c r="J77" s="3"/>
      <c r="K77" s="3"/>
      <c r="L77" s="3"/>
      <c r="M77" s="3"/>
      <c r="N77" s="3"/>
      <c r="O77" s="3">
        <f t="shared" ref="O77:T77" si="100">ROUND(AB77,2)</f>
        <v>15406.32</v>
      </c>
      <c r="P77" s="3">
        <f t="shared" si="100"/>
        <v>13134.48</v>
      </c>
      <c r="Q77" s="3">
        <f t="shared" si="100"/>
        <v>59.39</v>
      </c>
      <c r="R77" s="3">
        <f t="shared" si="100"/>
        <v>19.95</v>
      </c>
      <c r="S77" s="3">
        <f t="shared" si="100"/>
        <v>2212.4499999999998</v>
      </c>
      <c r="T77" s="3">
        <f t="shared" si="100"/>
        <v>0</v>
      </c>
      <c r="U77" s="3">
        <f>AH77</f>
        <v>258.46641549999998</v>
      </c>
      <c r="V77" s="3">
        <f>AI77</f>
        <v>1.7466025000000001</v>
      </c>
      <c r="W77" s="3">
        <f>ROUND(AJ77,2)</f>
        <v>0</v>
      </c>
      <c r="X77" s="3">
        <f>ROUND(AK77,2)</f>
        <v>2028.81</v>
      </c>
      <c r="Y77" s="3">
        <f>ROUND(AL77,2)</f>
        <v>1248.08</v>
      </c>
      <c r="Z77" s="3"/>
      <c r="AA77" s="3"/>
      <c r="AB77" s="3">
        <f>ROUND(SUMIF(AA24:AA75,"=16501254",O24:O75),2)</f>
        <v>15406.32</v>
      </c>
      <c r="AC77" s="3">
        <f>ROUND(SUMIF(AA24:AA75,"=16501254",P24:P75),2)</f>
        <v>13134.48</v>
      </c>
      <c r="AD77" s="3">
        <f>ROUND(SUMIF(AA24:AA75,"=16501254",Q24:Q75),2)</f>
        <v>59.39</v>
      </c>
      <c r="AE77" s="3">
        <f>ROUND(SUMIF(AA24:AA75,"=16501254",R24:R75),2)</f>
        <v>19.95</v>
      </c>
      <c r="AF77" s="3">
        <f>ROUND(SUMIF(AA24:AA75,"=16501254",S24:S75),2)</f>
        <v>2212.4499999999998</v>
      </c>
      <c r="AG77" s="3">
        <f>ROUND(SUMIF(AA24:AA75,"=16501254",T24:T75),2)</f>
        <v>0</v>
      </c>
      <c r="AH77" s="3">
        <f>SUMIF(AA24:AA75,"=16501254",U24:U75)</f>
        <v>258.46641549999998</v>
      </c>
      <c r="AI77" s="3">
        <f>SUMIF(AA24:AA75,"=16501254",V24:V75)</f>
        <v>1.7466025000000001</v>
      </c>
      <c r="AJ77" s="3">
        <f>ROUND(SUMIF(AA24:AA75,"=16501254",W24:W75),2)</f>
        <v>0</v>
      </c>
      <c r="AK77" s="3">
        <f>ROUND(SUMIF(AA24:AA75,"=16501254",X24:X75),2)</f>
        <v>2028.81</v>
      </c>
      <c r="AL77" s="3">
        <f>ROUND(SUMIF(AA24:AA75,"=16501254",Y24:Y75),2)</f>
        <v>1248.08</v>
      </c>
      <c r="AM77" s="3"/>
      <c r="AN77" s="3"/>
      <c r="AO77" s="3">
        <f t="shared" ref="AO77:BC77" si="101">ROUND(BX77,2)</f>
        <v>0</v>
      </c>
      <c r="AP77" s="3">
        <f t="shared" si="101"/>
        <v>0</v>
      </c>
      <c r="AQ77" s="3">
        <f t="shared" si="101"/>
        <v>0</v>
      </c>
      <c r="AR77" s="3">
        <f t="shared" si="101"/>
        <v>18683.21</v>
      </c>
      <c r="AS77" s="3">
        <f t="shared" si="101"/>
        <v>18683.21</v>
      </c>
      <c r="AT77" s="3">
        <f t="shared" si="101"/>
        <v>0</v>
      </c>
      <c r="AU77" s="3">
        <f t="shared" si="101"/>
        <v>0</v>
      </c>
      <c r="AV77" s="3">
        <f t="shared" si="101"/>
        <v>13134.48</v>
      </c>
      <c r="AW77" s="3">
        <f t="shared" si="101"/>
        <v>13134.48</v>
      </c>
      <c r="AX77" s="3">
        <f t="shared" si="101"/>
        <v>0</v>
      </c>
      <c r="AY77" s="3">
        <f t="shared" si="101"/>
        <v>13134.48</v>
      </c>
      <c r="AZ77" s="3">
        <f t="shared" si="101"/>
        <v>0</v>
      </c>
      <c r="BA77" s="3">
        <f t="shared" si="101"/>
        <v>0</v>
      </c>
      <c r="BB77" s="3">
        <f t="shared" si="101"/>
        <v>0</v>
      </c>
      <c r="BC77" s="3">
        <f t="shared" si="101"/>
        <v>0</v>
      </c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>
        <f>ROUND(SUMIF(AA24:AA75,"=16501254",FQ24:FQ75),2)</f>
        <v>0</v>
      </c>
      <c r="BY77" s="3">
        <f>ROUND(SUMIF(AA24:AA75,"=16501254",FR24:FR75),2)</f>
        <v>0</v>
      </c>
      <c r="BZ77" s="3">
        <f>ROUND(SUMIF(AA24:AA75,"=16501254",GL24:GL75),2)</f>
        <v>0</v>
      </c>
      <c r="CA77" s="3">
        <f>ROUND(SUMIF(AA24:AA75,"=16501254",GM24:GM75),2)</f>
        <v>18683.21</v>
      </c>
      <c r="CB77" s="3">
        <f>ROUND(SUMIF(AA24:AA75,"=16501254",GN24:GN75),2)</f>
        <v>18683.21</v>
      </c>
      <c r="CC77" s="3">
        <f>ROUND(SUMIF(AA24:AA75,"=16501254",GO24:GO75),2)</f>
        <v>0</v>
      </c>
      <c r="CD77" s="3">
        <f>ROUND(SUMIF(AA24:AA75,"=16501254",GP24:GP75),2)</f>
        <v>0</v>
      </c>
      <c r="CE77" s="3">
        <f>AC77-BX77</f>
        <v>13134.48</v>
      </c>
      <c r="CF77" s="3">
        <f>AC77-BY77</f>
        <v>13134.48</v>
      </c>
      <c r="CG77" s="3">
        <f>BX77-BZ77</f>
        <v>0</v>
      </c>
      <c r="CH77" s="3">
        <f>AC77-BX77-BY77+BZ77</f>
        <v>13134.48</v>
      </c>
      <c r="CI77" s="3">
        <f>BY77-BZ77</f>
        <v>0</v>
      </c>
      <c r="CJ77" s="3">
        <f>ROUND(SUMIF(AA24:AA75,"=16501254",GX24:GX75),2)</f>
        <v>0</v>
      </c>
      <c r="CK77" s="3">
        <f>ROUND(SUMIF(AA24:AA75,"=16501254",GY24:GY75),2)</f>
        <v>0</v>
      </c>
      <c r="CL77" s="3">
        <f>ROUND(SUMIF(AA24:AA75,"=16501254",GZ24:GZ75),2)</f>
        <v>0</v>
      </c>
      <c r="CM77" s="3"/>
      <c r="CN77" s="3"/>
      <c r="CO77" s="3"/>
      <c r="CP77" s="3"/>
      <c r="CQ77" s="3"/>
      <c r="CR77" s="3"/>
      <c r="CS77" s="3"/>
      <c r="CT77" s="3"/>
      <c r="CU77" s="3"/>
      <c r="CV77" s="3"/>
      <c r="CW77" s="3"/>
      <c r="CX77" s="3"/>
      <c r="CY77" s="3"/>
      <c r="CZ77" s="3"/>
      <c r="DA77" s="3"/>
      <c r="DB77" s="3"/>
      <c r="DC77" s="3"/>
      <c r="DD77" s="3"/>
      <c r="DE77" s="3"/>
      <c r="DF77" s="3"/>
      <c r="DG77" s="4">
        <f t="shared" ref="DG77:DL77" si="102">ROUND(DT77,2)</f>
        <v>93670.45</v>
      </c>
      <c r="DH77" s="4">
        <f t="shared" si="102"/>
        <v>79857.66</v>
      </c>
      <c r="DI77" s="4">
        <f t="shared" si="102"/>
        <v>361.03</v>
      </c>
      <c r="DJ77" s="4">
        <f t="shared" si="102"/>
        <v>121.32</v>
      </c>
      <c r="DK77" s="4">
        <f t="shared" si="102"/>
        <v>13451.76</v>
      </c>
      <c r="DL77" s="4">
        <f t="shared" si="102"/>
        <v>0</v>
      </c>
      <c r="DM77" s="4">
        <f>DZ77</f>
        <v>258.46641549999998</v>
      </c>
      <c r="DN77" s="4">
        <f>EA77</f>
        <v>1.7466025000000001</v>
      </c>
      <c r="DO77" s="4">
        <f>ROUND(EB77,2)</f>
        <v>0</v>
      </c>
      <c r="DP77" s="4">
        <f>ROUND(EC77,2)</f>
        <v>12335.23</v>
      </c>
      <c r="DQ77" s="4">
        <f>ROUND(ED77,2)</f>
        <v>7588.27</v>
      </c>
      <c r="DR77" s="4"/>
      <c r="DS77" s="4"/>
      <c r="DT77" s="4">
        <f>ROUND(SUMIF(AA24:AA75,"=16501255",O24:O75),2)</f>
        <v>93670.45</v>
      </c>
      <c r="DU77" s="4">
        <f>ROUND(SUMIF(AA24:AA75,"=16501255",P24:P75),2)</f>
        <v>79857.66</v>
      </c>
      <c r="DV77" s="4">
        <f>ROUND(SUMIF(AA24:AA75,"=16501255",Q24:Q75),2)</f>
        <v>361.03</v>
      </c>
      <c r="DW77" s="4">
        <f>ROUND(SUMIF(AA24:AA75,"=16501255",R24:R75),2)</f>
        <v>121.32</v>
      </c>
      <c r="DX77" s="4">
        <f>ROUND(SUMIF(AA24:AA75,"=16501255",S24:S75),2)</f>
        <v>13451.76</v>
      </c>
      <c r="DY77" s="4">
        <f>ROUND(SUMIF(AA24:AA75,"=16501255",T24:T75),2)</f>
        <v>0</v>
      </c>
      <c r="DZ77" s="4">
        <f>SUMIF(AA24:AA75,"=16501255",U24:U75)</f>
        <v>258.46641549999998</v>
      </c>
      <c r="EA77" s="4">
        <f>SUMIF(AA24:AA75,"=16501255",V24:V75)</f>
        <v>1.7466025000000001</v>
      </c>
      <c r="EB77" s="4">
        <f>ROUND(SUMIF(AA24:AA75,"=16501255",W24:W75),2)</f>
        <v>0</v>
      </c>
      <c r="EC77" s="4">
        <f>ROUND(SUMIF(AA24:AA75,"=16501255",X24:X75),2)</f>
        <v>12335.23</v>
      </c>
      <c r="ED77" s="4">
        <f>ROUND(SUMIF(AA24:AA75,"=16501255",Y24:Y75),2)</f>
        <v>7588.27</v>
      </c>
      <c r="EE77" s="4"/>
      <c r="EF77" s="4"/>
      <c r="EG77" s="4">
        <f t="shared" ref="EG77:EU77" si="103">ROUND(FP77,2)</f>
        <v>0</v>
      </c>
      <c r="EH77" s="4">
        <f t="shared" si="103"/>
        <v>0</v>
      </c>
      <c r="EI77" s="4">
        <f t="shared" si="103"/>
        <v>0</v>
      </c>
      <c r="EJ77" s="4">
        <f t="shared" si="103"/>
        <v>113593.95</v>
      </c>
      <c r="EK77" s="4">
        <f t="shared" si="103"/>
        <v>113593.95</v>
      </c>
      <c r="EL77" s="4">
        <f t="shared" si="103"/>
        <v>0</v>
      </c>
      <c r="EM77" s="4">
        <f t="shared" si="103"/>
        <v>0</v>
      </c>
      <c r="EN77" s="4">
        <f t="shared" si="103"/>
        <v>79857.66</v>
      </c>
      <c r="EO77" s="4">
        <f t="shared" si="103"/>
        <v>79857.66</v>
      </c>
      <c r="EP77" s="4">
        <f t="shared" si="103"/>
        <v>0</v>
      </c>
      <c r="EQ77" s="4">
        <f t="shared" si="103"/>
        <v>79857.66</v>
      </c>
      <c r="ER77" s="4">
        <f t="shared" si="103"/>
        <v>0</v>
      </c>
      <c r="ES77" s="4">
        <f t="shared" si="103"/>
        <v>0</v>
      </c>
      <c r="ET77" s="4">
        <f t="shared" si="103"/>
        <v>0</v>
      </c>
      <c r="EU77" s="4">
        <f t="shared" si="103"/>
        <v>0</v>
      </c>
      <c r="EV77" s="4"/>
      <c r="EW77" s="4"/>
      <c r="EX77" s="4"/>
      <c r="EY77" s="4"/>
      <c r="EZ77" s="4"/>
      <c r="FA77" s="4"/>
      <c r="FB77" s="4"/>
      <c r="FC77" s="4"/>
      <c r="FD77" s="4"/>
      <c r="FE77" s="4"/>
      <c r="FF77" s="4"/>
      <c r="FG77" s="4"/>
      <c r="FH77" s="4"/>
      <c r="FI77" s="4"/>
      <c r="FJ77" s="4"/>
      <c r="FK77" s="4"/>
      <c r="FL77" s="4"/>
      <c r="FM77" s="4"/>
      <c r="FN77" s="4"/>
      <c r="FO77" s="4"/>
      <c r="FP77" s="4">
        <f>ROUND(SUMIF(AA24:AA75,"=16501255",FQ24:FQ75),2)</f>
        <v>0</v>
      </c>
      <c r="FQ77" s="4">
        <f>ROUND(SUMIF(AA24:AA75,"=16501255",FR24:FR75),2)</f>
        <v>0</v>
      </c>
      <c r="FR77" s="4">
        <f>ROUND(SUMIF(AA24:AA75,"=16501255",GL24:GL75),2)</f>
        <v>0</v>
      </c>
      <c r="FS77" s="4">
        <f>ROUND(SUMIF(AA24:AA75,"=16501255",GM24:GM75),2)</f>
        <v>113593.95</v>
      </c>
      <c r="FT77" s="4">
        <f>ROUND(SUMIF(AA24:AA75,"=16501255",GN24:GN75),2)</f>
        <v>113593.95</v>
      </c>
      <c r="FU77" s="4">
        <f>ROUND(SUMIF(AA24:AA75,"=16501255",GO24:GO75),2)</f>
        <v>0</v>
      </c>
      <c r="FV77" s="4">
        <f>ROUND(SUMIF(AA24:AA75,"=16501255",GP24:GP75),2)</f>
        <v>0</v>
      </c>
      <c r="FW77" s="4">
        <f>DU77-FP77</f>
        <v>79857.66</v>
      </c>
      <c r="FX77" s="4">
        <f>DU77-FQ77</f>
        <v>79857.66</v>
      </c>
      <c r="FY77" s="4">
        <f>FP77-FR77</f>
        <v>0</v>
      </c>
      <c r="FZ77" s="4">
        <f>DU77-FP77-FQ77+FR77</f>
        <v>79857.66</v>
      </c>
      <c r="GA77" s="4">
        <f>FQ77-FR77</f>
        <v>0</v>
      </c>
      <c r="GB77" s="4">
        <f>ROUND(SUMIF(AA24:AA75,"=16501255",GX24:GX75),2)</f>
        <v>0</v>
      </c>
      <c r="GC77" s="4">
        <f>ROUND(SUMIF(AA24:AA75,"=16501255",GY24:GY75),2)</f>
        <v>0</v>
      </c>
      <c r="GD77" s="4">
        <f>ROUND(SUMIF(AA24:AA75,"=16501255",GZ24:GZ75),2)</f>
        <v>0</v>
      </c>
      <c r="GE77" s="4"/>
      <c r="GF77" s="4"/>
      <c r="GG77" s="4"/>
      <c r="GH77" s="4"/>
      <c r="GI77" s="4"/>
      <c r="GJ77" s="4"/>
      <c r="GK77" s="4"/>
      <c r="GL77" s="4"/>
      <c r="GM77" s="4"/>
      <c r="GN77" s="4"/>
      <c r="GO77" s="4"/>
      <c r="GP77" s="4"/>
      <c r="GQ77" s="4"/>
      <c r="GR77" s="4"/>
      <c r="GS77" s="4"/>
      <c r="GT77" s="4"/>
      <c r="GU77" s="4"/>
      <c r="GV77" s="4"/>
      <c r="GW77" s="4"/>
      <c r="GX77" s="4">
        <v>0</v>
      </c>
    </row>
    <row r="79" spans="1:255" x14ac:dyDescent="0.2">
      <c r="A79" s="5">
        <v>50</v>
      </c>
      <c r="B79" s="5">
        <v>0</v>
      </c>
      <c r="C79" s="5">
        <v>0</v>
      </c>
      <c r="D79" s="5">
        <v>1</v>
      </c>
      <c r="E79" s="5">
        <v>201</v>
      </c>
      <c r="F79" s="5">
        <f>ROUND(Source!O77,O79)</f>
        <v>15406.32</v>
      </c>
      <c r="G79" s="5" t="s">
        <v>128</v>
      </c>
      <c r="H79" s="5" t="s">
        <v>129</v>
      </c>
      <c r="I79" s="5"/>
      <c r="J79" s="5"/>
      <c r="K79" s="5">
        <v>201</v>
      </c>
      <c r="L79" s="5">
        <v>1</v>
      </c>
      <c r="M79" s="5">
        <v>3</v>
      </c>
      <c r="N79" s="5" t="s">
        <v>4</v>
      </c>
      <c r="O79" s="5">
        <v>2</v>
      </c>
      <c r="P79" s="5">
        <f>ROUND(Source!DG77,O79)</f>
        <v>93670.45</v>
      </c>
      <c r="Q79" s="5"/>
      <c r="R79" s="5"/>
      <c r="S79" s="5"/>
      <c r="T79" s="5"/>
      <c r="U79" s="5"/>
      <c r="V79" s="5"/>
      <c r="W79" s="5"/>
    </row>
    <row r="80" spans="1:255" x14ac:dyDescent="0.2">
      <c r="A80" s="5">
        <v>50</v>
      </c>
      <c r="B80" s="5">
        <v>0</v>
      </c>
      <c r="C80" s="5">
        <v>0</v>
      </c>
      <c r="D80" s="5">
        <v>1</v>
      </c>
      <c r="E80" s="5">
        <v>202</v>
      </c>
      <c r="F80" s="5">
        <f>ROUND(Source!P77,O80)</f>
        <v>13134.48</v>
      </c>
      <c r="G80" s="5" t="s">
        <v>130</v>
      </c>
      <c r="H80" s="5" t="s">
        <v>131</v>
      </c>
      <c r="I80" s="5"/>
      <c r="J80" s="5"/>
      <c r="K80" s="5">
        <v>202</v>
      </c>
      <c r="L80" s="5">
        <v>2</v>
      </c>
      <c r="M80" s="5">
        <v>3</v>
      </c>
      <c r="N80" s="5" t="s">
        <v>4</v>
      </c>
      <c r="O80" s="5">
        <v>2</v>
      </c>
      <c r="P80" s="5">
        <f>ROUND(Source!DH77,O80)</f>
        <v>79857.66</v>
      </c>
      <c r="Q80" s="5"/>
      <c r="R80" s="5"/>
      <c r="S80" s="5"/>
      <c r="T80" s="5"/>
      <c r="U80" s="5"/>
      <c r="V80" s="5"/>
      <c r="W80" s="5"/>
    </row>
    <row r="81" spans="1:23" x14ac:dyDescent="0.2">
      <c r="A81" s="5">
        <v>50</v>
      </c>
      <c r="B81" s="5">
        <v>0</v>
      </c>
      <c r="C81" s="5">
        <v>0</v>
      </c>
      <c r="D81" s="5">
        <v>1</v>
      </c>
      <c r="E81" s="5">
        <v>222</v>
      </c>
      <c r="F81" s="5">
        <f>ROUND(Source!AO77,O81)</f>
        <v>0</v>
      </c>
      <c r="G81" s="5" t="s">
        <v>132</v>
      </c>
      <c r="H81" s="5" t="s">
        <v>133</v>
      </c>
      <c r="I81" s="5"/>
      <c r="J81" s="5"/>
      <c r="K81" s="5">
        <v>222</v>
      </c>
      <c r="L81" s="5">
        <v>3</v>
      </c>
      <c r="M81" s="5">
        <v>3</v>
      </c>
      <c r="N81" s="5" t="s">
        <v>4</v>
      </c>
      <c r="O81" s="5">
        <v>2</v>
      </c>
      <c r="P81" s="5">
        <f>ROUND(Source!EG77,O81)</f>
        <v>0</v>
      </c>
      <c r="Q81" s="5"/>
      <c r="R81" s="5"/>
      <c r="S81" s="5"/>
      <c r="T81" s="5"/>
      <c r="U81" s="5"/>
      <c r="V81" s="5"/>
      <c r="W81" s="5"/>
    </row>
    <row r="82" spans="1:23" x14ac:dyDescent="0.2">
      <c r="A82" s="5">
        <v>50</v>
      </c>
      <c r="B82" s="5">
        <v>0</v>
      </c>
      <c r="C82" s="5">
        <v>0</v>
      </c>
      <c r="D82" s="5">
        <v>1</v>
      </c>
      <c r="E82" s="5">
        <v>225</v>
      </c>
      <c r="F82" s="5">
        <f>ROUND(Source!AV77,O82)</f>
        <v>13134.48</v>
      </c>
      <c r="G82" s="5" t="s">
        <v>134</v>
      </c>
      <c r="H82" s="5" t="s">
        <v>135</v>
      </c>
      <c r="I82" s="5"/>
      <c r="J82" s="5"/>
      <c r="K82" s="5">
        <v>225</v>
      </c>
      <c r="L82" s="5">
        <v>4</v>
      </c>
      <c r="M82" s="5">
        <v>3</v>
      </c>
      <c r="N82" s="5" t="s">
        <v>4</v>
      </c>
      <c r="O82" s="5">
        <v>2</v>
      </c>
      <c r="P82" s="5">
        <f>ROUND(Source!EN77,O82)</f>
        <v>79857.66</v>
      </c>
      <c r="Q82" s="5"/>
      <c r="R82" s="5"/>
      <c r="S82" s="5"/>
      <c r="T82" s="5"/>
      <c r="U82" s="5"/>
      <c r="V82" s="5"/>
      <c r="W82" s="5"/>
    </row>
    <row r="83" spans="1:23" x14ac:dyDescent="0.2">
      <c r="A83" s="5">
        <v>50</v>
      </c>
      <c r="B83" s="5">
        <v>0</v>
      </c>
      <c r="C83" s="5">
        <v>0</v>
      </c>
      <c r="D83" s="5">
        <v>1</v>
      </c>
      <c r="E83" s="5">
        <v>226</v>
      </c>
      <c r="F83" s="5">
        <f>ROUND(Source!AW77,O83)</f>
        <v>13134.48</v>
      </c>
      <c r="G83" s="5" t="s">
        <v>136</v>
      </c>
      <c r="H83" s="5" t="s">
        <v>137</v>
      </c>
      <c r="I83" s="5"/>
      <c r="J83" s="5"/>
      <c r="K83" s="5">
        <v>226</v>
      </c>
      <c r="L83" s="5">
        <v>5</v>
      </c>
      <c r="M83" s="5">
        <v>3</v>
      </c>
      <c r="N83" s="5" t="s">
        <v>4</v>
      </c>
      <c r="O83" s="5">
        <v>2</v>
      </c>
      <c r="P83" s="5">
        <f>ROUND(Source!EO77,O83)</f>
        <v>79857.66</v>
      </c>
      <c r="Q83" s="5"/>
      <c r="R83" s="5"/>
      <c r="S83" s="5"/>
      <c r="T83" s="5"/>
      <c r="U83" s="5"/>
      <c r="V83" s="5"/>
      <c r="W83" s="5"/>
    </row>
    <row r="84" spans="1:23" x14ac:dyDescent="0.2">
      <c r="A84" s="5">
        <v>50</v>
      </c>
      <c r="B84" s="5">
        <v>0</v>
      </c>
      <c r="C84" s="5">
        <v>0</v>
      </c>
      <c r="D84" s="5">
        <v>1</v>
      </c>
      <c r="E84" s="5">
        <v>227</v>
      </c>
      <c r="F84" s="5">
        <f>ROUND(Source!AX77,O84)</f>
        <v>0</v>
      </c>
      <c r="G84" s="5" t="s">
        <v>138</v>
      </c>
      <c r="H84" s="5" t="s">
        <v>139</v>
      </c>
      <c r="I84" s="5"/>
      <c r="J84" s="5"/>
      <c r="K84" s="5">
        <v>227</v>
      </c>
      <c r="L84" s="5">
        <v>6</v>
      </c>
      <c r="M84" s="5">
        <v>3</v>
      </c>
      <c r="N84" s="5" t="s">
        <v>4</v>
      </c>
      <c r="O84" s="5">
        <v>2</v>
      </c>
      <c r="P84" s="5">
        <f>ROUND(Source!EP77,O84)</f>
        <v>0</v>
      </c>
      <c r="Q84" s="5"/>
      <c r="R84" s="5"/>
      <c r="S84" s="5"/>
      <c r="T84" s="5"/>
      <c r="U84" s="5"/>
      <c r="V84" s="5"/>
      <c r="W84" s="5"/>
    </row>
    <row r="85" spans="1:23" x14ac:dyDescent="0.2">
      <c r="A85" s="5">
        <v>50</v>
      </c>
      <c r="B85" s="5">
        <v>0</v>
      </c>
      <c r="C85" s="5">
        <v>0</v>
      </c>
      <c r="D85" s="5">
        <v>1</v>
      </c>
      <c r="E85" s="5">
        <v>228</v>
      </c>
      <c r="F85" s="5">
        <f>ROUND(Source!AY77,O85)</f>
        <v>13134.48</v>
      </c>
      <c r="G85" s="5" t="s">
        <v>140</v>
      </c>
      <c r="H85" s="5" t="s">
        <v>141</v>
      </c>
      <c r="I85" s="5"/>
      <c r="J85" s="5"/>
      <c r="K85" s="5">
        <v>228</v>
      </c>
      <c r="L85" s="5">
        <v>7</v>
      </c>
      <c r="M85" s="5">
        <v>3</v>
      </c>
      <c r="N85" s="5" t="s">
        <v>4</v>
      </c>
      <c r="O85" s="5">
        <v>2</v>
      </c>
      <c r="P85" s="5">
        <f>ROUND(Source!EQ77,O85)</f>
        <v>79857.66</v>
      </c>
      <c r="Q85" s="5"/>
      <c r="R85" s="5"/>
      <c r="S85" s="5"/>
      <c r="T85" s="5"/>
      <c r="U85" s="5"/>
      <c r="V85" s="5"/>
      <c r="W85" s="5"/>
    </row>
    <row r="86" spans="1:23" x14ac:dyDescent="0.2">
      <c r="A86" s="5">
        <v>50</v>
      </c>
      <c r="B86" s="5">
        <v>0</v>
      </c>
      <c r="C86" s="5">
        <v>0</v>
      </c>
      <c r="D86" s="5">
        <v>1</v>
      </c>
      <c r="E86" s="5">
        <v>216</v>
      </c>
      <c r="F86" s="5">
        <f>ROUND(Source!AP77,O86)</f>
        <v>0</v>
      </c>
      <c r="G86" s="5" t="s">
        <v>142</v>
      </c>
      <c r="H86" s="5" t="s">
        <v>143</v>
      </c>
      <c r="I86" s="5"/>
      <c r="J86" s="5"/>
      <c r="K86" s="5">
        <v>216</v>
      </c>
      <c r="L86" s="5">
        <v>8</v>
      </c>
      <c r="M86" s="5">
        <v>3</v>
      </c>
      <c r="N86" s="5" t="s">
        <v>4</v>
      </c>
      <c r="O86" s="5">
        <v>2</v>
      </c>
      <c r="P86" s="5">
        <f>ROUND(Source!EH77,O86)</f>
        <v>0</v>
      </c>
      <c r="Q86" s="5"/>
      <c r="R86" s="5"/>
      <c r="S86" s="5"/>
      <c r="T86" s="5"/>
      <c r="U86" s="5"/>
      <c r="V86" s="5"/>
      <c r="W86" s="5"/>
    </row>
    <row r="87" spans="1:23" x14ac:dyDescent="0.2">
      <c r="A87" s="5">
        <v>50</v>
      </c>
      <c r="B87" s="5">
        <v>0</v>
      </c>
      <c r="C87" s="5">
        <v>0</v>
      </c>
      <c r="D87" s="5">
        <v>1</v>
      </c>
      <c r="E87" s="5">
        <v>223</v>
      </c>
      <c r="F87" s="5">
        <f>ROUND(Source!AQ77,O87)</f>
        <v>0</v>
      </c>
      <c r="G87" s="5" t="s">
        <v>144</v>
      </c>
      <c r="H87" s="5" t="s">
        <v>145</v>
      </c>
      <c r="I87" s="5"/>
      <c r="J87" s="5"/>
      <c r="K87" s="5">
        <v>223</v>
      </c>
      <c r="L87" s="5">
        <v>9</v>
      </c>
      <c r="M87" s="5">
        <v>3</v>
      </c>
      <c r="N87" s="5" t="s">
        <v>4</v>
      </c>
      <c r="O87" s="5">
        <v>2</v>
      </c>
      <c r="P87" s="5">
        <f>ROUND(Source!EI77,O87)</f>
        <v>0</v>
      </c>
      <c r="Q87" s="5"/>
      <c r="R87" s="5"/>
      <c r="S87" s="5"/>
      <c r="T87" s="5"/>
      <c r="U87" s="5"/>
      <c r="V87" s="5"/>
      <c r="W87" s="5"/>
    </row>
    <row r="88" spans="1:23" x14ac:dyDescent="0.2">
      <c r="A88" s="5">
        <v>50</v>
      </c>
      <c r="B88" s="5">
        <v>0</v>
      </c>
      <c r="C88" s="5">
        <v>0</v>
      </c>
      <c r="D88" s="5">
        <v>1</v>
      </c>
      <c r="E88" s="5">
        <v>229</v>
      </c>
      <c r="F88" s="5">
        <f>ROUND(Source!AZ77,O88)</f>
        <v>0</v>
      </c>
      <c r="G88" s="5" t="s">
        <v>146</v>
      </c>
      <c r="H88" s="5" t="s">
        <v>147</v>
      </c>
      <c r="I88" s="5"/>
      <c r="J88" s="5"/>
      <c r="K88" s="5">
        <v>229</v>
      </c>
      <c r="L88" s="5">
        <v>10</v>
      </c>
      <c r="M88" s="5">
        <v>3</v>
      </c>
      <c r="N88" s="5" t="s">
        <v>4</v>
      </c>
      <c r="O88" s="5">
        <v>2</v>
      </c>
      <c r="P88" s="5">
        <f>ROUND(Source!ER77,O88)</f>
        <v>0</v>
      </c>
      <c r="Q88" s="5"/>
      <c r="R88" s="5"/>
      <c r="S88" s="5"/>
      <c r="T88" s="5"/>
      <c r="U88" s="5"/>
      <c r="V88" s="5"/>
      <c r="W88" s="5"/>
    </row>
    <row r="89" spans="1:23" x14ac:dyDescent="0.2">
      <c r="A89" s="5">
        <v>50</v>
      </c>
      <c r="B89" s="5">
        <v>0</v>
      </c>
      <c r="C89" s="5">
        <v>0</v>
      </c>
      <c r="D89" s="5">
        <v>1</v>
      </c>
      <c r="E89" s="5">
        <v>203</v>
      </c>
      <c r="F89" s="5">
        <f>ROUND(Source!Q77,O89)</f>
        <v>59.39</v>
      </c>
      <c r="G89" s="5" t="s">
        <v>148</v>
      </c>
      <c r="H89" s="5" t="s">
        <v>149</v>
      </c>
      <c r="I89" s="5"/>
      <c r="J89" s="5"/>
      <c r="K89" s="5">
        <v>203</v>
      </c>
      <c r="L89" s="5">
        <v>11</v>
      </c>
      <c r="M89" s="5">
        <v>3</v>
      </c>
      <c r="N89" s="5" t="s">
        <v>4</v>
      </c>
      <c r="O89" s="5">
        <v>2</v>
      </c>
      <c r="P89" s="5">
        <f>ROUND(Source!DI77,O89)</f>
        <v>361.03</v>
      </c>
      <c r="Q89" s="5"/>
      <c r="R89" s="5"/>
      <c r="S89" s="5"/>
      <c r="T89" s="5"/>
      <c r="U89" s="5"/>
      <c r="V89" s="5"/>
      <c r="W89" s="5"/>
    </row>
    <row r="90" spans="1:23" x14ac:dyDescent="0.2">
      <c r="A90" s="5">
        <v>50</v>
      </c>
      <c r="B90" s="5">
        <v>0</v>
      </c>
      <c r="C90" s="5">
        <v>0</v>
      </c>
      <c r="D90" s="5">
        <v>1</v>
      </c>
      <c r="E90" s="5">
        <v>231</v>
      </c>
      <c r="F90" s="5">
        <f>ROUND(Source!BB77,O90)</f>
        <v>0</v>
      </c>
      <c r="G90" s="5" t="s">
        <v>150</v>
      </c>
      <c r="H90" s="5" t="s">
        <v>151</v>
      </c>
      <c r="I90" s="5"/>
      <c r="J90" s="5"/>
      <c r="K90" s="5">
        <v>231</v>
      </c>
      <c r="L90" s="5">
        <v>12</v>
      </c>
      <c r="M90" s="5">
        <v>3</v>
      </c>
      <c r="N90" s="5" t="s">
        <v>4</v>
      </c>
      <c r="O90" s="5">
        <v>2</v>
      </c>
      <c r="P90" s="5">
        <f>ROUND(Source!ET77,O90)</f>
        <v>0</v>
      </c>
      <c r="Q90" s="5"/>
      <c r="R90" s="5"/>
      <c r="S90" s="5"/>
      <c r="T90" s="5"/>
      <c r="U90" s="5"/>
      <c r="V90" s="5"/>
      <c r="W90" s="5"/>
    </row>
    <row r="91" spans="1:23" x14ac:dyDescent="0.2">
      <c r="A91" s="5">
        <v>50</v>
      </c>
      <c r="B91" s="5">
        <v>0</v>
      </c>
      <c r="C91" s="5">
        <v>0</v>
      </c>
      <c r="D91" s="5">
        <v>1</v>
      </c>
      <c r="E91" s="5">
        <v>204</v>
      </c>
      <c r="F91" s="5">
        <f>ROUND(Source!R77,O91)</f>
        <v>19.95</v>
      </c>
      <c r="G91" s="5" t="s">
        <v>152</v>
      </c>
      <c r="H91" s="5" t="s">
        <v>153</v>
      </c>
      <c r="I91" s="5"/>
      <c r="J91" s="5"/>
      <c r="K91" s="5">
        <v>204</v>
      </c>
      <c r="L91" s="5">
        <v>13</v>
      </c>
      <c r="M91" s="5">
        <v>3</v>
      </c>
      <c r="N91" s="5" t="s">
        <v>4</v>
      </c>
      <c r="O91" s="5">
        <v>2</v>
      </c>
      <c r="P91" s="5">
        <f>ROUND(Source!DJ77,O91)</f>
        <v>121.32</v>
      </c>
      <c r="Q91" s="5"/>
      <c r="R91" s="5"/>
      <c r="S91" s="5"/>
      <c r="T91" s="5"/>
      <c r="U91" s="5"/>
      <c r="V91" s="5"/>
      <c r="W91" s="5"/>
    </row>
    <row r="92" spans="1:23" x14ac:dyDescent="0.2">
      <c r="A92" s="5">
        <v>50</v>
      </c>
      <c r="B92" s="5">
        <v>0</v>
      </c>
      <c r="C92" s="5">
        <v>0</v>
      </c>
      <c r="D92" s="5">
        <v>1</v>
      </c>
      <c r="E92" s="5">
        <v>205</v>
      </c>
      <c r="F92" s="5">
        <f>ROUND(Source!S77,O92)</f>
        <v>2212.4499999999998</v>
      </c>
      <c r="G92" s="5" t="s">
        <v>154</v>
      </c>
      <c r="H92" s="5" t="s">
        <v>155</v>
      </c>
      <c r="I92" s="5"/>
      <c r="J92" s="5"/>
      <c r="K92" s="5">
        <v>205</v>
      </c>
      <c r="L92" s="5">
        <v>14</v>
      </c>
      <c r="M92" s="5">
        <v>3</v>
      </c>
      <c r="N92" s="5" t="s">
        <v>4</v>
      </c>
      <c r="O92" s="5">
        <v>2</v>
      </c>
      <c r="P92" s="5">
        <f>ROUND(Source!DK77,O92)</f>
        <v>13451.76</v>
      </c>
      <c r="Q92" s="5"/>
      <c r="R92" s="5"/>
      <c r="S92" s="5"/>
      <c r="T92" s="5"/>
      <c r="U92" s="5"/>
      <c r="V92" s="5"/>
      <c r="W92" s="5"/>
    </row>
    <row r="93" spans="1:23" x14ac:dyDescent="0.2">
      <c r="A93" s="5">
        <v>50</v>
      </c>
      <c r="B93" s="5">
        <v>0</v>
      </c>
      <c r="C93" s="5">
        <v>0</v>
      </c>
      <c r="D93" s="5">
        <v>1</v>
      </c>
      <c r="E93" s="5">
        <v>232</v>
      </c>
      <c r="F93" s="5">
        <f>ROUND(Source!BC77,O93)</f>
        <v>0</v>
      </c>
      <c r="G93" s="5" t="s">
        <v>156</v>
      </c>
      <c r="H93" s="5" t="s">
        <v>157</v>
      </c>
      <c r="I93" s="5"/>
      <c r="J93" s="5"/>
      <c r="K93" s="5">
        <v>232</v>
      </c>
      <c r="L93" s="5">
        <v>15</v>
      </c>
      <c r="M93" s="5">
        <v>3</v>
      </c>
      <c r="N93" s="5" t="s">
        <v>4</v>
      </c>
      <c r="O93" s="5">
        <v>2</v>
      </c>
      <c r="P93" s="5">
        <f>ROUND(Source!EU77,O93)</f>
        <v>0</v>
      </c>
      <c r="Q93" s="5"/>
      <c r="R93" s="5"/>
      <c r="S93" s="5"/>
      <c r="T93" s="5"/>
      <c r="U93" s="5"/>
      <c r="V93" s="5"/>
      <c r="W93" s="5"/>
    </row>
    <row r="94" spans="1:23" x14ac:dyDescent="0.2">
      <c r="A94" s="5">
        <v>50</v>
      </c>
      <c r="B94" s="5">
        <v>0</v>
      </c>
      <c r="C94" s="5">
        <v>0</v>
      </c>
      <c r="D94" s="5">
        <v>1</v>
      </c>
      <c r="E94" s="5">
        <v>214</v>
      </c>
      <c r="F94" s="5">
        <f>ROUND(Source!AS77,O94)</f>
        <v>18683.21</v>
      </c>
      <c r="G94" s="5" t="s">
        <v>158</v>
      </c>
      <c r="H94" s="5" t="s">
        <v>159</v>
      </c>
      <c r="I94" s="5"/>
      <c r="J94" s="5"/>
      <c r="K94" s="5">
        <v>214</v>
      </c>
      <c r="L94" s="5">
        <v>16</v>
      </c>
      <c r="M94" s="5">
        <v>3</v>
      </c>
      <c r="N94" s="5" t="s">
        <v>4</v>
      </c>
      <c r="O94" s="5">
        <v>2</v>
      </c>
      <c r="P94" s="5">
        <f>ROUND(Source!EK77,O94)</f>
        <v>113593.95</v>
      </c>
      <c r="Q94" s="5"/>
      <c r="R94" s="5"/>
      <c r="S94" s="5"/>
      <c r="T94" s="5"/>
      <c r="U94" s="5"/>
      <c r="V94" s="5"/>
      <c r="W94" s="5"/>
    </row>
    <row r="95" spans="1:23" x14ac:dyDescent="0.2">
      <c r="A95" s="5">
        <v>50</v>
      </c>
      <c r="B95" s="5">
        <v>0</v>
      </c>
      <c r="C95" s="5">
        <v>0</v>
      </c>
      <c r="D95" s="5">
        <v>1</v>
      </c>
      <c r="E95" s="5">
        <v>215</v>
      </c>
      <c r="F95" s="5">
        <f>ROUND(Source!AT77,O95)</f>
        <v>0</v>
      </c>
      <c r="G95" s="5" t="s">
        <v>160</v>
      </c>
      <c r="H95" s="5" t="s">
        <v>161</v>
      </c>
      <c r="I95" s="5"/>
      <c r="J95" s="5"/>
      <c r="K95" s="5">
        <v>215</v>
      </c>
      <c r="L95" s="5">
        <v>17</v>
      </c>
      <c r="M95" s="5">
        <v>3</v>
      </c>
      <c r="N95" s="5" t="s">
        <v>4</v>
      </c>
      <c r="O95" s="5">
        <v>2</v>
      </c>
      <c r="P95" s="5">
        <f>ROUND(Source!EL77,O95)</f>
        <v>0</v>
      </c>
      <c r="Q95" s="5"/>
      <c r="R95" s="5"/>
      <c r="S95" s="5"/>
      <c r="T95" s="5"/>
      <c r="U95" s="5"/>
      <c r="V95" s="5"/>
      <c r="W95" s="5"/>
    </row>
    <row r="96" spans="1:23" x14ac:dyDescent="0.2">
      <c r="A96" s="5">
        <v>50</v>
      </c>
      <c r="B96" s="5">
        <v>0</v>
      </c>
      <c r="C96" s="5">
        <v>0</v>
      </c>
      <c r="D96" s="5">
        <v>1</v>
      </c>
      <c r="E96" s="5">
        <v>217</v>
      </c>
      <c r="F96" s="5">
        <f>ROUND(Source!AU77,O96)</f>
        <v>0</v>
      </c>
      <c r="G96" s="5" t="s">
        <v>162</v>
      </c>
      <c r="H96" s="5" t="s">
        <v>163</v>
      </c>
      <c r="I96" s="5"/>
      <c r="J96" s="5"/>
      <c r="K96" s="5">
        <v>217</v>
      </c>
      <c r="L96" s="5">
        <v>18</v>
      </c>
      <c r="M96" s="5">
        <v>3</v>
      </c>
      <c r="N96" s="5" t="s">
        <v>4</v>
      </c>
      <c r="O96" s="5">
        <v>2</v>
      </c>
      <c r="P96" s="5">
        <f>ROUND(Source!EM77,O96)</f>
        <v>0</v>
      </c>
      <c r="Q96" s="5"/>
      <c r="R96" s="5"/>
      <c r="S96" s="5"/>
      <c r="T96" s="5"/>
      <c r="U96" s="5"/>
      <c r="V96" s="5"/>
      <c r="W96" s="5"/>
    </row>
    <row r="97" spans="1:206" x14ac:dyDescent="0.2">
      <c r="A97" s="5">
        <v>50</v>
      </c>
      <c r="B97" s="5">
        <v>0</v>
      </c>
      <c r="C97" s="5">
        <v>0</v>
      </c>
      <c r="D97" s="5">
        <v>1</v>
      </c>
      <c r="E97" s="5">
        <v>230</v>
      </c>
      <c r="F97" s="5">
        <f>ROUND(Source!BA77,O97)</f>
        <v>0</v>
      </c>
      <c r="G97" s="5" t="s">
        <v>164</v>
      </c>
      <c r="H97" s="5" t="s">
        <v>165</v>
      </c>
      <c r="I97" s="5"/>
      <c r="J97" s="5"/>
      <c r="K97" s="5">
        <v>230</v>
      </c>
      <c r="L97" s="5">
        <v>19</v>
      </c>
      <c r="M97" s="5">
        <v>3</v>
      </c>
      <c r="N97" s="5" t="s">
        <v>4</v>
      </c>
      <c r="O97" s="5">
        <v>2</v>
      </c>
      <c r="P97" s="5">
        <f>ROUND(Source!ES77,O97)</f>
        <v>0</v>
      </c>
      <c r="Q97" s="5"/>
      <c r="R97" s="5"/>
      <c r="S97" s="5"/>
      <c r="T97" s="5"/>
      <c r="U97" s="5"/>
      <c r="V97" s="5"/>
      <c r="W97" s="5"/>
    </row>
    <row r="98" spans="1:206" x14ac:dyDescent="0.2">
      <c r="A98" s="5">
        <v>50</v>
      </c>
      <c r="B98" s="5">
        <v>0</v>
      </c>
      <c r="C98" s="5">
        <v>0</v>
      </c>
      <c r="D98" s="5">
        <v>1</v>
      </c>
      <c r="E98" s="5">
        <v>206</v>
      </c>
      <c r="F98" s="5">
        <f>ROUND(Source!T77,O98)</f>
        <v>0</v>
      </c>
      <c r="G98" s="5" t="s">
        <v>166</v>
      </c>
      <c r="H98" s="5" t="s">
        <v>167</v>
      </c>
      <c r="I98" s="5"/>
      <c r="J98" s="5"/>
      <c r="K98" s="5">
        <v>206</v>
      </c>
      <c r="L98" s="5">
        <v>20</v>
      </c>
      <c r="M98" s="5">
        <v>3</v>
      </c>
      <c r="N98" s="5" t="s">
        <v>4</v>
      </c>
      <c r="O98" s="5">
        <v>2</v>
      </c>
      <c r="P98" s="5">
        <f>ROUND(Source!DL77,O98)</f>
        <v>0</v>
      </c>
      <c r="Q98" s="5"/>
      <c r="R98" s="5"/>
      <c r="S98" s="5"/>
      <c r="T98" s="5"/>
      <c r="U98" s="5"/>
      <c r="V98" s="5"/>
      <c r="W98" s="5"/>
    </row>
    <row r="99" spans="1:206" x14ac:dyDescent="0.2">
      <c r="A99" s="5">
        <v>50</v>
      </c>
      <c r="B99" s="5">
        <v>0</v>
      </c>
      <c r="C99" s="5">
        <v>0</v>
      </c>
      <c r="D99" s="5">
        <v>1</v>
      </c>
      <c r="E99" s="5">
        <v>207</v>
      </c>
      <c r="F99" s="5">
        <f>Source!U77</f>
        <v>258.46641549999998</v>
      </c>
      <c r="G99" s="5" t="s">
        <v>168</v>
      </c>
      <c r="H99" s="5" t="s">
        <v>169</v>
      </c>
      <c r="I99" s="5"/>
      <c r="J99" s="5"/>
      <c r="K99" s="5">
        <v>207</v>
      </c>
      <c r="L99" s="5">
        <v>21</v>
      </c>
      <c r="M99" s="5">
        <v>3</v>
      </c>
      <c r="N99" s="5" t="s">
        <v>4</v>
      </c>
      <c r="O99" s="5">
        <v>-1</v>
      </c>
      <c r="P99" s="5">
        <f>Source!DM77</f>
        <v>258.46641549999998</v>
      </c>
      <c r="Q99" s="5"/>
      <c r="R99" s="5"/>
      <c r="S99" s="5"/>
      <c r="T99" s="5"/>
      <c r="U99" s="5"/>
      <c r="V99" s="5"/>
      <c r="W99" s="5"/>
    </row>
    <row r="100" spans="1:206" x14ac:dyDescent="0.2">
      <c r="A100" s="5">
        <v>50</v>
      </c>
      <c r="B100" s="5">
        <v>0</v>
      </c>
      <c r="C100" s="5">
        <v>0</v>
      </c>
      <c r="D100" s="5">
        <v>1</v>
      </c>
      <c r="E100" s="5">
        <v>208</v>
      </c>
      <c r="F100" s="5">
        <f>Source!V77</f>
        <v>1.7466025000000001</v>
      </c>
      <c r="G100" s="5" t="s">
        <v>170</v>
      </c>
      <c r="H100" s="5" t="s">
        <v>171</v>
      </c>
      <c r="I100" s="5"/>
      <c r="J100" s="5"/>
      <c r="K100" s="5">
        <v>208</v>
      </c>
      <c r="L100" s="5">
        <v>22</v>
      </c>
      <c r="M100" s="5">
        <v>3</v>
      </c>
      <c r="N100" s="5" t="s">
        <v>4</v>
      </c>
      <c r="O100" s="5">
        <v>-1</v>
      </c>
      <c r="P100" s="5">
        <f>Source!DN77</f>
        <v>1.7466025000000001</v>
      </c>
      <c r="Q100" s="5"/>
      <c r="R100" s="5"/>
      <c r="S100" s="5"/>
      <c r="T100" s="5"/>
      <c r="U100" s="5"/>
      <c r="V100" s="5"/>
      <c r="W100" s="5"/>
    </row>
    <row r="101" spans="1:206" x14ac:dyDescent="0.2">
      <c r="A101" s="5">
        <v>50</v>
      </c>
      <c r="B101" s="5">
        <v>0</v>
      </c>
      <c r="C101" s="5">
        <v>0</v>
      </c>
      <c r="D101" s="5">
        <v>1</v>
      </c>
      <c r="E101" s="5">
        <v>209</v>
      </c>
      <c r="F101" s="5">
        <f>ROUND(Source!W77,O101)</f>
        <v>0</v>
      </c>
      <c r="G101" s="5" t="s">
        <v>172</v>
      </c>
      <c r="H101" s="5" t="s">
        <v>173</v>
      </c>
      <c r="I101" s="5"/>
      <c r="J101" s="5"/>
      <c r="K101" s="5">
        <v>209</v>
      </c>
      <c r="L101" s="5">
        <v>23</v>
      </c>
      <c r="M101" s="5">
        <v>3</v>
      </c>
      <c r="N101" s="5" t="s">
        <v>4</v>
      </c>
      <c r="O101" s="5">
        <v>2</v>
      </c>
      <c r="P101" s="5">
        <f>ROUND(Source!DO77,O101)</f>
        <v>0</v>
      </c>
      <c r="Q101" s="5"/>
      <c r="R101" s="5"/>
      <c r="S101" s="5"/>
      <c r="T101" s="5"/>
      <c r="U101" s="5"/>
      <c r="V101" s="5"/>
      <c r="W101" s="5"/>
    </row>
    <row r="102" spans="1:206" x14ac:dyDescent="0.2">
      <c r="A102" s="5">
        <v>50</v>
      </c>
      <c r="B102" s="5">
        <v>0</v>
      </c>
      <c r="C102" s="5">
        <v>0</v>
      </c>
      <c r="D102" s="5">
        <v>1</v>
      </c>
      <c r="E102" s="5">
        <v>210</v>
      </c>
      <c r="F102" s="5">
        <f>ROUND(Source!X77,O102)</f>
        <v>2028.81</v>
      </c>
      <c r="G102" s="5" t="s">
        <v>174</v>
      </c>
      <c r="H102" s="5" t="s">
        <v>175</v>
      </c>
      <c r="I102" s="5"/>
      <c r="J102" s="5"/>
      <c r="K102" s="5">
        <v>210</v>
      </c>
      <c r="L102" s="5">
        <v>24</v>
      </c>
      <c r="M102" s="5">
        <v>3</v>
      </c>
      <c r="N102" s="5" t="s">
        <v>4</v>
      </c>
      <c r="O102" s="5">
        <v>2</v>
      </c>
      <c r="P102" s="5">
        <f>ROUND(Source!DP77,O102)</f>
        <v>12335.23</v>
      </c>
      <c r="Q102" s="5"/>
      <c r="R102" s="5"/>
      <c r="S102" s="5"/>
      <c r="T102" s="5"/>
      <c r="U102" s="5"/>
      <c r="V102" s="5"/>
      <c r="W102" s="5"/>
    </row>
    <row r="103" spans="1:206" x14ac:dyDescent="0.2">
      <c r="A103" s="5">
        <v>50</v>
      </c>
      <c r="B103" s="5">
        <v>0</v>
      </c>
      <c r="C103" s="5">
        <v>0</v>
      </c>
      <c r="D103" s="5">
        <v>1</v>
      </c>
      <c r="E103" s="5">
        <v>211</v>
      </c>
      <c r="F103" s="5">
        <f>ROUND(Source!Y77,O103)</f>
        <v>1248.08</v>
      </c>
      <c r="G103" s="5" t="s">
        <v>176</v>
      </c>
      <c r="H103" s="5" t="s">
        <v>177</v>
      </c>
      <c r="I103" s="5"/>
      <c r="J103" s="5"/>
      <c r="K103" s="5">
        <v>211</v>
      </c>
      <c r="L103" s="5">
        <v>25</v>
      </c>
      <c r="M103" s="5">
        <v>3</v>
      </c>
      <c r="N103" s="5" t="s">
        <v>4</v>
      </c>
      <c r="O103" s="5">
        <v>2</v>
      </c>
      <c r="P103" s="5">
        <f>ROUND(Source!DQ77,O103)</f>
        <v>7588.27</v>
      </c>
      <c r="Q103" s="5"/>
      <c r="R103" s="5"/>
      <c r="S103" s="5"/>
      <c r="T103" s="5"/>
      <c r="U103" s="5"/>
      <c r="V103" s="5"/>
      <c r="W103" s="5"/>
    </row>
    <row r="104" spans="1:206" x14ac:dyDescent="0.2">
      <c r="A104" s="5">
        <v>50</v>
      </c>
      <c r="B104" s="5">
        <v>0</v>
      </c>
      <c r="C104" s="5">
        <v>0</v>
      </c>
      <c r="D104" s="5">
        <v>1</v>
      </c>
      <c r="E104" s="5">
        <v>0</v>
      </c>
      <c r="F104" s="5">
        <f>ROUND(Source!AR77,O104)</f>
        <v>18683.21</v>
      </c>
      <c r="G104" s="5" t="s">
        <v>178</v>
      </c>
      <c r="H104" s="5" t="s">
        <v>179</v>
      </c>
      <c r="I104" s="5"/>
      <c r="J104" s="5"/>
      <c r="K104" s="5">
        <v>224</v>
      </c>
      <c r="L104" s="5">
        <v>26</v>
      </c>
      <c r="M104" s="5">
        <v>3</v>
      </c>
      <c r="N104" s="5" t="s">
        <v>4</v>
      </c>
      <c r="O104" s="5">
        <v>2</v>
      </c>
      <c r="P104" s="5">
        <f>ROUND(Source!EJ77,O104)</f>
        <v>113593.95</v>
      </c>
      <c r="Q104" s="5"/>
      <c r="R104" s="5"/>
      <c r="S104" s="5"/>
      <c r="T104" s="5"/>
      <c r="U104" s="5"/>
      <c r="V104" s="5"/>
      <c r="W104" s="5"/>
    </row>
    <row r="105" spans="1:206" x14ac:dyDescent="0.2">
      <c r="A105" s="5">
        <v>50</v>
      </c>
      <c r="B105" s="5">
        <v>1</v>
      </c>
      <c r="C105" s="5">
        <v>0</v>
      </c>
      <c r="D105" s="5">
        <v>2</v>
      </c>
      <c r="E105" s="5">
        <v>0</v>
      </c>
      <c r="F105" s="5">
        <f>ROUND(F104,O105)</f>
        <v>18683.21</v>
      </c>
      <c r="G105" s="5" t="s">
        <v>180</v>
      </c>
      <c r="H105" s="5" t="s">
        <v>178</v>
      </c>
      <c r="I105" s="5"/>
      <c r="J105" s="5"/>
      <c r="K105" s="5">
        <v>212</v>
      </c>
      <c r="L105" s="5">
        <v>27</v>
      </c>
      <c r="M105" s="5">
        <v>0</v>
      </c>
      <c r="N105" s="5" t="s">
        <v>4</v>
      </c>
      <c r="O105" s="5">
        <v>2</v>
      </c>
      <c r="P105" s="5">
        <f>ROUND(P104,O105)</f>
        <v>113593.95</v>
      </c>
      <c r="Q105" s="5"/>
      <c r="R105" s="5"/>
      <c r="S105" s="5"/>
      <c r="T105" s="5"/>
      <c r="U105" s="5"/>
      <c r="V105" s="5"/>
      <c r="W105" s="5"/>
    </row>
    <row r="106" spans="1:206" x14ac:dyDescent="0.2">
      <c r="A106" s="5">
        <v>50</v>
      </c>
      <c r="B106" s="5">
        <v>1</v>
      </c>
      <c r="C106" s="5">
        <v>0</v>
      </c>
      <c r="D106" s="5">
        <v>2</v>
      </c>
      <c r="E106" s="5">
        <v>0</v>
      </c>
      <c r="F106" s="5">
        <f>ROUND(F105*0.18,O106)</f>
        <v>3362.98</v>
      </c>
      <c r="G106" s="5" t="s">
        <v>181</v>
      </c>
      <c r="H106" s="5" t="s">
        <v>182</v>
      </c>
      <c r="I106" s="5"/>
      <c r="J106" s="5"/>
      <c r="K106" s="5">
        <v>212</v>
      </c>
      <c r="L106" s="5">
        <v>28</v>
      </c>
      <c r="M106" s="5">
        <v>0</v>
      </c>
      <c r="N106" s="5" t="s">
        <v>4</v>
      </c>
      <c r="O106" s="5">
        <v>2</v>
      </c>
      <c r="P106" s="5">
        <f>ROUND(P105*0.18,O106)</f>
        <v>20446.91</v>
      </c>
      <c r="Q106" s="5"/>
      <c r="R106" s="5"/>
      <c r="S106" s="5"/>
      <c r="T106" s="5"/>
      <c r="U106" s="5"/>
      <c r="V106" s="5"/>
      <c r="W106" s="5"/>
    </row>
    <row r="107" spans="1:206" x14ac:dyDescent="0.2">
      <c r="A107" s="5">
        <v>50</v>
      </c>
      <c r="B107" s="5">
        <v>1</v>
      </c>
      <c r="C107" s="5">
        <v>0</v>
      </c>
      <c r="D107" s="5">
        <v>2</v>
      </c>
      <c r="E107" s="5">
        <v>224</v>
      </c>
      <c r="F107" s="5">
        <f>ROUND(F105+F106,O107)</f>
        <v>22046.19</v>
      </c>
      <c r="G107" s="5" t="s">
        <v>183</v>
      </c>
      <c r="H107" s="5" t="s">
        <v>184</v>
      </c>
      <c r="I107" s="5"/>
      <c r="J107" s="5"/>
      <c r="K107" s="5">
        <v>212</v>
      </c>
      <c r="L107" s="5">
        <v>29</v>
      </c>
      <c r="M107" s="5">
        <v>0</v>
      </c>
      <c r="N107" s="5" t="s">
        <v>4</v>
      </c>
      <c r="O107" s="5">
        <v>2</v>
      </c>
      <c r="P107" s="5">
        <f>ROUND(P105+P106,O107)</f>
        <v>134040.85999999999</v>
      </c>
      <c r="Q107" s="5"/>
      <c r="R107" s="5"/>
      <c r="S107" s="5"/>
      <c r="T107" s="5"/>
      <c r="U107" s="5"/>
      <c r="V107" s="5"/>
      <c r="W107" s="5"/>
    </row>
    <row r="109" spans="1:206" x14ac:dyDescent="0.2">
      <c r="A109" s="3">
        <v>51</v>
      </c>
      <c r="B109" s="3">
        <f>B12</f>
        <v>170</v>
      </c>
      <c r="C109" s="3">
        <f>A12</f>
        <v>1</v>
      </c>
      <c r="D109" s="3">
        <f>ROW(A12)</f>
        <v>12</v>
      </c>
      <c r="E109" s="3"/>
      <c r="F109" s="3" t="str">
        <f>IF(F12&lt;&gt;"",F12,"")</f>
        <v/>
      </c>
      <c r="G109" s="3" t="str">
        <f>IF(G12&lt;&gt;"",G12,"")</f>
        <v>Капитальный ремонт помещения №36 ОТИ НИЯУ МИФИ</v>
      </c>
      <c r="H109" s="3">
        <v>0</v>
      </c>
      <c r="I109" s="3"/>
      <c r="J109" s="3"/>
      <c r="K109" s="3"/>
      <c r="L109" s="3"/>
      <c r="M109" s="3"/>
      <c r="N109" s="3"/>
      <c r="O109" s="3">
        <f t="shared" ref="O109:T109" si="104">ROUND(O77,2)</f>
        <v>15406.32</v>
      </c>
      <c r="P109" s="3">
        <f t="shared" si="104"/>
        <v>13134.48</v>
      </c>
      <c r="Q109" s="3">
        <f t="shared" si="104"/>
        <v>59.39</v>
      </c>
      <c r="R109" s="3">
        <f t="shared" si="104"/>
        <v>19.95</v>
      </c>
      <c r="S109" s="3">
        <f t="shared" si="104"/>
        <v>2212.4499999999998</v>
      </c>
      <c r="T109" s="3">
        <f t="shared" si="104"/>
        <v>0</v>
      </c>
      <c r="U109" s="3">
        <f>U77</f>
        <v>258.46641549999998</v>
      </c>
      <c r="V109" s="3">
        <f>V77</f>
        <v>1.7466025000000001</v>
      </c>
      <c r="W109" s="3">
        <f>ROUND(W77,2)</f>
        <v>0</v>
      </c>
      <c r="X109" s="3">
        <f>ROUND(X77,2)</f>
        <v>2028.81</v>
      </c>
      <c r="Y109" s="3">
        <f>ROUND(Y77,2)</f>
        <v>1248.08</v>
      </c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>
        <f t="shared" ref="AO109:BC109" si="105">ROUND(AO77,2)</f>
        <v>0</v>
      </c>
      <c r="AP109" s="3">
        <f t="shared" si="105"/>
        <v>0</v>
      </c>
      <c r="AQ109" s="3">
        <f t="shared" si="105"/>
        <v>0</v>
      </c>
      <c r="AR109" s="3">
        <f t="shared" si="105"/>
        <v>18683.21</v>
      </c>
      <c r="AS109" s="3">
        <f t="shared" si="105"/>
        <v>18683.21</v>
      </c>
      <c r="AT109" s="3">
        <f t="shared" si="105"/>
        <v>0</v>
      </c>
      <c r="AU109" s="3">
        <f t="shared" si="105"/>
        <v>0</v>
      </c>
      <c r="AV109" s="3">
        <f t="shared" si="105"/>
        <v>13134.48</v>
      </c>
      <c r="AW109" s="3">
        <f t="shared" si="105"/>
        <v>13134.48</v>
      </c>
      <c r="AX109" s="3">
        <f t="shared" si="105"/>
        <v>0</v>
      </c>
      <c r="AY109" s="3">
        <f t="shared" si="105"/>
        <v>13134.48</v>
      </c>
      <c r="AZ109" s="3">
        <f t="shared" si="105"/>
        <v>0</v>
      </c>
      <c r="BA109" s="3">
        <f t="shared" si="105"/>
        <v>0</v>
      </c>
      <c r="BB109" s="3">
        <f t="shared" si="105"/>
        <v>0</v>
      </c>
      <c r="BC109" s="3">
        <f t="shared" si="105"/>
        <v>0</v>
      </c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  <c r="CE109" s="3"/>
      <c r="CF109" s="3"/>
      <c r="CG109" s="3"/>
      <c r="CH109" s="3"/>
      <c r="CI109" s="3"/>
      <c r="CJ109" s="3"/>
      <c r="CK109" s="3"/>
      <c r="CL109" s="3"/>
      <c r="CM109" s="3"/>
      <c r="CN109" s="3"/>
      <c r="CO109" s="3"/>
      <c r="CP109" s="3"/>
      <c r="CQ109" s="3"/>
      <c r="CR109" s="3"/>
      <c r="CS109" s="3"/>
      <c r="CT109" s="3"/>
      <c r="CU109" s="3"/>
      <c r="CV109" s="3"/>
      <c r="CW109" s="3"/>
      <c r="CX109" s="3"/>
      <c r="CY109" s="3"/>
      <c r="CZ109" s="3"/>
      <c r="DA109" s="3"/>
      <c r="DB109" s="3"/>
      <c r="DC109" s="3"/>
      <c r="DD109" s="3"/>
      <c r="DE109" s="3"/>
      <c r="DF109" s="3"/>
      <c r="DG109" s="4">
        <f t="shared" ref="DG109:DL109" si="106">ROUND(DG77,2)</f>
        <v>93670.45</v>
      </c>
      <c r="DH109" s="4">
        <f t="shared" si="106"/>
        <v>79857.66</v>
      </c>
      <c r="DI109" s="4">
        <f t="shared" si="106"/>
        <v>361.03</v>
      </c>
      <c r="DJ109" s="4">
        <f t="shared" si="106"/>
        <v>121.32</v>
      </c>
      <c r="DK109" s="4">
        <f t="shared" si="106"/>
        <v>13451.76</v>
      </c>
      <c r="DL109" s="4">
        <f t="shared" si="106"/>
        <v>0</v>
      </c>
      <c r="DM109" s="4">
        <f>DM77</f>
        <v>258.46641549999998</v>
      </c>
      <c r="DN109" s="4">
        <f>DN77</f>
        <v>1.7466025000000001</v>
      </c>
      <c r="DO109" s="4">
        <f>ROUND(DO77,2)</f>
        <v>0</v>
      </c>
      <c r="DP109" s="4">
        <f>ROUND(DP77,2)</f>
        <v>12335.23</v>
      </c>
      <c r="DQ109" s="4">
        <f>ROUND(DQ77,2)</f>
        <v>7588.27</v>
      </c>
      <c r="DR109" s="4"/>
      <c r="DS109" s="4"/>
      <c r="DT109" s="4"/>
      <c r="DU109" s="4"/>
      <c r="DV109" s="4"/>
      <c r="DW109" s="4"/>
      <c r="DX109" s="4"/>
      <c r="DY109" s="4"/>
      <c r="DZ109" s="4"/>
      <c r="EA109" s="4"/>
      <c r="EB109" s="4"/>
      <c r="EC109" s="4"/>
      <c r="ED109" s="4"/>
      <c r="EE109" s="4"/>
      <c r="EF109" s="4"/>
      <c r="EG109" s="4">
        <f t="shared" ref="EG109:EU109" si="107">ROUND(EG77,2)</f>
        <v>0</v>
      </c>
      <c r="EH109" s="4">
        <f t="shared" si="107"/>
        <v>0</v>
      </c>
      <c r="EI109" s="4">
        <f t="shared" si="107"/>
        <v>0</v>
      </c>
      <c r="EJ109" s="4">
        <f t="shared" si="107"/>
        <v>113593.95</v>
      </c>
      <c r="EK109" s="4">
        <f t="shared" si="107"/>
        <v>113593.95</v>
      </c>
      <c r="EL109" s="4">
        <f t="shared" si="107"/>
        <v>0</v>
      </c>
      <c r="EM109" s="4">
        <f t="shared" si="107"/>
        <v>0</v>
      </c>
      <c r="EN109" s="4">
        <f t="shared" si="107"/>
        <v>79857.66</v>
      </c>
      <c r="EO109" s="4">
        <f t="shared" si="107"/>
        <v>79857.66</v>
      </c>
      <c r="EP109" s="4">
        <f t="shared" si="107"/>
        <v>0</v>
      </c>
      <c r="EQ109" s="4">
        <f t="shared" si="107"/>
        <v>79857.66</v>
      </c>
      <c r="ER109" s="4">
        <f t="shared" si="107"/>
        <v>0</v>
      </c>
      <c r="ES109" s="4">
        <f t="shared" si="107"/>
        <v>0</v>
      </c>
      <c r="ET109" s="4">
        <f t="shared" si="107"/>
        <v>0</v>
      </c>
      <c r="EU109" s="4">
        <f t="shared" si="107"/>
        <v>0</v>
      </c>
      <c r="EV109" s="4"/>
      <c r="EW109" s="4"/>
      <c r="EX109" s="4"/>
      <c r="EY109" s="4"/>
      <c r="EZ109" s="4"/>
      <c r="FA109" s="4"/>
      <c r="FB109" s="4"/>
      <c r="FC109" s="4"/>
      <c r="FD109" s="4"/>
      <c r="FE109" s="4"/>
      <c r="FF109" s="4"/>
      <c r="FG109" s="4"/>
      <c r="FH109" s="4"/>
      <c r="FI109" s="4"/>
      <c r="FJ109" s="4"/>
      <c r="FK109" s="4"/>
      <c r="FL109" s="4"/>
      <c r="FM109" s="4"/>
      <c r="FN109" s="4"/>
      <c r="FO109" s="4"/>
      <c r="FP109" s="4"/>
      <c r="FQ109" s="4"/>
      <c r="FR109" s="4"/>
      <c r="FS109" s="4"/>
      <c r="FT109" s="4"/>
      <c r="FU109" s="4"/>
      <c r="FV109" s="4"/>
      <c r="FW109" s="4"/>
      <c r="FX109" s="4"/>
      <c r="FY109" s="4"/>
      <c r="FZ109" s="4"/>
      <c r="GA109" s="4"/>
      <c r="GB109" s="4"/>
      <c r="GC109" s="4"/>
      <c r="GD109" s="4"/>
      <c r="GE109" s="4"/>
      <c r="GF109" s="4"/>
      <c r="GG109" s="4"/>
      <c r="GH109" s="4"/>
      <c r="GI109" s="4"/>
      <c r="GJ109" s="4"/>
      <c r="GK109" s="4"/>
      <c r="GL109" s="4"/>
      <c r="GM109" s="4"/>
      <c r="GN109" s="4"/>
      <c r="GO109" s="4"/>
      <c r="GP109" s="4"/>
      <c r="GQ109" s="4"/>
      <c r="GR109" s="4"/>
      <c r="GS109" s="4"/>
      <c r="GT109" s="4"/>
      <c r="GU109" s="4"/>
      <c r="GV109" s="4"/>
      <c r="GW109" s="4"/>
      <c r="GX109" s="4">
        <v>0</v>
      </c>
    </row>
    <row r="111" spans="1:206" x14ac:dyDescent="0.2">
      <c r="A111" s="5">
        <v>50</v>
      </c>
      <c r="B111" s="5">
        <v>0</v>
      </c>
      <c r="C111" s="5">
        <v>0</v>
      </c>
      <c r="D111" s="5">
        <v>1</v>
      </c>
      <c r="E111" s="5">
        <v>201</v>
      </c>
      <c r="F111" s="5">
        <f>ROUND(Source!O109,O111)</f>
        <v>15406.32</v>
      </c>
      <c r="G111" s="5" t="s">
        <v>128</v>
      </c>
      <c r="H111" s="5" t="s">
        <v>129</v>
      </c>
      <c r="I111" s="5"/>
      <c r="J111" s="5"/>
      <c r="K111" s="5">
        <v>201</v>
      </c>
      <c r="L111" s="5">
        <v>1</v>
      </c>
      <c r="M111" s="5">
        <v>3</v>
      </c>
      <c r="N111" s="5" t="s">
        <v>4</v>
      </c>
      <c r="O111" s="5">
        <v>2</v>
      </c>
      <c r="P111" s="5">
        <f>ROUND(Source!DG109,O111)</f>
        <v>93670.45</v>
      </c>
      <c r="Q111" s="5"/>
      <c r="R111" s="5"/>
      <c r="S111" s="5"/>
      <c r="T111" s="5"/>
      <c r="U111" s="5"/>
      <c r="V111" s="5"/>
      <c r="W111" s="5"/>
    </row>
    <row r="112" spans="1:206" x14ac:dyDescent="0.2">
      <c r="A112" s="5">
        <v>50</v>
      </c>
      <c r="B112" s="5">
        <v>0</v>
      </c>
      <c r="C112" s="5">
        <v>0</v>
      </c>
      <c r="D112" s="5">
        <v>1</v>
      </c>
      <c r="E112" s="5">
        <v>202</v>
      </c>
      <c r="F112" s="5">
        <f>ROUND(Source!P109,O112)</f>
        <v>13134.48</v>
      </c>
      <c r="G112" s="5" t="s">
        <v>130</v>
      </c>
      <c r="H112" s="5" t="s">
        <v>131</v>
      </c>
      <c r="I112" s="5"/>
      <c r="J112" s="5"/>
      <c r="K112" s="5">
        <v>202</v>
      </c>
      <c r="L112" s="5">
        <v>2</v>
      </c>
      <c r="M112" s="5">
        <v>3</v>
      </c>
      <c r="N112" s="5" t="s">
        <v>4</v>
      </c>
      <c r="O112" s="5">
        <v>2</v>
      </c>
      <c r="P112" s="5">
        <f>ROUND(Source!DH109,O112)</f>
        <v>79857.66</v>
      </c>
      <c r="Q112" s="5"/>
      <c r="R112" s="5"/>
      <c r="S112" s="5"/>
      <c r="T112" s="5"/>
      <c r="U112" s="5"/>
      <c r="V112" s="5"/>
      <c r="W112" s="5"/>
    </row>
    <row r="113" spans="1:23" x14ac:dyDescent="0.2">
      <c r="A113" s="5">
        <v>50</v>
      </c>
      <c r="B113" s="5">
        <v>0</v>
      </c>
      <c r="C113" s="5">
        <v>0</v>
      </c>
      <c r="D113" s="5">
        <v>1</v>
      </c>
      <c r="E113" s="5">
        <v>222</v>
      </c>
      <c r="F113" s="5">
        <f>ROUND(Source!AO109,O113)</f>
        <v>0</v>
      </c>
      <c r="G113" s="5" t="s">
        <v>132</v>
      </c>
      <c r="H113" s="5" t="s">
        <v>133</v>
      </c>
      <c r="I113" s="5"/>
      <c r="J113" s="5"/>
      <c r="K113" s="5">
        <v>222</v>
      </c>
      <c r="L113" s="5">
        <v>3</v>
      </c>
      <c r="M113" s="5">
        <v>3</v>
      </c>
      <c r="N113" s="5" t="s">
        <v>4</v>
      </c>
      <c r="O113" s="5">
        <v>2</v>
      </c>
      <c r="P113" s="5">
        <f>ROUND(Source!EG109,O113)</f>
        <v>0</v>
      </c>
      <c r="Q113" s="5"/>
      <c r="R113" s="5"/>
      <c r="S113" s="5"/>
      <c r="T113" s="5"/>
      <c r="U113" s="5"/>
      <c r="V113" s="5"/>
      <c r="W113" s="5"/>
    </row>
    <row r="114" spans="1:23" x14ac:dyDescent="0.2">
      <c r="A114" s="5">
        <v>50</v>
      </c>
      <c r="B114" s="5">
        <v>0</v>
      </c>
      <c r="C114" s="5">
        <v>0</v>
      </c>
      <c r="D114" s="5">
        <v>1</v>
      </c>
      <c r="E114" s="5">
        <v>225</v>
      </c>
      <c r="F114" s="5">
        <f>ROUND(Source!AV109,O114)</f>
        <v>13134.48</v>
      </c>
      <c r="G114" s="5" t="s">
        <v>134</v>
      </c>
      <c r="H114" s="5" t="s">
        <v>135</v>
      </c>
      <c r="I114" s="5"/>
      <c r="J114" s="5"/>
      <c r="K114" s="5">
        <v>225</v>
      </c>
      <c r="L114" s="5">
        <v>4</v>
      </c>
      <c r="M114" s="5">
        <v>3</v>
      </c>
      <c r="N114" s="5" t="s">
        <v>4</v>
      </c>
      <c r="O114" s="5">
        <v>2</v>
      </c>
      <c r="P114" s="5">
        <f>ROUND(Source!EN109,O114)</f>
        <v>79857.66</v>
      </c>
      <c r="Q114" s="5"/>
      <c r="R114" s="5"/>
      <c r="S114" s="5"/>
      <c r="T114" s="5"/>
      <c r="U114" s="5"/>
      <c r="V114" s="5"/>
      <c r="W114" s="5"/>
    </row>
    <row r="115" spans="1:23" x14ac:dyDescent="0.2">
      <c r="A115" s="5">
        <v>50</v>
      </c>
      <c r="B115" s="5">
        <v>0</v>
      </c>
      <c r="C115" s="5">
        <v>0</v>
      </c>
      <c r="D115" s="5">
        <v>1</v>
      </c>
      <c r="E115" s="5">
        <v>226</v>
      </c>
      <c r="F115" s="5">
        <f>ROUND(Source!AW109,O115)</f>
        <v>13134.48</v>
      </c>
      <c r="G115" s="5" t="s">
        <v>136</v>
      </c>
      <c r="H115" s="5" t="s">
        <v>137</v>
      </c>
      <c r="I115" s="5"/>
      <c r="J115" s="5"/>
      <c r="K115" s="5">
        <v>226</v>
      </c>
      <c r="L115" s="5">
        <v>5</v>
      </c>
      <c r="M115" s="5">
        <v>3</v>
      </c>
      <c r="N115" s="5" t="s">
        <v>4</v>
      </c>
      <c r="O115" s="5">
        <v>2</v>
      </c>
      <c r="P115" s="5">
        <f>ROUND(Source!EO109,O115)</f>
        <v>79857.66</v>
      </c>
      <c r="Q115" s="5"/>
      <c r="R115" s="5"/>
      <c r="S115" s="5"/>
      <c r="T115" s="5"/>
      <c r="U115" s="5"/>
      <c r="V115" s="5"/>
      <c r="W115" s="5"/>
    </row>
    <row r="116" spans="1:23" x14ac:dyDescent="0.2">
      <c r="A116" s="5">
        <v>50</v>
      </c>
      <c r="B116" s="5">
        <v>0</v>
      </c>
      <c r="C116" s="5">
        <v>0</v>
      </c>
      <c r="D116" s="5">
        <v>1</v>
      </c>
      <c r="E116" s="5">
        <v>227</v>
      </c>
      <c r="F116" s="5">
        <f>ROUND(Source!AX109,O116)</f>
        <v>0</v>
      </c>
      <c r="G116" s="5" t="s">
        <v>138</v>
      </c>
      <c r="H116" s="5" t="s">
        <v>139</v>
      </c>
      <c r="I116" s="5"/>
      <c r="J116" s="5"/>
      <c r="K116" s="5">
        <v>227</v>
      </c>
      <c r="L116" s="5">
        <v>6</v>
      </c>
      <c r="M116" s="5">
        <v>3</v>
      </c>
      <c r="N116" s="5" t="s">
        <v>4</v>
      </c>
      <c r="O116" s="5">
        <v>2</v>
      </c>
      <c r="P116" s="5">
        <f>ROUND(Source!EP109,O116)</f>
        <v>0</v>
      </c>
      <c r="Q116" s="5"/>
      <c r="R116" s="5"/>
      <c r="S116" s="5"/>
      <c r="T116" s="5"/>
      <c r="U116" s="5"/>
      <c r="V116" s="5"/>
      <c r="W116" s="5"/>
    </row>
    <row r="117" spans="1:23" x14ac:dyDescent="0.2">
      <c r="A117" s="5">
        <v>50</v>
      </c>
      <c r="B117" s="5">
        <v>0</v>
      </c>
      <c r="C117" s="5">
        <v>0</v>
      </c>
      <c r="D117" s="5">
        <v>1</v>
      </c>
      <c r="E117" s="5">
        <v>228</v>
      </c>
      <c r="F117" s="5">
        <f>ROUND(Source!AY109,O117)</f>
        <v>13134.48</v>
      </c>
      <c r="G117" s="5" t="s">
        <v>140</v>
      </c>
      <c r="H117" s="5" t="s">
        <v>141</v>
      </c>
      <c r="I117" s="5"/>
      <c r="J117" s="5"/>
      <c r="K117" s="5">
        <v>228</v>
      </c>
      <c r="L117" s="5">
        <v>7</v>
      </c>
      <c r="M117" s="5">
        <v>3</v>
      </c>
      <c r="N117" s="5" t="s">
        <v>4</v>
      </c>
      <c r="O117" s="5">
        <v>2</v>
      </c>
      <c r="P117" s="5">
        <f>ROUND(Source!EQ109,O117)</f>
        <v>79857.66</v>
      </c>
      <c r="Q117" s="5"/>
      <c r="R117" s="5"/>
      <c r="S117" s="5"/>
      <c r="T117" s="5"/>
      <c r="U117" s="5"/>
      <c r="V117" s="5"/>
      <c r="W117" s="5"/>
    </row>
    <row r="118" spans="1:23" x14ac:dyDescent="0.2">
      <c r="A118" s="5">
        <v>50</v>
      </c>
      <c r="B118" s="5">
        <v>0</v>
      </c>
      <c r="C118" s="5">
        <v>0</v>
      </c>
      <c r="D118" s="5">
        <v>1</v>
      </c>
      <c r="E118" s="5">
        <v>216</v>
      </c>
      <c r="F118" s="5">
        <f>ROUND(Source!AP109,O118)</f>
        <v>0</v>
      </c>
      <c r="G118" s="5" t="s">
        <v>142</v>
      </c>
      <c r="H118" s="5" t="s">
        <v>143</v>
      </c>
      <c r="I118" s="5"/>
      <c r="J118" s="5"/>
      <c r="K118" s="5">
        <v>216</v>
      </c>
      <c r="L118" s="5">
        <v>8</v>
      </c>
      <c r="M118" s="5">
        <v>3</v>
      </c>
      <c r="N118" s="5" t="s">
        <v>4</v>
      </c>
      <c r="O118" s="5">
        <v>2</v>
      </c>
      <c r="P118" s="5">
        <f>ROUND(Source!EH109,O118)</f>
        <v>0</v>
      </c>
      <c r="Q118" s="5"/>
      <c r="R118" s="5"/>
      <c r="S118" s="5"/>
      <c r="T118" s="5"/>
      <c r="U118" s="5"/>
      <c r="V118" s="5"/>
      <c r="W118" s="5"/>
    </row>
    <row r="119" spans="1:23" x14ac:dyDescent="0.2">
      <c r="A119" s="5">
        <v>50</v>
      </c>
      <c r="B119" s="5">
        <v>0</v>
      </c>
      <c r="C119" s="5">
        <v>0</v>
      </c>
      <c r="D119" s="5">
        <v>1</v>
      </c>
      <c r="E119" s="5">
        <v>223</v>
      </c>
      <c r="F119" s="5">
        <f>ROUND(Source!AQ109,O119)</f>
        <v>0</v>
      </c>
      <c r="G119" s="5" t="s">
        <v>144</v>
      </c>
      <c r="H119" s="5" t="s">
        <v>145</v>
      </c>
      <c r="I119" s="5"/>
      <c r="J119" s="5"/>
      <c r="K119" s="5">
        <v>223</v>
      </c>
      <c r="L119" s="5">
        <v>9</v>
      </c>
      <c r="M119" s="5">
        <v>3</v>
      </c>
      <c r="N119" s="5" t="s">
        <v>4</v>
      </c>
      <c r="O119" s="5">
        <v>2</v>
      </c>
      <c r="P119" s="5">
        <f>ROUND(Source!EI109,O119)</f>
        <v>0</v>
      </c>
      <c r="Q119" s="5"/>
      <c r="R119" s="5"/>
      <c r="S119" s="5"/>
      <c r="T119" s="5"/>
      <c r="U119" s="5"/>
      <c r="V119" s="5"/>
      <c r="W119" s="5"/>
    </row>
    <row r="120" spans="1:23" x14ac:dyDescent="0.2">
      <c r="A120" s="5">
        <v>50</v>
      </c>
      <c r="B120" s="5">
        <v>0</v>
      </c>
      <c r="C120" s="5">
        <v>0</v>
      </c>
      <c r="D120" s="5">
        <v>1</v>
      </c>
      <c r="E120" s="5">
        <v>229</v>
      </c>
      <c r="F120" s="5">
        <f>ROUND(Source!AZ109,O120)</f>
        <v>0</v>
      </c>
      <c r="G120" s="5" t="s">
        <v>146</v>
      </c>
      <c r="H120" s="5" t="s">
        <v>147</v>
      </c>
      <c r="I120" s="5"/>
      <c r="J120" s="5"/>
      <c r="K120" s="5">
        <v>229</v>
      </c>
      <c r="L120" s="5">
        <v>10</v>
      </c>
      <c r="M120" s="5">
        <v>3</v>
      </c>
      <c r="N120" s="5" t="s">
        <v>4</v>
      </c>
      <c r="O120" s="5">
        <v>2</v>
      </c>
      <c r="P120" s="5">
        <f>ROUND(Source!ER109,O120)</f>
        <v>0</v>
      </c>
      <c r="Q120" s="5"/>
      <c r="R120" s="5"/>
      <c r="S120" s="5"/>
      <c r="T120" s="5"/>
      <c r="U120" s="5"/>
      <c r="V120" s="5"/>
      <c r="W120" s="5"/>
    </row>
    <row r="121" spans="1:23" x14ac:dyDescent="0.2">
      <c r="A121" s="5">
        <v>50</v>
      </c>
      <c r="B121" s="5">
        <v>0</v>
      </c>
      <c r="C121" s="5">
        <v>0</v>
      </c>
      <c r="D121" s="5">
        <v>1</v>
      </c>
      <c r="E121" s="5">
        <v>203</v>
      </c>
      <c r="F121" s="5">
        <f>ROUND(Source!Q109,O121)</f>
        <v>59.39</v>
      </c>
      <c r="G121" s="5" t="s">
        <v>148</v>
      </c>
      <c r="H121" s="5" t="s">
        <v>149</v>
      </c>
      <c r="I121" s="5"/>
      <c r="J121" s="5"/>
      <c r="K121" s="5">
        <v>203</v>
      </c>
      <c r="L121" s="5">
        <v>11</v>
      </c>
      <c r="M121" s="5">
        <v>3</v>
      </c>
      <c r="N121" s="5" t="s">
        <v>4</v>
      </c>
      <c r="O121" s="5">
        <v>2</v>
      </c>
      <c r="P121" s="5">
        <f>ROUND(Source!DI109,O121)</f>
        <v>361.03</v>
      </c>
      <c r="Q121" s="5"/>
      <c r="R121" s="5"/>
      <c r="S121" s="5"/>
      <c r="T121" s="5"/>
      <c r="U121" s="5"/>
      <c r="V121" s="5"/>
      <c r="W121" s="5"/>
    </row>
    <row r="122" spans="1:23" x14ac:dyDescent="0.2">
      <c r="A122" s="5">
        <v>50</v>
      </c>
      <c r="B122" s="5">
        <v>0</v>
      </c>
      <c r="C122" s="5">
        <v>0</v>
      </c>
      <c r="D122" s="5">
        <v>1</v>
      </c>
      <c r="E122" s="5">
        <v>231</v>
      </c>
      <c r="F122" s="5">
        <f>ROUND(Source!BB109,O122)</f>
        <v>0</v>
      </c>
      <c r="G122" s="5" t="s">
        <v>150</v>
      </c>
      <c r="H122" s="5" t="s">
        <v>151</v>
      </c>
      <c r="I122" s="5"/>
      <c r="J122" s="5"/>
      <c r="K122" s="5">
        <v>231</v>
      </c>
      <c r="L122" s="5">
        <v>12</v>
      </c>
      <c r="M122" s="5">
        <v>3</v>
      </c>
      <c r="N122" s="5" t="s">
        <v>4</v>
      </c>
      <c r="O122" s="5">
        <v>2</v>
      </c>
      <c r="P122" s="5">
        <f>ROUND(Source!ET109,O122)</f>
        <v>0</v>
      </c>
      <c r="Q122" s="5"/>
      <c r="R122" s="5"/>
      <c r="S122" s="5"/>
      <c r="T122" s="5"/>
      <c r="U122" s="5"/>
      <c r="V122" s="5"/>
      <c r="W122" s="5"/>
    </row>
    <row r="123" spans="1:23" x14ac:dyDescent="0.2">
      <c r="A123" s="5">
        <v>50</v>
      </c>
      <c r="B123" s="5">
        <v>0</v>
      </c>
      <c r="C123" s="5">
        <v>0</v>
      </c>
      <c r="D123" s="5">
        <v>1</v>
      </c>
      <c r="E123" s="5">
        <v>204</v>
      </c>
      <c r="F123" s="5">
        <f>ROUND(Source!R109,O123)</f>
        <v>19.95</v>
      </c>
      <c r="G123" s="5" t="s">
        <v>152</v>
      </c>
      <c r="H123" s="5" t="s">
        <v>153</v>
      </c>
      <c r="I123" s="5"/>
      <c r="J123" s="5"/>
      <c r="K123" s="5">
        <v>204</v>
      </c>
      <c r="L123" s="5">
        <v>13</v>
      </c>
      <c r="M123" s="5">
        <v>3</v>
      </c>
      <c r="N123" s="5" t="s">
        <v>4</v>
      </c>
      <c r="O123" s="5">
        <v>2</v>
      </c>
      <c r="P123" s="5">
        <f>ROUND(Source!DJ109,O123)</f>
        <v>121.32</v>
      </c>
      <c r="Q123" s="5"/>
      <c r="R123" s="5"/>
      <c r="S123" s="5"/>
      <c r="T123" s="5"/>
      <c r="U123" s="5"/>
      <c r="V123" s="5"/>
      <c r="W123" s="5"/>
    </row>
    <row r="124" spans="1:23" x14ac:dyDescent="0.2">
      <c r="A124" s="5">
        <v>50</v>
      </c>
      <c r="B124" s="5">
        <v>0</v>
      </c>
      <c r="C124" s="5">
        <v>0</v>
      </c>
      <c r="D124" s="5">
        <v>1</v>
      </c>
      <c r="E124" s="5">
        <v>205</v>
      </c>
      <c r="F124" s="5">
        <f>ROUND(Source!S109,O124)</f>
        <v>2212.4499999999998</v>
      </c>
      <c r="G124" s="5" t="s">
        <v>154</v>
      </c>
      <c r="H124" s="5" t="s">
        <v>155</v>
      </c>
      <c r="I124" s="5"/>
      <c r="J124" s="5"/>
      <c r="K124" s="5">
        <v>205</v>
      </c>
      <c r="L124" s="5">
        <v>14</v>
      </c>
      <c r="M124" s="5">
        <v>3</v>
      </c>
      <c r="N124" s="5" t="s">
        <v>4</v>
      </c>
      <c r="O124" s="5">
        <v>2</v>
      </c>
      <c r="P124" s="5">
        <f>ROUND(Source!DK109,O124)</f>
        <v>13451.76</v>
      </c>
      <c r="Q124" s="5"/>
      <c r="R124" s="5"/>
      <c r="S124" s="5"/>
      <c r="T124" s="5"/>
      <c r="U124" s="5"/>
      <c r="V124" s="5"/>
      <c r="W124" s="5"/>
    </row>
    <row r="125" spans="1:23" x14ac:dyDescent="0.2">
      <c r="A125" s="5">
        <v>50</v>
      </c>
      <c r="B125" s="5">
        <v>0</v>
      </c>
      <c r="C125" s="5">
        <v>0</v>
      </c>
      <c r="D125" s="5">
        <v>1</v>
      </c>
      <c r="E125" s="5">
        <v>232</v>
      </c>
      <c r="F125" s="5">
        <f>ROUND(Source!BC109,O125)</f>
        <v>0</v>
      </c>
      <c r="G125" s="5" t="s">
        <v>156</v>
      </c>
      <c r="H125" s="5" t="s">
        <v>157</v>
      </c>
      <c r="I125" s="5"/>
      <c r="J125" s="5"/>
      <c r="K125" s="5">
        <v>232</v>
      </c>
      <c r="L125" s="5">
        <v>15</v>
      </c>
      <c r="M125" s="5">
        <v>3</v>
      </c>
      <c r="N125" s="5" t="s">
        <v>4</v>
      </c>
      <c r="O125" s="5">
        <v>2</v>
      </c>
      <c r="P125" s="5">
        <f>ROUND(Source!EU109,O125)</f>
        <v>0</v>
      </c>
      <c r="Q125" s="5"/>
      <c r="R125" s="5"/>
      <c r="S125" s="5"/>
      <c r="T125" s="5"/>
      <c r="U125" s="5"/>
      <c r="V125" s="5"/>
      <c r="W125" s="5"/>
    </row>
    <row r="126" spans="1:23" x14ac:dyDescent="0.2">
      <c r="A126" s="5">
        <v>50</v>
      </c>
      <c r="B126" s="5">
        <v>0</v>
      </c>
      <c r="C126" s="5">
        <v>0</v>
      </c>
      <c r="D126" s="5">
        <v>1</v>
      </c>
      <c r="E126" s="5">
        <v>214</v>
      </c>
      <c r="F126" s="5">
        <f>ROUND(Source!AS109,O126)</f>
        <v>18683.21</v>
      </c>
      <c r="G126" s="5" t="s">
        <v>158</v>
      </c>
      <c r="H126" s="5" t="s">
        <v>159</v>
      </c>
      <c r="I126" s="5"/>
      <c r="J126" s="5"/>
      <c r="K126" s="5">
        <v>214</v>
      </c>
      <c r="L126" s="5">
        <v>16</v>
      </c>
      <c r="M126" s="5">
        <v>3</v>
      </c>
      <c r="N126" s="5" t="s">
        <v>4</v>
      </c>
      <c r="O126" s="5">
        <v>2</v>
      </c>
      <c r="P126" s="5">
        <f>ROUND(Source!EK109,O126)</f>
        <v>113593.95</v>
      </c>
      <c r="Q126" s="5"/>
      <c r="R126" s="5"/>
      <c r="S126" s="5"/>
      <c r="T126" s="5"/>
      <c r="U126" s="5"/>
      <c r="V126" s="5"/>
      <c r="W126" s="5"/>
    </row>
    <row r="127" spans="1:23" x14ac:dyDescent="0.2">
      <c r="A127" s="5">
        <v>50</v>
      </c>
      <c r="B127" s="5">
        <v>0</v>
      </c>
      <c r="C127" s="5">
        <v>0</v>
      </c>
      <c r="D127" s="5">
        <v>1</v>
      </c>
      <c r="E127" s="5">
        <v>215</v>
      </c>
      <c r="F127" s="5">
        <f>ROUND(Source!AT109,O127)</f>
        <v>0</v>
      </c>
      <c r="G127" s="5" t="s">
        <v>160</v>
      </c>
      <c r="H127" s="5" t="s">
        <v>161</v>
      </c>
      <c r="I127" s="5"/>
      <c r="J127" s="5"/>
      <c r="K127" s="5">
        <v>215</v>
      </c>
      <c r="L127" s="5">
        <v>17</v>
      </c>
      <c r="M127" s="5">
        <v>3</v>
      </c>
      <c r="N127" s="5" t="s">
        <v>4</v>
      </c>
      <c r="O127" s="5">
        <v>2</v>
      </c>
      <c r="P127" s="5">
        <f>ROUND(Source!EL109,O127)</f>
        <v>0</v>
      </c>
      <c r="Q127" s="5"/>
      <c r="R127" s="5"/>
      <c r="S127" s="5"/>
      <c r="T127" s="5"/>
      <c r="U127" s="5"/>
      <c r="V127" s="5"/>
      <c r="W127" s="5"/>
    </row>
    <row r="128" spans="1:23" x14ac:dyDescent="0.2">
      <c r="A128" s="5">
        <v>50</v>
      </c>
      <c r="B128" s="5">
        <v>0</v>
      </c>
      <c r="C128" s="5">
        <v>0</v>
      </c>
      <c r="D128" s="5">
        <v>1</v>
      </c>
      <c r="E128" s="5">
        <v>217</v>
      </c>
      <c r="F128" s="5">
        <f>ROUND(Source!AU109,O128)</f>
        <v>0</v>
      </c>
      <c r="G128" s="5" t="s">
        <v>162</v>
      </c>
      <c r="H128" s="5" t="s">
        <v>163</v>
      </c>
      <c r="I128" s="5"/>
      <c r="J128" s="5"/>
      <c r="K128" s="5">
        <v>217</v>
      </c>
      <c r="L128" s="5">
        <v>18</v>
      </c>
      <c r="M128" s="5">
        <v>3</v>
      </c>
      <c r="N128" s="5" t="s">
        <v>4</v>
      </c>
      <c r="O128" s="5">
        <v>2</v>
      </c>
      <c r="P128" s="5">
        <f>ROUND(Source!EM109,O128)</f>
        <v>0</v>
      </c>
      <c r="Q128" s="5"/>
      <c r="R128" s="5"/>
      <c r="S128" s="5"/>
      <c r="T128" s="5"/>
      <c r="U128" s="5"/>
      <c r="V128" s="5"/>
      <c r="W128" s="5"/>
    </row>
    <row r="129" spans="1:23" x14ac:dyDescent="0.2">
      <c r="A129" s="5">
        <v>50</v>
      </c>
      <c r="B129" s="5">
        <v>0</v>
      </c>
      <c r="C129" s="5">
        <v>0</v>
      </c>
      <c r="D129" s="5">
        <v>1</v>
      </c>
      <c r="E129" s="5">
        <v>230</v>
      </c>
      <c r="F129" s="5">
        <f>ROUND(Source!BA109,O129)</f>
        <v>0</v>
      </c>
      <c r="G129" s="5" t="s">
        <v>164</v>
      </c>
      <c r="H129" s="5" t="s">
        <v>165</v>
      </c>
      <c r="I129" s="5"/>
      <c r="J129" s="5"/>
      <c r="K129" s="5">
        <v>230</v>
      </c>
      <c r="L129" s="5">
        <v>19</v>
      </c>
      <c r="M129" s="5">
        <v>3</v>
      </c>
      <c r="N129" s="5" t="s">
        <v>4</v>
      </c>
      <c r="O129" s="5">
        <v>2</v>
      </c>
      <c r="P129" s="5">
        <f>ROUND(Source!ES109,O129)</f>
        <v>0</v>
      </c>
      <c r="Q129" s="5"/>
      <c r="R129" s="5"/>
      <c r="S129" s="5"/>
      <c r="T129" s="5"/>
      <c r="U129" s="5"/>
      <c r="V129" s="5"/>
      <c r="W129" s="5"/>
    </row>
    <row r="130" spans="1:23" x14ac:dyDescent="0.2">
      <c r="A130" s="5">
        <v>50</v>
      </c>
      <c r="B130" s="5">
        <v>0</v>
      </c>
      <c r="C130" s="5">
        <v>0</v>
      </c>
      <c r="D130" s="5">
        <v>1</v>
      </c>
      <c r="E130" s="5">
        <v>206</v>
      </c>
      <c r="F130" s="5">
        <f>ROUND(Source!T109,O130)</f>
        <v>0</v>
      </c>
      <c r="G130" s="5" t="s">
        <v>166</v>
      </c>
      <c r="H130" s="5" t="s">
        <v>167</v>
      </c>
      <c r="I130" s="5"/>
      <c r="J130" s="5"/>
      <c r="K130" s="5">
        <v>206</v>
      </c>
      <c r="L130" s="5">
        <v>20</v>
      </c>
      <c r="M130" s="5">
        <v>3</v>
      </c>
      <c r="N130" s="5" t="s">
        <v>4</v>
      </c>
      <c r="O130" s="5">
        <v>2</v>
      </c>
      <c r="P130" s="5">
        <f>ROUND(Source!DL109,O130)</f>
        <v>0</v>
      </c>
      <c r="Q130" s="5"/>
      <c r="R130" s="5"/>
      <c r="S130" s="5"/>
      <c r="T130" s="5"/>
      <c r="U130" s="5"/>
      <c r="V130" s="5"/>
      <c r="W130" s="5"/>
    </row>
    <row r="131" spans="1:23" x14ac:dyDescent="0.2">
      <c r="A131" s="5">
        <v>50</v>
      </c>
      <c r="B131" s="5">
        <v>0</v>
      </c>
      <c r="C131" s="5">
        <v>0</v>
      </c>
      <c r="D131" s="5">
        <v>1</v>
      </c>
      <c r="E131" s="5">
        <v>207</v>
      </c>
      <c r="F131" s="5">
        <f>Source!U109</f>
        <v>258.46641549999998</v>
      </c>
      <c r="G131" s="5" t="s">
        <v>168</v>
      </c>
      <c r="H131" s="5" t="s">
        <v>169</v>
      </c>
      <c r="I131" s="5"/>
      <c r="J131" s="5"/>
      <c r="K131" s="5">
        <v>207</v>
      </c>
      <c r="L131" s="5">
        <v>21</v>
      </c>
      <c r="M131" s="5">
        <v>3</v>
      </c>
      <c r="N131" s="5" t="s">
        <v>4</v>
      </c>
      <c r="O131" s="5">
        <v>-1</v>
      </c>
      <c r="P131" s="5">
        <f>Source!DM109</f>
        <v>258.46641549999998</v>
      </c>
      <c r="Q131" s="5"/>
      <c r="R131" s="5"/>
      <c r="S131" s="5"/>
      <c r="T131" s="5"/>
      <c r="U131" s="5"/>
      <c r="V131" s="5"/>
      <c r="W131" s="5"/>
    </row>
    <row r="132" spans="1:23" x14ac:dyDescent="0.2">
      <c r="A132" s="5">
        <v>50</v>
      </c>
      <c r="B132" s="5">
        <v>0</v>
      </c>
      <c r="C132" s="5">
        <v>0</v>
      </c>
      <c r="D132" s="5">
        <v>1</v>
      </c>
      <c r="E132" s="5">
        <v>208</v>
      </c>
      <c r="F132" s="5">
        <f>Source!V109</f>
        <v>1.7466025000000001</v>
      </c>
      <c r="G132" s="5" t="s">
        <v>170</v>
      </c>
      <c r="H132" s="5" t="s">
        <v>171</v>
      </c>
      <c r="I132" s="5"/>
      <c r="J132" s="5"/>
      <c r="K132" s="5">
        <v>208</v>
      </c>
      <c r="L132" s="5">
        <v>22</v>
      </c>
      <c r="M132" s="5">
        <v>3</v>
      </c>
      <c r="N132" s="5" t="s">
        <v>4</v>
      </c>
      <c r="O132" s="5">
        <v>-1</v>
      </c>
      <c r="P132" s="5">
        <f>Source!DN109</f>
        <v>1.7466025000000001</v>
      </c>
      <c r="Q132" s="5"/>
      <c r="R132" s="5"/>
      <c r="S132" s="5"/>
      <c r="T132" s="5"/>
      <c r="U132" s="5"/>
      <c r="V132" s="5"/>
      <c r="W132" s="5"/>
    </row>
    <row r="133" spans="1:23" x14ac:dyDescent="0.2">
      <c r="A133" s="5">
        <v>50</v>
      </c>
      <c r="B133" s="5">
        <v>0</v>
      </c>
      <c r="C133" s="5">
        <v>0</v>
      </c>
      <c r="D133" s="5">
        <v>1</v>
      </c>
      <c r="E133" s="5">
        <v>209</v>
      </c>
      <c r="F133" s="5">
        <f>ROUND(Source!W109,O133)</f>
        <v>0</v>
      </c>
      <c r="G133" s="5" t="s">
        <v>172</v>
      </c>
      <c r="H133" s="5" t="s">
        <v>173</v>
      </c>
      <c r="I133" s="5"/>
      <c r="J133" s="5"/>
      <c r="K133" s="5">
        <v>209</v>
      </c>
      <c r="L133" s="5">
        <v>23</v>
      </c>
      <c r="M133" s="5">
        <v>3</v>
      </c>
      <c r="N133" s="5" t="s">
        <v>4</v>
      </c>
      <c r="O133" s="5">
        <v>2</v>
      </c>
      <c r="P133" s="5">
        <f>ROUND(Source!DO109,O133)</f>
        <v>0</v>
      </c>
      <c r="Q133" s="5"/>
      <c r="R133" s="5"/>
      <c r="S133" s="5"/>
      <c r="T133" s="5"/>
      <c r="U133" s="5"/>
      <c r="V133" s="5"/>
      <c r="W133" s="5"/>
    </row>
    <row r="134" spans="1:23" x14ac:dyDescent="0.2">
      <c r="A134" s="5">
        <v>50</v>
      </c>
      <c r="B134" s="5">
        <v>0</v>
      </c>
      <c r="C134" s="5">
        <v>0</v>
      </c>
      <c r="D134" s="5">
        <v>1</v>
      </c>
      <c r="E134" s="5">
        <v>210</v>
      </c>
      <c r="F134" s="5">
        <f>ROUND(Source!X109,O134)</f>
        <v>2028.81</v>
      </c>
      <c r="G134" s="5" t="s">
        <v>174</v>
      </c>
      <c r="H134" s="5" t="s">
        <v>175</v>
      </c>
      <c r="I134" s="5"/>
      <c r="J134" s="5"/>
      <c r="K134" s="5">
        <v>210</v>
      </c>
      <c r="L134" s="5">
        <v>24</v>
      </c>
      <c r="M134" s="5">
        <v>3</v>
      </c>
      <c r="N134" s="5" t="s">
        <v>4</v>
      </c>
      <c r="O134" s="5">
        <v>2</v>
      </c>
      <c r="P134" s="5">
        <f>ROUND(Source!DP109,O134)</f>
        <v>12335.23</v>
      </c>
      <c r="Q134" s="5"/>
      <c r="R134" s="5"/>
      <c r="S134" s="5"/>
      <c r="T134" s="5"/>
      <c r="U134" s="5"/>
      <c r="V134" s="5"/>
      <c r="W134" s="5"/>
    </row>
    <row r="135" spans="1:23" x14ac:dyDescent="0.2">
      <c r="A135" s="5">
        <v>50</v>
      </c>
      <c r="B135" s="5">
        <v>0</v>
      </c>
      <c r="C135" s="5">
        <v>0</v>
      </c>
      <c r="D135" s="5">
        <v>1</v>
      </c>
      <c r="E135" s="5">
        <v>211</v>
      </c>
      <c r="F135" s="5">
        <f>ROUND(Source!Y109,O135)</f>
        <v>1248.08</v>
      </c>
      <c r="G135" s="5" t="s">
        <v>176</v>
      </c>
      <c r="H135" s="5" t="s">
        <v>177</v>
      </c>
      <c r="I135" s="5"/>
      <c r="J135" s="5"/>
      <c r="K135" s="5">
        <v>211</v>
      </c>
      <c r="L135" s="5">
        <v>25</v>
      </c>
      <c r="M135" s="5">
        <v>3</v>
      </c>
      <c r="N135" s="5" t="s">
        <v>4</v>
      </c>
      <c r="O135" s="5">
        <v>2</v>
      </c>
      <c r="P135" s="5">
        <f>ROUND(Source!DQ109,O135)</f>
        <v>7588.27</v>
      </c>
      <c r="Q135" s="5"/>
      <c r="R135" s="5"/>
      <c r="S135" s="5"/>
      <c r="T135" s="5"/>
      <c r="U135" s="5"/>
      <c r="V135" s="5"/>
      <c r="W135" s="5"/>
    </row>
    <row r="136" spans="1:23" x14ac:dyDescent="0.2">
      <c r="A136" s="5">
        <v>50</v>
      </c>
      <c r="B136" s="5">
        <v>0</v>
      </c>
      <c r="C136" s="5">
        <v>0</v>
      </c>
      <c r="D136" s="5">
        <v>1</v>
      </c>
      <c r="E136" s="5">
        <v>0</v>
      </c>
      <c r="F136" s="5">
        <f>ROUND(Source!AR109,O136)</f>
        <v>18683.21</v>
      </c>
      <c r="G136" s="5" t="s">
        <v>178</v>
      </c>
      <c r="H136" s="5" t="s">
        <v>179</v>
      </c>
      <c r="I136" s="5"/>
      <c r="J136" s="5"/>
      <c r="K136" s="5">
        <v>224</v>
      </c>
      <c r="L136" s="5">
        <v>26</v>
      </c>
      <c r="M136" s="5">
        <v>3</v>
      </c>
      <c r="N136" s="5" t="s">
        <v>4</v>
      </c>
      <c r="O136" s="5">
        <v>2</v>
      </c>
      <c r="P136" s="5">
        <f>ROUND(Source!EJ109,O136)</f>
        <v>113593.95</v>
      </c>
      <c r="Q136" s="5"/>
      <c r="R136" s="5"/>
      <c r="S136" s="5"/>
      <c r="T136" s="5"/>
      <c r="U136" s="5"/>
      <c r="V136" s="5"/>
      <c r="W136" s="5"/>
    </row>
    <row r="137" spans="1:23" x14ac:dyDescent="0.2">
      <c r="A137" s="5">
        <v>50</v>
      </c>
      <c r="B137" s="5">
        <v>1</v>
      </c>
      <c r="C137" s="5">
        <v>0</v>
      </c>
      <c r="D137" s="5">
        <v>2</v>
      </c>
      <c r="E137" s="5">
        <v>0</v>
      </c>
      <c r="F137" s="5">
        <f>ROUND(F136,O137)</f>
        <v>18683.21</v>
      </c>
      <c r="G137" s="5" t="s">
        <v>180</v>
      </c>
      <c r="H137" s="5" t="s">
        <v>178</v>
      </c>
      <c r="I137" s="5"/>
      <c r="J137" s="5"/>
      <c r="K137" s="5">
        <v>212</v>
      </c>
      <c r="L137" s="5">
        <v>27</v>
      </c>
      <c r="M137" s="5">
        <v>0</v>
      </c>
      <c r="N137" s="5" t="s">
        <v>4</v>
      </c>
      <c r="O137" s="5">
        <v>2</v>
      </c>
      <c r="P137" s="5">
        <f>ROUND(P136,O137)</f>
        <v>113593.95</v>
      </c>
      <c r="Q137" s="5"/>
      <c r="R137" s="5"/>
      <c r="S137" s="5"/>
      <c r="T137" s="5"/>
      <c r="U137" s="5"/>
      <c r="V137" s="5"/>
      <c r="W137" s="5"/>
    </row>
    <row r="138" spans="1:23" x14ac:dyDescent="0.2">
      <c r="A138" s="5">
        <v>50</v>
      </c>
      <c r="B138" s="5">
        <v>1</v>
      </c>
      <c r="C138" s="5">
        <v>0</v>
      </c>
      <c r="D138" s="5">
        <v>2</v>
      </c>
      <c r="E138" s="5">
        <v>0</v>
      </c>
      <c r="F138" s="5">
        <f>ROUND(F137*0.18,O138)</f>
        <v>3362.98</v>
      </c>
      <c r="G138" s="5" t="s">
        <v>181</v>
      </c>
      <c r="H138" s="5" t="s">
        <v>182</v>
      </c>
      <c r="I138" s="5"/>
      <c r="J138" s="5"/>
      <c r="K138" s="5">
        <v>212</v>
      </c>
      <c r="L138" s="5">
        <v>28</v>
      </c>
      <c r="M138" s="5">
        <v>0</v>
      </c>
      <c r="N138" s="5" t="s">
        <v>4</v>
      </c>
      <c r="O138" s="5">
        <v>2</v>
      </c>
      <c r="P138" s="5">
        <f>ROUND(P137*0.18,O138)</f>
        <v>20446.91</v>
      </c>
      <c r="Q138" s="5"/>
      <c r="R138" s="5"/>
      <c r="S138" s="5"/>
      <c r="T138" s="5"/>
      <c r="U138" s="5"/>
      <c r="V138" s="5"/>
      <c r="W138" s="5"/>
    </row>
    <row r="139" spans="1:23" x14ac:dyDescent="0.2">
      <c r="A139" s="5">
        <v>50</v>
      </c>
      <c r="B139" s="5">
        <v>1</v>
      </c>
      <c r="C139" s="5">
        <v>0</v>
      </c>
      <c r="D139" s="5">
        <v>2</v>
      </c>
      <c r="E139" s="5">
        <v>224</v>
      </c>
      <c r="F139" s="5">
        <f>ROUND(F137+F138,O139)</f>
        <v>22046.19</v>
      </c>
      <c r="G139" s="5" t="s">
        <v>183</v>
      </c>
      <c r="H139" s="5" t="s">
        <v>184</v>
      </c>
      <c r="I139" s="5"/>
      <c r="J139" s="5"/>
      <c r="K139" s="5">
        <v>212</v>
      </c>
      <c r="L139" s="5">
        <v>29</v>
      </c>
      <c r="M139" s="5">
        <v>0</v>
      </c>
      <c r="N139" s="5" t="s">
        <v>4</v>
      </c>
      <c r="O139" s="5">
        <v>2</v>
      </c>
      <c r="P139" s="5">
        <f>ROUND(P137+P138,O139)</f>
        <v>134040.85999999999</v>
      </c>
      <c r="Q139" s="5"/>
      <c r="R139" s="5"/>
      <c r="S139" s="5"/>
      <c r="T139" s="5"/>
      <c r="U139" s="5"/>
      <c r="V139" s="5"/>
      <c r="W139" s="5"/>
    </row>
    <row r="142" spans="1:23" x14ac:dyDescent="0.2">
      <c r="A142">
        <v>70</v>
      </c>
      <c r="B142">
        <v>1</v>
      </c>
      <c r="D142">
        <v>1</v>
      </c>
      <c r="E142" t="s">
        <v>185</v>
      </c>
      <c r="F142" t="s">
        <v>186</v>
      </c>
      <c r="G142">
        <v>0</v>
      </c>
      <c r="H142">
        <v>0</v>
      </c>
      <c r="I142" t="s">
        <v>4</v>
      </c>
      <c r="J142">
        <v>1</v>
      </c>
      <c r="K142">
        <v>0</v>
      </c>
      <c r="L142" t="s">
        <v>4</v>
      </c>
      <c r="M142" t="s">
        <v>4</v>
      </c>
      <c r="N142">
        <v>0</v>
      </c>
      <c r="O142">
        <v>0</v>
      </c>
    </row>
    <row r="143" spans="1:23" x14ac:dyDescent="0.2">
      <c r="A143">
        <v>70</v>
      </c>
      <c r="B143">
        <v>1</v>
      </c>
      <c r="D143">
        <v>2</v>
      </c>
      <c r="E143" t="s">
        <v>187</v>
      </c>
      <c r="F143" t="s">
        <v>188</v>
      </c>
      <c r="G143">
        <v>1</v>
      </c>
      <c r="H143">
        <v>0</v>
      </c>
      <c r="I143" t="s">
        <v>4</v>
      </c>
      <c r="J143">
        <v>1</v>
      </c>
      <c r="K143">
        <v>0</v>
      </c>
      <c r="L143" t="s">
        <v>4</v>
      </c>
      <c r="M143" t="s">
        <v>4</v>
      </c>
      <c r="N143">
        <v>0</v>
      </c>
      <c r="O143">
        <v>1</v>
      </c>
    </row>
    <row r="144" spans="1:23" x14ac:dyDescent="0.2">
      <c r="A144">
        <v>70</v>
      </c>
      <c r="B144">
        <v>1</v>
      </c>
      <c r="D144">
        <v>3</v>
      </c>
      <c r="E144" t="s">
        <v>189</v>
      </c>
      <c r="F144" t="s">
        <v>190</v>
      </c>
      <c r="G144">
        <v>0</v>
      </c>
      <c r="H144">
        <v>0</v>
      </c>
      <c r="I144" t="s">
        <v>4</v>
      </c>
      <c r="J144">
        <v>1</v>
      </c>
      <c r="K144">
        <v>0</v>
      </c>
      <c r="L144" t="s">
        <v>4</v>
      </c>
      <c r="M144" t="s">
        <v>4</v>
      </c>
      <c r="N144">
        <v>0</v>
      </c>
      <c r="O144">
        <v>0</v>
      </c>
    </row>
    <row r="145" spans="1:15" x14ac:dyDescent="0.2">
      <c r="A145">
        <v>70</v>
      </c>
      <c r="B145">
        <v>1</v>
      </c>
      <c r="D145">
        <v>4</v>
      </c>
      <c r="E145" t="s">
        <v>191</v>
      </c>
      <c r="F145" t="s">
        <v>192</v>
      </c>
      <c r="G145">
        <v>0</v>
      </c>
      <c r="H145">
        <v>0</v>
      </c>
      <c r="I145" t="s">
        <v>193</v>
      </c>
      <c r="J145">
        <v>0</v>
      </c>
      <c r="K145">
        <v>0</v>
      </c>
      <c r="L145" t="s">
        <v>4</v>
      </c>
      <c r="M145" t="s">
        <v>4</v>
      </c>
      <c r="N145">
        <v>0</v>
      </c>
      <c r="O145">
        <v>0</v>
      </c>
    </row>
    <row r="146" spans="1:15" x14ac:dyDescent="0.2">
      <c r="A146">
        <v>70</v>
      </c>
      <c r="B146">
        <v>1</v>
      </c>
      <c r="D146">
        <v>5</v>
      </c>
      <c r="E146" t="s">
        <v>194</v>
      </c>
      <c r="F146" t="s">
        <v>195</v>
      </c>
      <c r="G146">
        <v>0</v>
      </c>
      <c r="H146">
        <v>0</v>
      </c>
      <c r="I146" t="s">
        <v>196</v>
      </c>
      <c r="J146">
        <v>0</v>
      </c>
      <c r="K146">
        <v>0</v>
      </c>
      <c r="L146" t="s">
        <v>4</v>
      </c>
      <c r="M146" t="s">
        <v>4</v>
      </c>
      <c r="N146">
        <v>0</v>
      </c>
      <c r="O146">
        <v>0</v>
      </c>
    </row>
    <row r="147" spans="1:15" x14ac:dyDescent="0.2">
      <c r="A147">
        <v>70</v>
      </c>
      <c r="B147">
        <v>1</v>
      </c>
      <c r="D147">
        <v>6</v>
      </c>
      <c r="E147" t="s">
        <v>197</v>
      </c>
      <c r="F147" t="s">
        <v>198</v>
      </c>
      <c r="G147">
        <v>0</v>
      </c>
      <c r="H147">
        <v>0</v>
      </c>
      <c r="I147" t="s">
        <v>199</v>
      </c>
      <c r="J147">
        <v>0</v>
      </c>
      <c r="K147">
        <v>0</v>
      </c>
      <c r="L147" t="s">
        <v>4</v>
      </c>
      <c r="M147" t="s">
        <v>4</v>
      </c>
      <c r="N147">
        <v>0</v>
      </c>
      <c r="O147">
        <v>0</v>
      </c>
    </row>
    <row r="148" spans="1:15" x14ac:dyDescent="0.2">
      <c r="A148">
        <v>70</v>
      </c>
      <c r="B148">
        <v>1</v>
      </c>
      <c r="D148">
        <v>7</v>
      </c>
      <c r="E148" t="s">
        <v>200</v>
      </c>
      <c r="F148" t="s">
        <v>201</v>
      </c>
      <c r="G148">
        <v>0</v>
      </c>
      <c r="H148">
        <v>0</v>
      </c>
      <c r="I148" t="s">
        <v>4</v>
      </c>
      <c r="J148">
        <v>0</v>
      </c>
      <c r="K148">
        <v>0</v>
      </c>
      <c r="L148" t="s">
        <v>4</v>
      </c>
      <c r="M148" t="s">
        <v>4</v>
      </c>
      <c r="N148">
        <v>0</v>
      </c>
      <c r="O148">
        <v>0</v>
      </c>
    </row>
    <row r="149" spans="1:15" x14ac:dyDescent="0.2">
      <c r="A149">
        <v>70</v>
      </c>
      <c r="B149">
        <v>1</v>
      </c>
      <c r="D149">
        <v>8</v>
      </c>
      <c r="E149" t="s">
        <v>202</v>
      </c>
      <c r="F149" t="s">
        <v>203</v>
      </c>
      <c r="G149">
        <v>0</v>
      </c>
      <c r="H149">
        <v>0</v>
      </c>
      <c r="I149" t="s">
        <v>204</v>
      </c>
      <c r="J149">
        <v>0</v>
      </c>
      <c r="K149">
        <v>0</v>
      </c>
      <c r="L149" t="s">
        <v>4</v>
      </c>
      <c r="M149" t="s">
        <v>4</v>
      </c>
      <c r="N149">
        <v>0</v>
      </c>
      <c r="O149">
        <v>0</v>
      </c>
    </row>
    <row r="150" spans="1:15" x14ac:dyDescent="0.2">
      <c r="A150">
        <v>70</v>
      </c>
      <c r="B150">
        <v>1</v>
      </c>
      <c r="D150">
        <v>9</v>
      </c>
      <c r="E150" t="s">
        <v>205</v>
      </c>
      <c r="F150" t="s">
        <v>206</v>
      </c>
      <c r="G150">
        <v>0</v>
      </c>
      <c r="H150">
        <v>0</v>
      </c>
      <c r="I150" t="s">
        <v>207</v>
      </c>
      <c r="J150">
        <v>0</v>
      </c>
      <c r="K150">
        <v>0</v>
      </c>
      <c r="L150" t="s">
        <v>4</v>
      </c>
      <c r="M150" t="s">
        <v>4</v>
      </c>
      <c r="N150">
        <v>0</v>
      </c>
      <c r="O150">
        <v>0</v>
      </c>
    </row>
    <row r="151" spans="1:15" x14ac:dyDescent="0.2">
      <c r="A151">
        <v>70</v>
      </c>
      <c r="B151">
        <v>1</v>
      </c>
      <c r="D151">
        <v>10</v>
      </c>
      <c r="E151" t="s">
        <v>208</v>
      </c>
      <c r="F151" t="s">
        <v>209</v>
      </c>
      <c r="G151">
        <v>0</v>
      </c>
      <c r="H151">
        <v>0</v>
      </c>
      <c r="I151" t="s">
        <v>210</v>
      </c>
      <c r="J151">
        <v>0</v>
      </c>
      <c r="K151">
        <v>0</v>
      </c>
      <c r="L151" t="s">
        <v>4</v>
      </c>
      <c r="M151" t="s">
        <v>4</v>
      </c>
      <c r="N151">
        <v>0</v>
      </c>
      <c r="O151">
        <v>0</v>
      </c>
    </row>
    <row r="152" spans="1:15" x14ac:dyDescent="0.2">
      <c r="A152">
        <v>70</v>
      </c>
      <c r="B152">
        <v>1</v>
      </c>
      <c r="D152">
        <v>11</v>
      </c>
      <c r="E152" t="s">
        <v>211</v>
      </c>
      <c r="F152" t="s">
        <v>212</v>
      </c>
      <c r="G152">
        <v>0</v>
      </c>
      <c r="H152">
        <v>0</v>
      </c>
      <c r="I152" t="s">
        <v>213</v>
      </c>
      <c r="J152">
        <v>0</v>
      </c>
      <c r="K152">
        <v>0</v>
      </c>
      <c r="L152" t="s">
        <v>4</v>
      </c>
      <c r="M152" t="s">
        <v>4</v>
      </c>
      <c r="N152">
        <v>0</v>
      </c>
      <c r="O152">
        <v>0</v>
      </c>
    </row>
    <row r="153" spans="1:15" x14ac:dyDescent="0.2">
      <c r="A153">
        <v>70</v>
      </c>
      <c r="B153">
        <v>1</v>
      </c>
      <c r="D153">
        <v>12</v>
      </c>
      <c r="E153" t="s">
        <v>214</v>
      </c>
      <c r="F153" t="s">
        <v>215</v>
      </c>
      <c r="G153">
        <v>0</v>
      </c>
      <c r="H153">
        <v>0</v>
      </c>
      <c r="I153" t="s">
        <v>4</v>
      </c>
      <c r="J153">
        <v>0</v>
      </c>
      <c r="K153">
        <v>0</v>
      </c>
      <c r="L153" t="s">
        <v>4</v>
      </c>
      <c r="M153" t="s">
        <v>4</v>
      </c>
      <c r="N153">
        <v>0</v>
      </c>
      <c r="O153">
        <v>0</v>
      </c>
    </row>
    <row r="154" spans="1:15" x14ac:dyDescent="0.2">
      <c r="A154">
        <v>70</v>
      </c>
      <c r="B154">
        <v>1</v>
      </c>
      <c r="D154">
        <v>1</v>
      </c>
      <c r="E154" t="s">
        <v>216</v>
      </c>
      <c r="F154" t="s">
        <v>217</v>
      </c>
      <c r="G154">
        <v>0.9</v>
      </c>
      <c r="H154">
        <v>1</v>
      </c>
      <c r="I154" t="s">
        <v>218</v>
      </c>
      <c r="J154">
        <v>0</v>
      </c>
      <c r="K154">
        <v>0</v>
      </c>
      <c r="L154" t="s">
        <v>4</v>
      </c>
      <c r="M154" t="s">
        <v>4</v>
      </c>
      <c r="N154">
        <v>0</v>
      </c>
      <c r="O154">
        <v>0.9</v>
      </c>
    </row>
    <row r="155" spans="1:15" x14ac:dyDescent="0.2">
      <c r="A155">
        <v>70</v>
      </c>
      <c r="B155">
        <v>1</v>
      </c>
      <c r="D155">
        <v>2</v>
      </c>
      <c r="E155" t="s">
        <v>219</v>
      </c>
      <c r="F155" t="s">
        <v>220</v>
      </c>
      <c r="G155">
        <v>0.85</v>
      </c>
      <c r="H155">
        <v>1</v>
      </c>
      <c r="I155" t="s">
        <v>221</v>
      </c>
      <c r="J155">
        <v>0</v>
      </c>
      <c r="K155">
        <v>0</v>
      </c>
      <c r="L155" t="s">
        <v>4</v>
      </c>
      <c r="M155" t="s">
        <v>4</v>
      </c>
      <c r="N155">
        <v>0</v>
      </c>
      <c r="O155">
        <v>0.85</v>
      </c>
    </row>
    <row r="156" spans="1:15" x14ac:dyDescent="0.2">
      <c r="A156">
        <v>70</v>
      </c>
      <c r="B156">
        <v>1</v>
      </c>
      <c r="D156">
        <v>3</v>
      </c>
      <c r="E156" t="s">
        <v>222</v>
      </c>
      <c r="F156" t="s">
        <v>223</v>
      </c>
      <c r="G156">
        <v>1</v>
      </c>
      <c r="H156">
        <v>0.85</v>
      </c>
      <c r="I156" t="s">
        <v>224</v>
      </c>
      <c r="J156">
        <v>0</v>
      </c>
      <c r="K156">
        <v>0</v>
      </c>
      <c r="L156" t="s">
        <v>4</v>
      </c>
      <c r="M156" t="s">
        <v>4</v>
      </c>
      <c r="N156">
        <v>0</v>
      </c>
      <c r="O156">
        <v>1</v>
      </c>
    </row>
    <row r="157" spans="1:15" x14ac:dyDescent="0.2">
      <c r="A157">
        <v>70</v>
      </c>
      <c r="B157">
        <v>1</v>
      </c>
      <c r="D157">
        <v>4</v>
      </c>
      <c r="E157" t="s">
        <v>225</v>
      </c>
      <c r="F157" t="s">
        <v>226</v>
      </c>
      <c r="G157">
        <v>1</v>
      </c>
      <c r="H157">
        <v>0</v>
      </c>
      <c r="I157" t="s">
        <v>4</v>
      </c>
      <c r="J157">
        <v>0</v>
      </c>
      <c r="K157">
        <v>0</v>
      </c>
      <c r="L157" t="s">
        <v>4</v>
      </c>
      <c r="M157" t="s">
        <v>4</v>
      </c>
      <c r="N157">
        <v>0</v>
      </c>
      <c r="O157">
        <v>1</v>
      </c>
    </row>
    <row r="158" spans="1:15" x14ac:dyDescent="0.2">
      <c r="A158">
        <v>70</v>
      </c>
      <c r="B158">
        <v>1</v>
      </c>
      <c r="D158">
        <v>5</v>
      </c>
      <c r="E158" t="s">
        <v>227</v>
      </c>
      <c r="F158" t="s">
        <v>228</v>
      </c>
      <c r="G158">
        <v>1</v>
      </c>
      <c r="H158">
        <v>0.8</v>
      </c>
      <c r="I158" t="s">
        <v>229</v>
      </c>
      <c r="J158">
        <v>0</v>
      </c>
      <c r="K158">
        <v>0</v>
      </c>
      <c r="L158" t="s">
        <v>4</v>
      </c>
      <c r="M158" t="s">
        <v>4</v>
      </c>
      <c r="N158">
        <v>0</v>
      </c>
      <c r="O158">
        <v>1</v>
      </c>
    </row>
    <row r="159" spans="1:15" x14ac:dyDescent="0.2">
      <c r="A159">
        <v>70</v>
      </c>
      <c r="B159">
        <v>1</v>
      </c>
      <c r="D159">
        <v>6</v>
      </c>
      <c r="E159" t="s">
        <v>230</v>
      </c>
      <c r="F159" t="s">
        <v>231</v>
      </c>
      <c r="G159">
        <v>1</v>
      </c>
      <c r="H159">
        <v>0</v>
      </c>
      <c r="I159" t="s">
        <v>4</v>
      </c>
      <c r="J159">
        <v>0</v>
      </c>
      <c r="K159">
        <v>0</v>
      </c>
      <c r="L159" t="s">
        <v>4</v>
      </c>
      <c r="M159" t="s">
        <v>4</v>
      </c>
      <c r="N159">
        <v>0</v>
      </c>
      <c r="O159">
        <v>0.85</v>
      </c>
    </row>
    <row r="160" spans="1:15" x14ac:dyDescent="0.2">
      <c r="A160">
        <v>70</v>
      </c>
      <c r="B160">
        <v>1</v>
      </c>
      <c r="D160">
        <v>7</v>
      </c>
      <c r="E160" t="s">
        <v>232</v>
      </c>
      <c r="F160" t="s">
        <v>233</v>
      </c>
      <c r="G160">
        <v>1</v>
      </c>
      <c r="H160">
        <v>0</v>
      </c>
      <c r="I160" t="s">
        <v>4</v>
      </c>
      <c r="J160">
        <v>0</v>
      </c>
      <c r="K160">
        <v>0</v>
      </c>
      <c r="L160" t="s">
        <v>4</v>
      </c>
      <c r="M160" t="s">
        <v>4</v>
      </c>
      <c r="N160">
        <v>0</v>
      </c>
      <c r="O160">
        <v>0.8</v>
      </c>
    </row>
    <row r="161" spans="1:34" x14ac:dyDescent="0.2">
      <c r="A161">
        <v>70</v>
      </c>
      <c r="B161">
        <v>1</v>
      </c>
      <c r="D161">
        <v>8</v>
      </c>
      <c r="E161" t="s">
        <v>234</v>
      </c>
      <c r="F161" t="s">
        <v>235</v>
      </c>
      <c r="G161">
        <v>0.7</v>
      </c>
      <c r="H161">
        <v>0</v>
      </c>
      <c r="I161" t="s">
        <v>4</v>
      </c>
      <c r="J161">
        <v>0</v>
      </c>
      <c r="K161">
        <v>0</v>
      </c>
      <c r="L161" t="s">
        <v>4</v>
      </c>
      <c r="M161" t="s">
        <v>4</v>
      </c>
      <c r="N161">
        <v>0</v>
      </c>
      <c r="O161">
        <v>0.94</v>
      </c>
    </row>
    <row r="162" spans="1:34" x14ac:dyDescent="0.2">
      <c r="A162">
        <v>70</v>
      </c>
      <c r="B162">
        <v>1</v>
      </c>
      <c r="D162">
        <v>9</v>
      </c>
      <c r="E162" t="s">
        <v>236</v>
      </c>
      <c r="F162" t="s">
        <v>237</v>
      </c>
      <c r="G162">
        <v>0.9</v>
      </c>
      <c r="H162">
        <v>0</v>
      </c>
      <c r="I162" t="s">
        <v>4</v>
      </c>
      <c r="J162">
        <v>0</v>
      </c>
      <c r="K162">
        <v>0</v>
      </c>
      <c r="L162" t="s">
        <v>4</v>
      </c>
      <c r="M162" t="s">
        <v>4</v>
      </c>
      <c r="N162">
        <v>0</v>
      </c>
      <c r="O162">
        <v>0.9</v>
      </c>
    </row>
    <row r="163" spans="1:34" x14ac:dyDescent="0.2">
      <c r="A163">
        <v>70</v>
      </c>
      <c r="B163">
        <v>1</v>
      </c>
      <c r="D163">
        <v>10</v>
      </c>
      <c r="E163" t="s">
        <v>238</v>
      </c>
      <c r="F163" t="s">
        <v>239</v>
      </c>
      <c r="G163">
        <v>0.6</v>
      </c>
      <c r="H163">
        <v>0</v>
      </c>
      <c r="I163" t="s">
        <v>4</v>
      </c>
      <c r="J163">
        <v>0</v>
      </c>
      <c r="K163">
        <v>0</v>
      </c>
      <c r="L163" t="s">
        <v>4</v>
      </c>
      <c r="M163" t="s">
        <v>4</v>
      </c>
      <c r="N163">
        <v>0</v>
      </c>
      <c r="O163">
        <v>0.6</v>
      </c>
    </row>
    <row r="164" spans="1:34" x14ac:dyDescent="0.2">
      <c r="A164">
        <v>70</v>
      </c>
      <c r="B164">
        <v>1</v>
      </c>
      <c r="D164">
        <v>11</v>
      </c>
      <c r="E164" t="s">
        <v>240</v>
      </c>
      <c r="F164" t="s">
        <v>241</v>
      </c>
      <c r="G164">
        <v>1.2</v>
      </c>
      <c r="H164">
        <v>0</v>
      </c>
      <c r="I164" t="s">
        <v>4</v>
      </c>
      <c r="J164">
        <v>0</v>
      </c>
      <c r="K164">
        <v>0</v>
      </c>
      <c r="L164" t="s">
        <v>4</v>
      </c>
      <c r="M164" t="s">
        <v>4</v>
      </c>
      <c r="N164">
        <v>0</v>
      </c>
      <c r="O164">
        <v>1.2</v>
      </c>
    </row>
    <row r="165" spans="1:34" x14ac:dyDescent="0.2">
      <c r="A165">
        <v>70</v>
      </c>
      <c r="B165">
        <v>1</v>
      </c>
      <c r="D165">
        <v>12</v>
      </c>
      <c r="E165" t="s">
        <v>242</v>
      </c>
      <c r="F165" t="s">
        <v>243</v>
      </c>
      <c r="G165">
        <v>0</v>
      </c>
      <c r="H165">
        <v>0</v>
      </c>
      <c r="I165" t="s">
        <v>4</v>
      </c>
      <c r="J165">
        <v>0</v>
      </c>
      <c r="K165">
        <v>0</v>
      </c>
      <c r="L165" t="s">
        <v>4</v>
      </c>
      <c r="M165" t="s">
        <v>4</v>
      </c>
      <c r="N165">
        <v>0</v>
      </c>
      <c r="O165">
        <v>0</v>
      </c>
    </row>
    <row r="166" spans="1:34" x14ac:dyDescent="0.2">
      <c r="A166">
        <v>70</v>
      </c>
      <c r="B166">
        <v>1</v>
      </c>
      <c r="D166">
        <v>13</v>
      </c>
      <c r="E166" t="s">
        <v>244</v>
      </c>
      <c r="F166" t="s">
        <v>245</v>
      </c>
      <c r="G166">
        <v>1</v>
      </c>
      <c r="H166">
        <v>0</v>
      </c>
      <c r="I166" t="s">
        <v>4</v>
      </c>
      <c r="J166">
        <v>0</v>
      </c>
      <c r="K166">
        <v>0</v>
      </c>
      <c r="L166" t="s">
        <v>4</v>
      </c>
      <c r="M166" t="s">
        <v>4</v>
      </c>
      <c r="N166">
        <v>0</v>
      </c>
      <c r="O166">
        <v>0.94</v>
      </c>
    </row>
    <row r="168" spans="1:34" x14ac:dyDescent="0.2">
      <c r="A168">
        <v>-1</v>
      </c>
    </row>
    <row r="170" spans="1:34" x14ac:dyDescent="0.2">
      <c r="A170" s="4">
        <v>75</v>
      </c>
      <c r="B170" s="4" t="s">
        <v>246</v>
      </c>
      <c r="C170" s="4">
        <v>2000</v>
      </c>
      <c r="D170" s="4">
        <v>0</v>
      </c>
      <c r="E170" s="4">
        <v>1</v>
      </c>
      <c r="F170" s="4">
        <v>0</v>
      </c>
      <c r="G170" s="4">
        <v>0</v>
      </c>
      <c r="H170" s="4">
        <v>1</v>
      </c>
      <c r="I170" s="4">
        <v>0</v>
      </c>
      <c r="J170" s="4">
        <v>1</v>
      </c>
      <c r="K170" s="4">
        <v>0</v>
      </c>
      <c r="L170" s="4">
        <v>0</v>
      </c>
      <c r="M170" s="4">
        <v>0</v>
      </c>
      <c r="N170" s="4">
        <v>16501254</v>
      </c>
      <c r="O170" s="4">
        <v>1</v>
      </c>
    </row>
    <row r="171" spans="1:34" x14ac:dyDescent="0.2">
      <c r="A171" s="4">
        <v>75</v>
      </c>
      <c r="B171" s="4" t="s">
        <v>247</v>
      </c>
      <c r="C171" s="4">
        <v>2017</v>
      </c>
      <c r="D171" s="4">
        <v>0</v>
      </c>
      <c r="E171" s="4">
        <v>1</v>
      </c>
      <c r="F171" s="4"/>
      <c r="G171" s="4">
        <v>0</v>
      </c>
      <c r="H171" s="4">
        <v>1</v>
      </c>
      <c r="I171" s="4">
        <v>0</v>
      </c>
      <c r="J171" s="4">
        <v>1</v>
      </c>
      <c r="K171" s="4">
        <v>0</v>
      </c>
      <c r="L171" s="4">
        <v>0</v>
      </c>
      <c r="M171" s="4">
        <v>1</v>
      </c>
      <c r="N171" s="4">
        <v>16501255</v>
      </c>
      <c r="O171" s="4">
        <v>2</v>
      </c>
    </row>
    <row r="172" spans="1:34" x14ac:dyDescent="0.2">
      <c r="A172" s="6">
        <v>3</v>
      </c>
      <c r="B172" s="6" t="s">
        <v>248</v>
      </c>
      <c r="C172" s="6">
        <v>6.08</v>
      </c>
      <c r="D172" s="6">
        <v>1</v>
      </c>
      <c r="E172" s="6">
        <v>1</v>
      </c>
      <c r="F172" s="6">
        <v>1</v>
      </c>
      <c r="G172" s="6">
        <v>1</v>
      </c>
      <c r="H172" s="6">
        <v>1</v>
      </c>
      <c r="I172" s="6">
        <v>1</v>
      </c>
      <c r="J172" s="6">
        <v>1</v>
      </c>
      <c r="K172" s="6">
        <v>1</v>
      </c>
      <c r="L172" s="6">
        <v>1</v>
      </c>
      <c r="M172" s="6">
        <v>6.08</v>
      </c>
      <c r="N172" s="6">
        <v>1</v>
      </c>
      <c r="O172" s="6">
        <v>1</v>
      </c>
      <c r="P172" s="6">
        <v>1</v>
      </c>
      <c r="Q172" s="6">
        <v>1</v>
      </c>
      <c r="R172" s="6">
        <v>1</v>
      </c>
      <c r="S172" s="6" t="s">
        <v>4</v>
      </c>
      <c r="T172" s="6" t="s">
        <v>4</v>
      </c>
      <c r="U172" s="6" t="s">
        <v>4</v>
      </c>
      <c r="V172" s="6" t="s">
        <v>4</v>
      </c>
      <c r="W172" s="6" t="s">
        <v>4</v>
      </c>
      <c r="X172" s="6" t="s">
        <v>4</v>
      </c>
      <c r="Y172" s="6" t="s">
        <v>4</v>
      </c>
      <c r="Z172" s="6" t="s">
        <v>4</v>
      </c>
      <c r="AA172" s="6" t="s">
        <v>4</v>
      </c>
      <c r="AB172" s="6" t="s">
        <v>4</v>
      </c>
      <c r="AC172" s="6" t="s">
        <v>4</v>
      </c>
      <c r="AD172" s="6" t="s">
        <v>4</v>
      </c>
      <c r="AE172" s="6" t="s">
        <v>4</v>
      </c>
      <c r="AF172" s="6" t="s">
        <v>4</v>
      </c>
      <c r="AG172" s="6" t="s">
        <v>4</v>
      </c>
      <c r="AH172" s="6" t="s">
        <v>4</v>
      </c>
    </row>
    <row r="176" spans="1:34" x14ac:dyDescent="0.2">
      <c r="A176">
        <v>65</v>
      </c>
      <c r="C176">
        <v>1</v>
      </c>
      <c r="D176">
        <v>0</v>
      </c>
      <c r="E176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55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249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27251</v>
      </c>
      <c r="M1">
        <v>10</v>
      </c>
    </row>
    <row r="12" spans="1:133" x14ac:dyDescent="0.2">
      <c r="A12" s="1">
        <v>1</v>
      </c>
      <c r="B12" s="1">
        <v>53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4</v>
      </c>
      <c r="I12" s="1">
        <v>0</v>
      </c>
      <c r="J12" s="1" t="s">
        <v>4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/>
      <c r="U12" s="1" t="s">
        <v>4</v>
      </c>
      <c r="V12" s="1">
        <v>0</v>
      </c>
      <c r="W12" s="1" t="s">
        <v>4</v>
      </c>
      <c r="X12" s="1" t="s">
        <v>4</v>
      </c>
      <c r="Y12" s="1" t="s">
        <v>4</v>
      </c>
      <c r="Z12" s="1" t="s">
        <v>4</v>
      </c>
      <c r="AA12" s="1" t="s">
        <v>4</v>
      </c>
      <c r="AB12" s="1" t="s">
        <v>4</v>
      </c>
      <c r="AC12" s="1" t="s">
        <v>4</v>
      </c>
      <c r="AD12" s="1" t="s">
        <v>4</v>
      </c>
      <c r="AE12" s="1" t="s">
        <v>4</v>
      </c>
      <c r="AF12" s="1" t="s">
        <v>4</v>
      </c>
      <c r="AG12" s="1" t="s">
        <v>4</v>
      </c>
      <c r="AH12" s="1" t="s">
        <v>4</v>
      </c>
      <c r="AI12" s="1" t="s">
        <v>4</v>
      </c>
      <c r="AJ12" s="1" t="s">
        <v>4</v>
      </c>
      <c r="AK12" s="1"/>
      <c r="AL12" s="1" t="s">
        <v>4</v>
      </c>
      <c r="AM12" s="1" t="s">
        <v>4</v>
      </c>
      <c r="AN12" s="1" t="s">
        <v>4</v>
      </c>
      <c r="AO12" s="1"/>
      <c r="AP12" s="1" t="s">
        <v>4</v>
      </c>
      <c r="AQ12" s="1" t="s">
        <v>4</v>
      </c>
      <c r="AR12" s="1" t="s">
        <v>4</v>
      </c>
      <c r="AS12" s="1"/>
      <c r="AT12" s="1"/>
      <c r="AU12" s="1"/>
      <c r="AV12" s="1"/>
      <c r="AW12" s="1"/>
      <c r="AX12" s="1" t="s">
        <v>4</v>
      </c>
      <c r="AY12" s="1" t="s">
        <v>4</v>
      </c>
      <c r="AZ12" s="1" t="s">
        <v>4</v>
      </c>
      <c r="BA12" s="1"/>
      <c r="BB12" s="1"/>
      <c r="BC12" s="1"/>
      <c r="BD12" s="1"/>
      <c r="BE12" s="1"/>
      <c r="BF12" s="1"/>
      <c r="BG12" s="1"/>
      <c r="BH12" s="1" t="s">
        <v>6</v>
      </c>
      <c r="BI12" s="1" t="s">
        <v>7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8</v>
      </c>
      <c r="BZ12" s="1" t="s">
        <v>9</v>
      </c>
      <c r="CA12" s="1" t="s">
        <v>8</v>
      </c>
      <c r="CB12" s="1" t="s">
        <v>8</v>
      </c>
      <c r="CC12" s="1" t="s">
        <v>8</v>
      </c>
      <c r="CD12" s="1" t="s">
        <v>8</v>
      </c>
      <c r="CE12" s="1" t="s">
        <v>10</v>
      </c>
      <c r="CF12" s="1">
        <v>0</v>
      </c>
      <c r="CG12" s="1">
        <v>0</v>
      </c>
      <c r="CH12" s="1">
        <v>524296</v>
      </c>
      <c r="CI12" s="1" t="s">
        <v>4</v>
      </c>
      <c r="CJ12" s="1" t="s">
        <v>4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">
      <c r="A14" s="1">
        <v>22</v>
      </c>
      <c r="B14" s="1">
        <v>0</v>
      </c>
      <c r="C14" s="1">
        <v>0</v>
      </c>
      <c r="D14" s="1">
        <v>16501254</v>
      </c>
      <c r="E14" s="1">
        <v>16501255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7">
        <v>3</v>
      </c>
      <c r="B16" s="7">
        <v>1</v>
      </c>
      <c r="C16" s="7" t="s">
        <v>11</v>
      </c>
      <c r="D16" s="7" t="s">
        <v>11</v>
      </c>
      <c r="E16" s="8">
        <f>(Source!F94)/1000</f>
        <v>18.683209999999999</v>
      </c>
      <c r="F16" s="8">
        <f>(Source!F95)/1000</f>
        <v>0</v>
      </c>
      <c r="G16" s="8">
        <f>(Source!F86)/1000</f>
        <v>0</v>
      </c>
      <c r="H16" s="8">
        <f>(Source!F96)/1000+(Source!F97)/1000</f>
        <v>0</v>
      </c>
      <c r="I16" s="8">
        <f>E16+F16+G16+H16</f>
        <v>18.683209999999999</v>
      </c>
      <c r="J16" s="8">
        <f>(Source!F92)/1000</f>
        <v>2.21245</v>
      </c>
      <c r="T16" s="9">
        <f>(Source!P94)/1000</f>
        <v>113.59394999999999</v>
      </c>
      <c r="U16" s="9">
        <f>(Source!P95)/1000</f>
        <v>0</v>
      </c>
      <c r="V16" s="9">
        <f>(Source!P86)/1000</f>
        <v>0</v>
      </c>
      <c r="W16" s="9">
        <f>(Source!P96)/1000+(Source!P97)/1000</f>
        <v>0</v>
      </c>
      <c r="X16" s="9">
        <f>T16+U16+V16+W16</f>
        <v>113.59394999999999</v>
      </c>
      <c r="Y16" s="9">
        <f>(Source!P92)/1000</f>
        <v>13.45176</v>
      </c>
      <c r="AI16" s="7">
        <v>0</v>
      </c>
      <c r="AJ16" s="7">
        <v>0</v>
      </c>
      <c r="AK16" s="7" t="s">
        <v>4</v>
      </c>
      <c r="AL16" s="7" t="s">
        <v>4</v>
      </c>
      <c r="AM16" s="7" t="s">
        <v>4</v>
      </c>
      <c r="AN16" s="7">
        <v>0</v>
      </c>
      <c r="AO16" s="7" t="s">
        <v>4</v>
      </c>
      <c r="AP16" s="7" t="s">
        <v>4</v>
      </c>
      <c r="AT16" s="8">
        <v>15406.32</v>
      </c>
      <c r="AU16" s="8">
        <v>13134.48</v>
      </c>
      <c r="AV16" s="8">
        <v>0</v>
      </c>
      <c r="AW16" s="8">
        <v>0</v>
      </c>
      <c r="AX16" s="8">
        <v>0</v>
      </c>
      <c r="AY16" s="8">
        <v>59.39</v>
      </c>
      <c r="AZ16" s="8">
        <v>19.95</v>
      </c>
      <c r="BA16" s="8">
        <v>2212.4499999999998</v>
      </c>
      <c r="BB16" s="8">
        <v>18683.21</v>
      </c>
      <c r="BC16" s="8">
        <v>0</v>
      </c>
      <c r="BD16" s="8">
        <v>0</v>
      </c>
      <c r="BE16" s="8">
        <v>0</v>
      </c>
      <c r="BF16" s="8">
        <v>258.46641549999998</v>
      </c>
      <c r="BG16" s="8">
        <v>1.7466025000000001</v>
      </c>
      <c r="BH16" s="8">
        <v>0</v>
      </c>
      <c r="BI16" s="8">
        <v>2028.81</v>
      </c>
      <c r="BJ16" s="8">
        <v>1248.08</v>
      </c>
      <c r="BK16" s="8">
        <v>22046.19</v>
      </c>
      <c r="BR16" s="9">
        <v>93670.45</v>
      </c>
      <c r="BS16" s="9">
        <v>79857.66</v>
      </c>
      <c r="BT16" s="9">
        <v>0</v>
      </c>
      <c r="BU16" s="9">
        <v>0</v>
      </c>
      <c r="BV16" s="9">
        <v>0</v>
      </c>
      <c r="BW16" s="9">
        <v>361.03</v>
      </c>
      <c r="BX16" s="9">
        <v>121.32</v>
      </c>
      <c r="BY16" s="9">
        <v>13451.76</v>
      </c>
      <c r="BZ16" s="9">
        <v>113593.95</v>
      </c>
      <c r="CA16" s="9">
        <v>0</v>
      </c>
      <c r="CB16" s="9">
        <v>0</v>
      </c>
      <c r="CC16" s="9">
        <v>0</v>
      </c>
      <c r="CD16" s="9">
        <v>258.46641549999998</v>
      </c>
      <c r="CE16" s="9">
        <v>1.7466025000000001</v>
      </c>
      <c r="CF16" s="9">
        <v>0</v>
      </c>
      <c r="CG16" s="9">
        <v>12335.23</v>
      </c>
      <c r="CH16" s="9">
        <v>7588.27</v>
      </c>
      <c r="CI16" s="9">
        <v>134040.85999999999</v>
      </c>
    </row>
    <row r="18" spans="1:40" x14ac:dyDescent="0.2">
      <c r="A18">
        <v>51</v>
      </c>
      <c r="E18" s="10">
        <f>SUMIF(A16:A17,3,E16:E17)</f>
        <v>18.683209999999999</v>
      </c>
      <c r="F18" s="10">
        <f>SUMIF(A16:A17,3,F16:F17)</f>
        <v>0</v>
      </c>
      <c r="G18" s="10">
        <f>SUMIF(A16:A17,3,G16:G17)</f>
        <v>0</v>
      </c>
      <c r="H18" s="10">
        <f>SUMIF(A16:A17,3,H16:H17)</f>
        <v>0</v>
      </c>
      <c r="I18" s="10">
        <f>SUMIF(A16:A17,3,I16:I17)</f>
        <v>18.683209999999999</v>
      </c>
      <c r="J18" s="10">
        <f>SUMIF(A16:A17,3,J16:J17)</f>
        <v>2.21245</v>
      </c>
      <c r="K18" s="10"/>
      <c r="L18" s="10"/>
      <c r="M18" s="10"/>
      <c r="N18" s="10"/>
      <c r="O18" s="10"/>
      <c r="P18" s="10"/>
      <c r="Q18" s="10"/>
      <c r="R18" s="10"/>
      <c r="S18" s="10"/>
      <c r="T18" s="3">
        <f>SUMIF(A16:A17,3,T16:T17)</f>
        <v>113.59394999999999</v>
      </c>
      <c r="U18" s="3">
        <f>SUMIF(A16:A17,3,U16:U17)</f>
        <v>0</v>
      </c>
      <c r="V18" s="3">
        <f>SUMIF(A16:A17,3,V16:V17)</f>
        <v>0</v>
      </c>
      <c r="W18" s="3">
        <f>SUMIF(A16:A17,3,W16:W17)</f>
        <v>0</v>
      </c>
      <c r="X18" s="3">
        <f>SUMIF(A16:A17,3,X16:X17)</f>
        <v>113.59394999999999</v>
      </c>
      <c r="Y18" s="3">
        <f>SUMIF(A16:A17,3,Y16:Y17)</f>
        <v>13.45176</v>
      </c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20" spans="1:40" x14ac:dyDescent="0.2">
      <c r="A20" s="5">
        <v>50</v>
      </c>
      <c r="B20" s="5">
        <v>0</v>
      </c>
      <c r="C20" s="5">
        <v>0</v>
      </c>
      <c r="D20" s="5">
        <v>1</v>
      </c>
      <c r="E20" s="5">
        <v>201</v>
      </c>
      <c r="F20" s="5">
        <v>15406.32</v>
      </c>
      <c r="G20" s="5" t="s">
        <v>128</v>
      </c>
      <c r="H20" s="5" t="s">
        <v>129</v>
      </c>
      <c r="I20" s="5"/>
      <c r="J20" s="5"/>
      <c r="K20" s="5">
        <v>201</v>
      </c>
      <c r="L20" s="5">
        <v>1</v>
      </c>
      <c r="M20" s="5">
        <v>3</v>
      </c>
      <c r="N20" s="5" t="s">
        <v>4</v>
      </c>
      <c r="O20" s="5">
        <v>2</v>
      </c>
      <c r="P20" s="5">
        <v>93670.45</v>
      </c>
    </row>
    <row r="21" spans="1:40" x14ac:dyDescent="0.2">
      <c r="A21" s="5">
        <v>50</v>
      </c>
      <c r="B21" s="5">
        <v>0</v>
      </c>
      <c r="C21" s="5">
        <v>0</v>
      </c>
      <c r="D21" s="5">
        <v>1</v>
      </c>
      <c r="E21" s="5">
        <v>202</v>
      </c>
      <c r="F21" s="5">
        <v>13134.48</v>
      </c>
      <c r="G21" s="5" t="s">
        <v>130</v>
      </c>
      <c r="H21" s="5" t="s">
        <v>131</v>
      </c>
      <c r="I21" s="5"/>
      <c r="J21" s="5"/>
      <c r="K21" s="5">
        <v>202</v>
      </c>
      <c r="L21" s="5">
        <v>2</v>
      </c>
      <c r="M21" s="5">
        <v>3</v>
      </c>
      <c r="N21" s="5" t="s">
        <v>4</v>
      </c>
      <c r="O21" s="5">
        <v>2</v>
      </c>
      <c r="P21" s="5">
        <v>79857.66</v>
      </c>
    </row>
    <row r="22" spans="1:40" x14ac:dyDescent="0.2">
      <c r="A22" s="5">
        <v>50</v>
      </c>
      <c r="B22" s="5">
        <v>0</v>
      </c>
      <c r="C22" s="5">
        <v>0</v>
      </c>
      <c r="D22" s="5">
        <v>1</v>
      </c>
      <c r="E22" s="5">
        <v>222</v>
      </c>
      <c r="F22" s="5">
        <v>0</v>
      </c>
      <c r="G22" s="5" t="s">
        <v>132</v>
      </c>
      <c r="H22" s="5" t="s">
        <v>133</v>
      </c>
      <c r="I22" s="5"/>
      <c r="J22" s="5"/>
      <c r="K22" s="5">
        <v>222</v>
      </c>
      <c r="L22" s="5">
        <v>3</v>
      </c>
      <c r="M22" s="5">
        <v>3</v>
      </c>
      <c r="N22" s="5" t="s">
        <v>4</v>
      </c>
      <c r="O22" s="5">
        <v>2</v>
      </c>
      <c r="P22" s="5">
        <v>0</v>
      </c>
    </row>
    <row r="23" spans="1:40" x14ac:dyDescent="0.2">
      <c r="A23" s="5">
        <v>50</v>
      </c>
      <c r="B23" s="5">
        <v>0</v>
      </c>
      <c r="C23" s="5">
        <v>0</v>
      </c>
      <c r="D23" s="5">
        <v>1</v>
      </c>
      <c r="E23" s="5">
        <v>225</v>
      </c>
      <c r="F23" s="5">
        <v>13134.48</v>
      </c>
      <c r="G23" s="5" t="s">
        <v>134</v>
      </c>
      <c r="H23" s="5" t="s">
        <v>135</v>
      </c>
      <c r="I23" s="5"/>
      <c r="J23" s="5"/>
      <c r="K23" s="5">
        <v>225</v>
      </c>
      <c r="L23" s="5">
        <v>4</v>
      </c>
      <c r="M23" s="5">
        <v>3</v>
      </c>
      <c r="N23" s="5" t="s">
        <v>4</v>
      </c>
      <c r="O23" s="5">
        <v>2</v>
      </c>
      <c r="P23" s="5">
        <v>79857.66</v>
      </c>
    </row>
    <row r="24" spans="1:40" x14ac:dyDescent="0.2">
      <c r="A24" s="5">
        <v>50</v>
      </c>
      <c r="B24" s="5">
        <v>0</v>
      </c>
      <c r="C24" s="5">
        <v>0</v>
      </c>
      <c r="D24" s="5">
        <v>1</v>
      </c>
      <c r="E24" s="5">
        <v>226</v>
      </c>
      <c r="F24" s="5">
        <v>13134.48</v>
      </c>
      <c r="G24" s="5" t="s">
        <v>136</v>
      </c>
      <c r="H24" s="5" t="s">
        <v>137</v>
      </c>
      <c r="I24" s="5"/>
      <c r="J24" s="5"/>
      <c r="K24" s="5">
        <v>226</v>
      </c>
      <c r="L24" s="5">
        <v>5</v>
      </c>
      <c r="M24" s="5">
        <v>3</v>
      </c>
      <c r="N24" s="5" t="s">
        <v>4</v>
      </c>
      <c r="O24" s="5">
        <v>2</v>
      </c>
      <c r="P24" s="5">
        <v>79857.66</v>
      </c>
    </row>
    <row r="25" spans="1:40" x14ac:dyDescent="0.2">
      <c r="A25" s="5">
        <v>50</v>
      </c>
      <c r="B25" s="5">
        <v>0</v>
      </c>
      <c r="C25" s="5">
        <v>0</v>
      </c>
      <c r="D25" s="5">
        <v>1</v>
      </c>
      <c r="E25" s="5">
        <v>227</v>
      </c>
      <c r="F25" s="5">
        <v>0</v>
      </c>
      <c r="G25" s="5" t="s">
        <v>138</v>
      </c>
      <c r="H25" s="5" t="s">
        <v>139</v>
      </c>
      <c r="I25" s="5"/>
      <c r="J25" s="5"/>
      <c r="K25" s="5">
        <v>227</v>
      </c>
      <c r="L25" s="5">
        <v>6</v>
      </c>
      <c r="M25" s="5">
        <v>3</v>
      </c>
      <c r="N25" s="5" t="s">
        <v>4</v>
      </c>
      <c r="O25" s="5">
        <v>2</v>
      </c>
      <c r="P25" s="5">
        <v>0</v>
      </c>
    </row>
    <row r="26" spans="1:40" x14ac:dyDescent="0.2">
      <c r="A26" s="5">
        <v>50</v>
      </c>
      <c r="B26" s="5">
        <v>0</v>
      </c>
      <c r="C26" s="5">
        <v>0</v>
      </c>
      <c r="D26" s="5">
        <v>1</v>
      </c>
      <c r="E26" s="5">
        <v>228</v>
      </c>
      <c r="F26" s="5">
        <v>13134.48</v>
      </c>
      <c r="G26" s="5" t="s">
        <v>140</v>
      </c>
      <c r="H26" s="5" t="s">
        <v>141</v>
      </c>
      <c r="I26" s="5"/>
      <c r="J26" s="5"/>
      <c r="K26" s="5">
        <v>228</v>
      </c>
      <c r="L26" s="5">
        <v>7</v>
      </c>
      <c r="M26" s="5">
        <v>3</v>
      </c>
      <c r="N26" s="5" t="s">
        <v>4</v>
      </c>
      <c r="O26" s="5">
        <v>2</v>
      </c>
      <c r="P26" s="5">
        <v>79857.66</v>
      </c>
    </row>
    <row r="27" spans="1:40" x14ac:dyDescent="0.2">
      <c r="A27" s="5">
        <v>50</v>
      </c>
      <c r="B27" s="5">
        <v>0</v>
      </c>
      <c r="C27" s="5">
        <v>0</v>
      </c>
      <c r="D27" s="5">
        <v>1</v>
      </c>
      <c r="E27" s="5">
        <v>216</v>
      </c>
      <c r="F27" s="5">
        <v>0</v>
      </c>
      <c r="G27" s="5" t="s">
        <v>142</v>
      </c>
      <c r="H27" s="5" t="s">
        <v>143</v>
      </c>
      <c r="I27" s="5"/>
      <c r="J27" s="5"/>
      <c r="K27" s="5">
        <v>216</v>
      </c>
      <c r="L27" s="5">
        <v>8</v>
      </c>
      <c r="M27" s="5">
        <v>3</v>
      </c>
      <c r="N27" s="5" t="s">
        <v>4</v>
      </c>
      <c r="O27" s="5">
        <v>2</v>
      </c>
      <c r="P27" s="5">
        <v>0</v>
      </c>
    </row>
    <row r="28" spans="1:40" x14ac:dyDescent="0.2">
      <c r="A28" s="5">
        <v>50</v>
      </c>
      <c r="B28" s="5">
        <v>0</v>
      </c>
      <c r="C28" s="5">
        <v>0</v>
      </c>
      <c r="D28" s="5">
        <v>1</v>
      </c>
      <c r="E28" s="5">
        <v>223</v>
      </c>
      <c r="F28" s="5">
        <v>0</v>
      </c>
      <c r="G28" s="5" t="s">
        <v>144</v>
      </c>
      <c r="H28" s="5" t="s">
        <v>145</v>
      </c>
      <c r="I28" s="5"/>
      <c r="J28" s="5"/>
      <c r="K28" s="5">
        <v>223</v>
      </c>
      <c r="L28" s="5">
        <v>9</v>
      </c>
      <c r="M28" s="5">
        <v>3</v>
      </c>
      <c r="N28" s="5" t="s">
        <v>4</v>
      </c>
      <c r="O28" s="5">
        <v>2</v>
      </c>
      <c r="P28" s="5">
        <v>0</v>
      </c>
    </row>
    <row r="29" spans="1:40" x14ac:dyDescent="0.2">
      <c r="A29" s="5">
        <v>50</v>
      </c>
      <c r="B29" s="5">
        <v>0</v>
      </c>
      <c r="C29" s="5">
        <v>0</v>
      </c>
      <c r="D29" s="5">
        <v>1</v>
      </c>
      <c r="E29" s="5">
        <v>229</v>
      </c>
      <c r="F29" s="5">
        <v>0</v>
      </c>
      <c r="G29" s="5" t="s">
        <v>146</v>
      </c>
      <c r="H29" s="5" t="s">
        <v>147</v>
      </c>
      <c r="I29" s="5"/>
      <c r="J29" s="5"/>
      <c r="K29" s="5">
        <v>229</v>
      </c>
      <c r="L29" s="5">
        <v>10</v>
      </c>
      <c r="M29" s="5">
        <v>3</v>
      </c>
      <c r="N29" s="5" t="s">
        <v>4</v>
      </c>
      <c r="O29" s="5">
        <v>2</v>
      </c>
      <c r="P29" s="5">
        <v>0</v>
      </c>
    </row>
    <row r="30" spans="1:40" x14ac:dyDescent="0.2">
      <c r="A30" s="5">
        <v>50</v>
      </c>
      <c r="B30" s="5">
        <v>0</v>
      </c>
      <c r="C30" s="5">
        <v>0</v>
      </c>
      <c r="D30" s="5">
        <v>1</v>
      </c>
      <c r="E30" s="5">
        <v>203</v>
      </c>
      <c r="F30" s="5">
        <v>59.39</v>
      </c>
      <c r="G30" s="5" t="s">
        <v>148</v>
      </c>
      <c r="H30" s="5" t="s">
        <v>149</v>
      </c>
      <c r="I30" s="5"/>
      <c r="J30" s="5"/>
      <c r="K30" s="5">
        <v>203</v>
      </c>
      <c r="L30" s="5">
        <v>11</v>
      </c>
      <c r="M30" s="5">
        <v>3</v>
      </c>
      <c r="N30" s="5" t="s">
        <v>4</v>
      </c>
      <c r="O30" s="5">
        <v>2</v>
      </c>
      <c r="P30" s="5">
        <v>361.03</v>
      </c>
    </row>
    <row r="31" spans="1:40" x14ac:dyDescent="0.2">
      <c r="A31" s="5">
        <v>50</v>
      </c>
      <c r="B31" s="5">
        <v>0</v>
      </c>
      <c r="C31" s="5">
        <v>0</v>
      </c>
      <c r="D31" s="5">
        <v>1</v>
      </c>
      <c r="E31" s="5">
        <v>231</v>
      </c>
      <c r="F31" s="5">
        <v>0</v>
      </c>
      <c r="G31" s="5" t="s">
        <v>150</v>
      </c>
      <c r="H31" s="5" t="s">
        <v>151</v>
      </c>
      <c r="I31" s="5"/>
      <c r="J31" s="5"/>
      <c r="K31" s="5">
        <v>231</v>
      </c>
      <c r="L31" s="5">
        <v>12</v>
      </c>
      <c r="M31" s="5">
        <v>3</v>
      </c>
      <c r="N31" s="5" t="s">
        <v>4</v>
      </c>
      <c r="O31" s="5">
        <v>2</v>
      </c>
      <c r="P31" s="5">
        <v>0</v>
      </c>
    </row>
    <row r="32" spans="1:40" x14ac:dyDescent="0.2">
      <c r="A32" s="5">
        <v>50</v>
      </c>
      <c r="B32" s="5">
        <v>0</v>
      </c>
      <c r="C32" s="5">
        <v>0</v>
      </c>
      <c r="D32" s="5">
        <v>1</v>
      </c>
      <c r="E32" s="5">
        <v>204</v>
      </c>
      <c r="F32" s="5">
        <v>19.95</v>
      </c>
      <c r="G32" s="5" t="s">
        <v>152</v>
      </c>
      <c r="H32" s="5" t="s">
        <v>153</v>
      </c>
      <c r="I32" s="5"/>
      <c r="J32" s="5"/>
      <c r="K32" s="5">
        <v>204</v>
      </c>
      <c r="L32" s="5">
        <v>13</v>
      </c>
      <c r="M32" s="5">
        <v>3</v>
      </c>
      <c r="N32" s="5" t="s">
        <v>4</v>
      </c>
      <c r="O32" s="5">
        <v>2</v>
      </c>
      <c r="P32" s="5">
        <v>121.32</v>
      </c>
    </row>
    <row r="33" spans="1:16" x14ac:dyDescent="0.2">
      <c r="A33" s="5">
        <v>50</v>
      </c>
      <c r="B33" s="5">
        <v>0</v>
      </c>
      <c r="C33" s="5">
        <v>0</v>
      </c>
      <c r="D33" s="5">
        <v>1</v>
      </c>
      <c r="E33" s="5">
        <v>205</v>
      </c>
      <c r="F33" s="5">
        <v>2212.4499999999998</v>
      </c>
      <c r="G33" s="5" t="s">
        <v>154</v>
      </c>
      <c r="H33" s="5" t="s">
        <v>155</v>
      </c>
      <c r="I33" s="5"/>
      <c r="J33" s="5"/>
      <c r="K33" s="5">
        <v>205</v>
      </c>
      <c r="L33" s="5">
        <v>14</v>
      </c>
      <c r="M33" s="5">
        <v>3</v>
      </c>
      <c r="N33" s="5" t="s">
        <v>4</v>
      </c>
      <c r="O33" s="5">
        <v>2</v>
      </c>
      <c r="P33" s="5">
        <v>13451.76</v>
      </c>
    </row>
    <row r="34" spans="1:16" x14ac:dyDescent="0.2">
      <c r="A34" s="5">
        <v>50</v>
      </c>
      <c r="B34" s="5">
        <v>0</v>
      </c>
      <c r="C34" s="5">
        <v>0</v>
      </c>
      <c r="D34" s="5">
        <v>1</v>
      </c>
      <c r="E34" s="5">
        <v>232</v>
      </c>
      <c r="F34" s="5">
        <v>0</v>
      </c>
      <c r="G34" s="5" t="s">
        <v>156</v>
      </c>
      <c r="H34" s="5" t="s">
        <v>157</v>
      </c>
      <c r="I34" s="5"/>
      <c r="J34" s="5"/>
      <c r="K34" s="5">
        <v>232</v>
      </c>
      <c r="L34" s="5">
        <v>15</v>
      </c>
      <c r="M34" s="5">
        <v>3</v>
      </c>
      <c r="N34" s="5" t="s">
        <v>4</v>
      </c>
      <c r="O34" s="5">
        <v>2</v>
      </c>
      <c r="P34" s="5">
        <v>0</v>
      </c>
    </row>
    <row r="35" spans="1:16" x14ac:dyDescent="0.2">
      <c r="A35" s="5">
        <v>50</v>
      </c>
      <c r="B35" s="5">
        <v>0</v>
      </c>
      <c r="C35" s="5">
        <v>0</v>
      </c>
      <c r="D35" s="5">
        <v>1</v>
      </c>
      <c r="E35" s="5">
        <v>214</v>
      </c>
      <c r="F35" s="5">
        <v>18683.21</v>
      </c>
      <c r="G35" s="5" t="s">
        <v>158</v>
      </c>
      <c r="H35" s="5" t="s">
        <v>159</v>
      </c>
      <c r="I35" s="5"/>
      <c r="J35" s="5"/>
      <c r="K35" s="5">
        <v>214</v>
      </c>
      <c r="L35" s="5">
        <v>16</v>
      </c>
      <c r="M35" s="5">
        <v>3</v>
      </c>
      <c r="N35" s="5" t="s">
        <v>4</v>
      </c>
      <c r="O35" s="5">
        <v>2</v>
      </c>
      <c r="P35" s="5">
        <v>113593.95</v>
      </c>
    </row>
    <row r="36" spans="1:16" x14ac:dyDescent="0.2">
      <c r="A36" s="5">
        <v>50</v>
      </c>
      <c r="B36" s="5">
        <v>0</v>
      </c>
      <c r="C36" s="5">
        <v>0</v>
      </c>
      <c r="D36" s="5">
        <v>1</v>
      </c>
      <c r="E36" s="5">
        <v>215</v>
      </c>
      <c r="F36" s="5">
        <v>0</v>
      </c>
      <c r="G36" s="5" t="s">
        <v>160</v>
      </c>
      <c r="H36" s="5" t="s">
        <v>161</v>
      </c>
      <c r="I36" s="5"/>
      <c r="J36" s="5"/>
      <c r="K36" s="5">
        <v>215</v>
      </c>
      <c r="L36" s="5">
        <v>17</v>
      </c>
      <c r="M36" s="5">
        <v>3</v>
      </c>
      <c r="N36" s="5" t="s">
        <v>4</v>
      </c>
      <c r="O36" s="5">
        <v>2</v>
      </c>
      <c r="P36" s="5">
        <v>0</v>
      </c>
    </row>
    <row r="37" spans="1:16" x14ac:dyDescent="0.2">
      <c r="A37" s="5">
        <v>50</v>
      </c>
      <c r="B37" s="5">
        <v>0</v>
      </c>
      <c r="C37" s="5">
        <v>0</v>
      </c>
      <c r="D37" s="5">
        <v>1</v>
      </c>
      <c r="E37" s="5">
        <v>217</v>
      </c>
      <c r="F37" s="5">
        <v>0</v>
      </c>
      <c r="G37" s="5" t="s">
        <v>162</v>
      </c>
      <c r="H37" s="5" t="s">
        <v>163</v>
      </c>
      <c r="I37" s="5"/>
      <c r="J37" s="5"/>
      <c r="K37" s="5">
        <v>217</v>
      </c>
      <c r="L37" s="5">
        <v>18</v>
      </c>
      <c r="M37" s="5">
        <v>3</v>
      </c>
      <c r="N37" s="5" t="s">
        <v>4</v>
      </c>
      <c r="O37" s="5">
        <v>2</v>
      </c>
      <c r="P37" s="5">
        <v>0</v>
      </c>
    </row>
    <row r="38" spans="1:16" x14ac:dyDescent="0.2">
      <c r="A38" s="5">
        <v>50</v>
      </c>
      <c r="B38" s="5">
        <v>0</v>
      </c>
      <c r="C38" s="5">
        <v>0</v>
      </c>
      <c r="D38" s="5">
        <v>1</v>
      </c>
      <c r="E38" s="5">
        <v>230</v>
      </c>
      <c r="F38" s="5">
        <v>0</v>
      </c>
      <c r="G38" s="5" t="s">
        <v>164</v>
      </c>
      <c r="H38" s="5" t="s">
        <v>165</v>
      </c>
      <c r="I38" s="5"/>
      <c r="J38" s="5"/>
      <c r="K38" s="5">
        <v>230</v>
      </c>
      <c r="L38" s="5">
        <v>19</v>
      </c>
      <c r="M38" s="5">
        <v>3</v>
      </c>
      <c r="N38" s="5" t="s">
        <v>4</v>
      </c>
      <c r="O38" s="5">
        <v>2</v>
      </c>
      <c r="P38" s="5">
        <v>0</v>
      </c>
    </row>
    <row r="39" spans="1:16" x14ac:dyDescent="0.2">
      <c r="A39" s="5">
        <v>50</v>
      </c>
      <c r="B39" s="5">
        <v>0</v>
      </c>
      <c r="C39" s="5">
        <v>0</v>
      </c>
      <c r="D39" s="5">
        <v>1</v>
      </c>
      <c r="E39" s="5">
        <v>206</v>
      </c>
      <c r="F39" s="5">
        <v>0</v>
      </c>
      <c r="G39" s="5" t="s">
        <v>166</v>
      </c>
      <c r="H39" s="5" t="s">
        <v>167</v>
      </c>
      <c r="I39" s="5"/>
      <c r="J39" s="5"/>
      <c r="K39" s="5">
        <v>206</v>
      </c>
      <c r="L39" s="5">
        <v>20</v>
      </c>
      <c r="M39" s="5">
        <v>3</v>
      </c>
      <c r="N39" s="5" t="s">
        <v>4</v>
      </c>
      <c r="O39" s="5">
        <v>2</v>
      </c>
      <c r="P39" s="5">
        <v>0</v>
      </c>
    </row>
    <row r="40" spans="1:16" x14ac:dyDescent="0.2">
      <c r="A40" s="5">
        <v>50</v>
      </c>
      <c r="B40" s="5">
        <v>0</v>
      </c>
      <c r="C40" s="5">
        <v>0</v>
      </c>
      <c r="D40" s="5">
        <v>1</v>
      </c>
      <c r="E40" s="5">
        <v>207</v>
      </c>
      <c r="F40" s="5">
        <v>258.46641549999998</v>
      </c>
      <c r="G40" s="5" t="s">
        <v>168</v>
      </c>
      <c r="H40" s="5" t="s">
        <v>169</v>
      </c>
      <c r="I40" s="5"/>
      <c r="J40" s="5"/>
      <c r="K40" s="5">
        <v>207</v>
      </c>
      <c r="L40" s="5">
        <v>21</v>
      </c>
      <c r="M40" s="5">
        <v>3</v>
      </c>
      <c r="N40" s="5" t="s">
        <v>4</v>
      </c>
      <c r="O40" s="5">
        <v>-1</v>
      </c>
      <c r="P40" s="5">
        <v>258.46641549999998</v>
      </c>
    </row>
    <row r="41" spans="1:16" x14ac:dyDescent="0.2">
      <c r="A41" s="5">
        <v>50</v>
      </c>
      <c r="B41" s="5">
        <v>0</v>
      </c>
      <c r="C41" s="5">
        <v>0</v>
      </c>
      <c r="D41" s="5">
        <v>1</v>
      </c>
      <c r="E41" s="5">
        <v>208</v>
      </c>
      <c r="F41" s="5">
        <v>1.7466025000000001</v>
      </c>
      <c r="G41" s="5" t="s">
        <v>170</v>
      </c>
      <c r="H41" s="5" t="s">
        <v>171</v>
      </c>
      <c r="I41" s="5"/>
      <c r="J41" s="5"/>
      <c r="K41" s="5">
        <v>208</v>
      </c>
      <c r="L41" s="5">
        <v>22</v>
      </c>
      <c r="M41" s="5">
        <v>3</v>
      </c>
      <c r="N41" s="5" t="s">
        <v>4</v>
      </c>
      <c r="O41" s="5">
        <v>-1</v>
      </c>
      <c r="P41" s="5">
        <v>1.7466025000000001</v>
      </c>
    </row>
    <row r="42" spans="1:16" x14ac:dyDescent="0.2">
      <c r="A42" s="5">
        <v>50</v>
      </c>
      <c r="B42" s="5">
        <v>0</v>
      </c>
      <c r="C42" s="5">
        <v>0</v>
      </c>
      <c r="D42" s="5">
        <v>1</v>
      </c>
      <c r="E42" s="5">
        <v>209</v>
      </c>
      <c r="F42" s="5">
        <v>0</v>
      </c>
      <c r="G42" s="5" t="s">
        <v>172</v>
      </c>
      <c r="H42" s="5" t="s">
        <v>173</v>
      </c>
      <c r="I42" s="5"/>
      <c r="J42" s="5"/>
      <c r="K42" s="5">
        <v>209</v>
      </c>
      <c r="L42" s="5">
        <v>23</v>
      </c>
      <c r="M42" s="5">
        <v>3</v>
      </c>
      <c r="N42" s="5" t="s">
        <v>4</v>
      </c>
      <c r="O42" s="5">
        <v>2</v>
      </c>
      <c r="P42" s="5">
        <v>0</v>
      </c>
    </row>
    <row r="43" spans="1:16" x14ac:dyDescent="0.2">
      <c r="A43" s="5">
        <v>50</v>
      </c>
      <c r="B43" s="5">
        <v>0</v>
      </c>
      <c r="C43" s="5">
        <v>0</v>
      </c>
      <c r="D43" s="5">
        <v>1</v>
      </c>
      <c r="E43" s="5">
        <v>210</v>
      </c>
      <c r="F43" s="5">
        <v>2028.81</v>
      </c>
      <c r="G43" s="5" t="s">
        <v>174</v>
      </c>
      <c r="H43" s="5" t="s">
        <v>175</v>
      </c>
      <c r="I43" s="5"/>
      <c r="J43" s="5"/>
      <c r="K43" s="5">
        <v>210</v>
      </c>
      <c r="L43" s="5">
        <v>24</v>
      </c>
      <c r="M43" s="5">
        <v>3</v>
      </c>
      <c r="N43" s="5" t="s">
        <v>4</v>
      </c>
      <c r="O43" s="5">
        <v>2</v>
      </c>
      <c r="P43" s="5">
        <v>12335.23</v>
      </c>
    </row>
    <row r="44" spans="1:16" x14ac:dyDescent="0.2">
      <c r="A44" s="5">
        <v>50</v>
      </c>
      <c r="B44" s="5">
        <v>0</v>
      </c>
      <c r="C44" s="5">
        <v>0</v>
      </c>
      <c r="D44" s="5">
        <v>1</v>
      </c>
      <c r="E44" s="5">
        <v>211</v>
      </c>
      <c r="F44" s="5">
        <v>1248.08</v>
      </c>
      <c r="G44" s="5" t="s">
        <v>176</v>
      </c>
      <c r="H44" s="5" t="s">
        <v>177</v>
      </c>
      <c r="I44" s="5"/>
      <c r="J44" s="5"/>
      <c r="K44" s="5">
        <v>211</v>
      </c>
      <c r="L44" s="5">
        <v>25</v>
      </c>
      <c r="M44" s="5">
        <v>3</v>
      </c>
      <c r="N44" s="5" t="s">
        <v>4</v>
      </c>
      <c r="O44" s="5">
        <v>2</v>
      </c>
      <c r="P44" s="5">
        <v>7588.27</v>
      </c>
    </row>
    <row r="45" spans="1:16" x14ac:dyDescent="0.2">
      <c r="A45" s="5">
        <v>50</v>
      </c>
      <c r="B45" s="5">
        <v>0</v>
      </c>
      <c r="C45" s="5">
        <v>0</v>
      </c>
      <c r="D45" s="5">
        <v>1</v>
      </c>
      <c r="E45" s="5">
        <v>0</v>
      </c>
      <c r="F45" s="5">
        <v>18683.21</v>
      </c>
      <c r="G45" s="5" t="s">
        <v>178</v>
      </c>
      <c r="H45" s="5" t="s">
        <v>179</v>
      </c>
      <c r="I45" s="5"/>
      <c r="J45" s="5"/>
      <c r="K45" s="5">
        <v>224</v>
      </c>
      <c r="L45" s="5">
        <v>26</v>
      </c>
      <c r="M45" s="5">
        <v>3</v>
      </c>
      <c r="N45" s="5" t="s">
        <v>4</v>
      </c>
      <c r="O45" s="5">
        <v>2</v>
      </c>
      <c r="P45" s="5">
        <v>113593.95</v>
      </c>
    </row>
    <row r="46" spans="1:16" x14ac:dyDescent="0.2">
      <c r="A46" s="5">
        <v>50</v>
      </c>
      <c r="B46" s="5">
        <v>1</v>
      </c>
      <c r="C46" s="5">
        <v>0</v>
      </c>
      <c r="D46" s="5">
        <v>2</v>
      </c>
      <c r="E46" s="5">
        <v>0</v>
      </c>
      <c r="F46" s="5">
        <v>18683.21</v>
      </c>
      <c r="G46" s="5" t="s">
        <v>180</v>
      </c>
      <c r="H46" s="5" t="s">
        <v>178</v>
      </c>
      <c r="I46" s="5"/>
      <c r="J46" s="5"/>
      <c r="K46" s="5">
        <v>212</v>
      </c>
      <c r="L46" s="5">
        <v>27</v>
      </c>
      <c r="M46" s="5">
        <v>0</v>
      </c>
      <c r="N46" s="5" t="s">
        <v>4</v>
      </c>
      <c r="O46" s="5">
        <v>2</v>
      </c>
      <c r="P46" s="5">
        <v>113593.95</v>
      </c>
    </row>
    <row r="47" spans="1:16" x14ac:dyDescent="0.2">
      <c r="A47" s="5">
        <v>50</v>
      </c>
      <c r="B47" s="5">
        <v>1</v>
      </c>
      <c r="C47" s="5">
        <v>0</v>
      </c>
      <c r="D47" s="5">
        <v>2</v>
      </c>
      <c r="E47" s="5">
        <v>0</v>
      </c>
      <c r="F47" s="5">
        <v>3362.98</v>
      </c>
      <c r="G47" s="5" t="s">
        <v>181</v>
      </c>
      <c r="H47" s="5" t="s">
        <v>182</v>
      </c>
      <c r="I47" s="5"/>
      <c r="J47" s="5"/>
      <c r="K47" s="5">
        <v>212</v>
      </c>
      <c r="L47" s="5">
        <v>28</v>
      </c>
      <c r="M47" s="5">
        <v>0</v>
      </c>
      <c r="N47" s="5" t="s">
        <v>4</v>
      </c>
      <c r="O47" s="5">
        <v>2</v>
      </c>
      <c r="P47" s="5">
        <v>20446.91</v>
      </c>
    </row>
    <row r="48" spans="1:16" x14ac:dyDescent="0.2">
      <c r="A48" s="5">
        <v>50</v>
      </c>
      <c r="B48" s="5">
        <v>1</v>
      </c>
      <c r="C48" s="5">
        <v>0</v>
      </c>
      <c r="D48" s="5">
        <v>2</v>
      </c>
      <c r="E48" s="5">
        <v>224</v>
      </c>
      <c r="F48" s="5">
        <v>22046.19</v>
      </c>
      <c r="G48" s="5" t="s">
        <v>183</v>
      </c>
      <c r="H48" s="5" t="s">
        <v>184</v>
      </c>
      <c r="I48" s="5"/>
      <c r="J48" s="5"/>
      <c r="K48" s="5">
        <v>212</v>
      </c>
      <c r="L48" s="5">
        <v>29</v>
      </c>
      <c r="M48" s="5">
        <v>0</v>
      </c>
      <c r="N48" s="5" t="s">
        <v>4</v>
      </c>
      <c r="O48" s="5">
        <v>2</v>
      </c>
      <c r="P48" s="5">
        <v>134040.85999999999</v>
      </c>
    </row>
    <row r="50" spans="1:34" x14ac:dyDescent="0.2">
      <c r="A50">
        <v>-1</v>
      </c>
    </row>
    <row r="53" spans="1:34" x14ac:dyDescent="0.2">
      <c r="A53" s="4">
        <v>75</v>
      </c>
      <c r="B53" s="4" t="s">
        <v>246</v>
      </c>
      <c r="C53" s="4">
        <v>2000</v>
      </c>
      <c r="D53" s="4">
        <v>0</v>
      </c>
      <c r="E53" s="4">
        <v>1</v>
      </c>
      <c r="F53" s="4">
        <v>0</v>
      </c>
      <c r="G53" s="4">
        <v>0</v>
      </c>
      <c r="H53" s="4">
        <v>1</v>
      </c>
      <c r="I53" s="4">
        <v>0</v>
      </c>
      <c r="J53" s="4">
        <v>1</v>
      </c>
      <c r="K53" s="4">
        <v>0</v>
      </c>
      <c r="L53" s="4">
        <v>0</v>
      </c>
      <c r="M53" s="4">
        <v>0</v>
      </c>
      <c r="N53" s="4">
        <v>16501254</v>
      </c>
      <c r="O53" s="4">
        <v>1</v>
      </c>
    </row>
    <row r="54" spans="1:34" x14ac:dyDescent="0.2">
      <c r="A54" s="4">
        <v>75</v>
      </c>
      <c r="B54" s="4" t="s">
        <v>247</v>
      </c>
      <c r="C54" s="4">
        <v>2017</v>
      </c>
      <c r="D54" s="4">
        <v>0</v>
      </c>
      <c r="E54" s="4">
        <v>1</v>
      </c>
      <c r="F54" s="4"/>
      <c r="G54" s="4">
        <v>0</v>
      </c>
      <c r="H54" s="4">
        <v>1</v>
      </c>
      <c r="I54" s="4">
        <v>0</v>
      </c>
      <c r="J54" s="4">
        <v>1</v>
      </c>
      <c r="K54" s="4">
        <v>0</v>
      </c>
      <c r="L54" s="4">
        <v>0</v>
      </c>
      <c r="M54" s="4">
        <v>1</v>
      </c>
      <c r="N54" s="4">
        <v>16501255</v>
      </c>
      <c r="O54" s="4">
        <v>2</v>
      </c>
    </row>
    <row r="55" spans="1:34" x14ac:dyDescent="0.2">
      <c r="A55" s="6">
        <v>3</v>
      </c>
      <c r="B55" s="6" t="s">
        <v>248</v>
      </c>
      <c r="C55" s="6">
        <v>6.08</v>
      </c>
      <c r="D55" s="6">
        <v>1</v>
      </c>
      <c r="E55" s="6">
        <v>1</v>
      </c>
      <c r="F55" s="6">
        <v>1</v>
      </c>
      <c r="G55" s="6">
        <v>1</v>
      </c>
      <c r="H55" s="6">
        <v>1</v>
      </c>
      <c r="I55" s="6">
        <v>1</v>
      </c>
      <c r="J55" s="6">
        <v>1</v>
      </c>
      <c r="K55" s="6">
        <v>1</v>
      </c>
      <c r="L55" s="6">
        <v>1</v>
      </c>
      <c r="M55" s="6">
        <v>6.08</v>
      </c>
      <c r="N55" s="6">
        <v>1</v>
      </c>
      <c r="O55" s="6">
        <v>1</v>
      </c>
      <c r="P55" s="6">
        <v>1</v>
      </c>
      <c r="Q55" s="6">
        <v>1</v>
      </c>
      <c r="R55" s="6">
        <v>1</v>
      </c>
      <c r="S55" s="6" t="s">
        <v>4</v>
      </c>
      <c r="T55" s="6" t="s">
        <v>4</v>
      </c>
      <c r="U55" s="6" t="s">
        <v>4</v>
      </c>
      <c r="V55" s="6" t="s">
        <v>4</v>
      </c>
      <c r="W55" s="6" t="s">
        <v>4</v>
      </c>
      <c r="X55" s="6" t="s">
        <v>4</v>
      </c>
      <c r="Y55" s="6" t="s">
        <v>4</v>
      </c>
      <c r="Z55" s="6" t="s">
        <v>4</v>
      </c>
      <c r="AA55" s="6" t="s">
        <v>4</v>
      </c>
      <c r="AB55" s="6" t="s">
        <v>4</v>
      </c>
      <c r="AC55" s="6" t="s">
        <v>4</v>
      </c>
      <c r="AD55" s="6" t="s">
        <v>4</v>
      </c>
      <c r="AE55" s="6" t="s">
        <v>4</v>
      </c>
      <c r="AF55" s="6" t="s">
        <v>4</v>
      </c>
      <c r="AG55" s="6" t="s">
        <v>4</v>
      </c>
      <c r="AH55" s="6" t="s">
        <v>4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130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06" x14ac:dyDescent="0.2">
      <c r="A1">
        <f>ROW(Source!A24)</f>
        <v>24</v>
      </c>
      <c r="B1">
        <v>16501254</v>
      </c>
      <c r="C1">
        <v>16501317</v>
      </c>
      <c r="D1">
        <v>15430517</v>
      </c>
      <c r="E1">
        <v>1</v>
      </c>
      <c r="F1">
        <v>1</v>
      </c>
      <c r="G1">
        <v>1</v>
      </c>
      <c r="H1">
        <v>1</v>
      </c>
      <c r="I1" t="s">
        <v>250</v>
      </c>
      <c r="J1" t="s">
        <v>4</v>
      </c>
      <c r="K1" t="s">
        <v>251</v>
      </c>
      <c r="L1">
        <v>1191</v>
      </c>
      <c r="N1">
        <v>1013</v>
      </c>
      <c r="O1" t="s">
        <v>252</v>
      </c>
      <c r="P1" t="s">
        <v>252</v>
      </c>
      <c r="Q1">
        <v>1</v>
      </c>
      <c r="W1">
        <v>0</v>
      </c>
      <c r="X1">
        <v>735429535</v>
      </c>
      <c r="Y1">
        <v>3.77</v>
      </c>
      <c r="AA1">
        <v>0</v>
      </c>
      <c r="AB1">
        <v>0</v>
      </c>
      <c r="AC1">
        <v>0</v>
      </c>
      <c r="AD1">
        <v>7.8</v>
      </c>
      <c r="AE1">
        <v>0</v>
      </c>
      <c r="AF1">
        <v>0</v>
      </c>
      <c r="AG1">
        <v>0</v>
      </c>
      <c r="AH1">
        <v>7.8</v>
      </c>
      <c r="AI1">
        <v>1</v>
      </c>
      <c r="AJ1">
        <v>1</v>
      </c>
      <c r="AK1">
        <v>1</v>
      </c>
      <c r="AL1">
        <v>1</v>
      </c>
      <c r="AN1">
        <v>0</v>
      </c>
      <c r="AO1">
        <v>1</v>
      </c>
      <c r="AP1">
        <v>0</v>
      </c>
      <c r="AQ1">
        <v>0</v>
      </c>
      <c r="AR1">
        <v>0</v>
      </c>
      <c r="AS1" t="s">
        <v>4</v>
      </c>
      <c r="AT1">
        <v>3.77</v>
      </c>
      <c r="AU1" t="s">
        <v>4</v>
      </c>
      <c r="AV1">
        <v>1</v>
      </c>
      <c r="AW1">
        <v>2</v>
      </c>
      <c r="AX1">
        <v>16501319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Y1*Source!I24</f>
        <v>0.87464000000000008</v>
      </c>
      <c r="CY1">
        <f>AD1</f>
        <v>7.8</v>
      </c>
      <c r="CZ1">
        <f>AH1</f>
        <v>7.8</v>
      </c>
      <c r="DA1">
        <f>AL1</f>
        <v>1</v>
      </c>
      <c r="DB1">
        <v>0</v>
      </c>
    </row>
    <row r="2" spans="1:106" x14ac:dyDescent="0.2">
      <c r="A2">
        <f>ROW(Source!A25)</f>
        <v>25</v>
      </c>
      <c r="B2">
        <v>16501255</v>
      </c>
      <c r="C2">
        <v>16501317</v>
      </c>
      <c r="D2">
        <v>15430517</v>
      </c>
      <c r="E2">
        <v>1</v>
      </c>
      <c r="F2">
        <v>1</v>
      </c>
      <c r="G2">
        <v>1</v>
      </c>
      <c r="H2">
        <v>1</v>
      </c>
      <c r="I2" t="s">
        <v>250</v>
      </c>
      <c r="J2" t="s">
        <v>4</v>
      </c>
      <c r="K2" t="s">
        <v>251</v>
      </c>
      <c r="L2">
        <v>1191</v>
      </c>
      <c r="N2">
        <v>1013</v>
      </c>
      <c r="O2" t="s">
        <v>252</v>
      </c>
      <c r="P2" t="s">
        <v>252</v>
      </c>
      <c r="Q2">
        <v>1</v>
      </c>
      <c r="W2">
        <v>0</v>
      </c>
      <c r="X2">
        <v>735429535</v>
      </c>
      <c r="Y2">
        <v>3.77</v>
      </c>
      <c r="AA2">
        <v>0</v>
      </c>
      <c r="AB2">
        <v>0</v>
      </c>
      <c r="AC2">
        <v>0</v>
      </c>
      <c r="AD2">
        <v>47.42</v>
      </c>
      <c r="AE2">
        <v>0</v>
      </c>
      <c r="AF2">
        <v>0</v>
      </c>
      <c r="AG2">
        <v>0</v>
      </c>
      <c r="AH2">
        <v>7.8</v>
      </c>
      <c r="AI2">
        <v>1</v>
      </c>
      <c r="AJ2">
        <v>1</v>
      </c>
      <c r="AK2">
        <v>1</v>
      </c>
      <c r="AL2">
        <v>6.08</v>
      </c>
      <c r="AN2">
        <v>0</v>
      </c>
      <c r="AO2">
        <v>1</v>
      </c>
      <c r="AP2">
        <v>0</v>
      </c>
      <c r="AQ2">
        <v>0</v>
      </c>
      <c r="AR2">
        <v>0</v>
      </c>
      <c r="AS2" t="s">
        <v>4</v>
      </c>
      <c r="AT2">
        <v>3.77</v>
      </c>
      <c r="AU2" t="s">
        <v>4</v>
      </c>
      <c r="AV2">
        <v>1</v>
      </c>
      <c r="AW2">
        <v>2</v>
      </c>
      <c r="AX2">
        <v>16501319</v>
      </c>
      <c r="AY2">
        <v>1</v>
      </c>
      <c r="AZ2">
        <v>0</v>
      </c>
      <c r="BA2">
        <v>3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Y2*Source!I25</f>
        <v>0.87464000000000008</v>
      </c>
      <c r="CY2">
        <f>AD2</f>
        <v>47.42</v>
      </c>
      <c r="CZ2">
        <f>AH2</f>
        <v>7.8</v>
      </c>
      <c r="DA2">
        <f>AL2</f>
        <v>6.08</v>
      </c>
      <c r="DB2">
        <v>0</v>
      </c>
    </row>
    <row r="3" spans="1:106" x14ac:dyDescent="0.2">
      <c r="A3">
        <f>ROW(Source!A26)</f>
        <v>26</v>
      </c>
      <c r="B3">
        <v>16501254</v>
      </c>
      <c r="C3">
        <v>16501321</v>
      </c>
      <c r="D3">
        <v>15430517</v>
      </c>
      <c r="E3">
        <v>1</v>
      </c>
      <c r="F3">
        <v>1</v>
      </c>
      <c r="G3">
        <v>1</v>
      </c>
      <c r="H3">
        <v>1</v>
      </c>
      <c r="I3" t="s">
        <v>250</v>
      </c>
      <c r="J3" t="s">
        <v>4</v>
      </c>
      <c r="K3" t="s">
        <v>251</v>
      </c>
      <c r="L3">
        <v>1191</v>
      </c>
      <c r="N3">
        <v>1013</v>
      </c>
      <c r="O3" t="s">
        <v>252</v>
      </c>
      <c r="P3" t="s">
        <v>252</v>
      </c>
      <c r="Q3">
        <v>1</v>
      </c>
      <c r="W3">
        <v>0</v>
      </c>
      <c r="X3">
        <v>735429535</v>
      </c>
      <c r="Y3">
        <v>11.39</v>
      </c>
      <c r="AA3">
        <v>0</v>
      </c>
      <c r="AB3">
        <v>0</v>
      </c>
      <c r="AC3">
        <v>0</v>
      </c>
      <c r="AD3">
        <v>7.8</v>
      </c>
      <c r="AE3">
        <v>0</v>
      </c>
      <c r="AF3">
        <v>0</v>
      </c>
      <c r="AG3">
        <v>0</v>
      </c>
      <c r="AH3">
        <v>7.8</v>
      </c>
      <c r="AI3">
        <v>1</v>
      </c>
      <c r="AJ3">
        <v>1</v>
      </c>
      <c r="AK3">
        <v>1</v>
      </c>
      <c r="AL3">
        <v>1</v>
      </c>
      <c r="AN3">
        <v>0</v>
      </c>
      <c r="AO3">
        <v>1</v>
      </c>
      <c r="AP3">
        <v>0</v>
      </c>
      <c r="AQ3">
        <v>0</v>
      </c>
      <c r="AR3">
        <v>0</v>
      </c>
      <c r="AS3" t="s">
        <v>4</v>
      </c>
      <c r="AT3">
        <v>11.39</v>
      </c>
      <c r="AU3" t="s">
        <v>4</v>
      </c>
      <c r="AV3">
        <v>1</v>
      </c>
      <c r="AW3">
        <v>2</v>
      </c>
      <c r="AX3">
        <v>16501325</v>
      </c>
      <c r="AY3">
        <v>1</v>
      </c>
      <c r="AZ3">
        <v>0</v>
      </c>
      <c r="BA3">
        <v>5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Y3*Source!I26</f>
        <v>4.1345700000000001</v>
      </c>
      <c r="CY3">
        <f>AD3</f>
        <v>7.8</v>
      </c>
      <c r="CZ3">
        <f>AH3</f>
        <v>7.8</v>
      </c>
      <c r="DA3">
        <f>AL3</f>
        <v>1</v>
      </c>
      <c r="DB3">
        <v>0</v>
      </c>
    </row>
    <row r="4" spans="1:106" x14ac:dyDescent="0.2">
      <c r="A4">
        <f>ROW(Source!A26)</f>
        <v>26</v>
      </c>
      <c r="B4">
        <v>16501254</v>
      </c>
      <c r="C4">
        <v>16501321</v>
      </c>
      <c r="D4">
        <v>15430395</v>
      </c>
      <c r="E4">
        <v>1</v>
      </c>
      <c r="F4">
        <v>1</v>
      </c>
      <c r="G4">
        <v>1</v>
      </c>
      <c r="H4">
        <v>1</v>
      </c>
      <c r="I4" t="s">
        <v>253</v>
      </c>
      <c r="J4" t="s">
        <v>4</v>
      </c>
      <c r="K4" t="s">
        <v>254</v>
      </c>
      <c r="L4">
        <v>1191</v>
      </c>
      <c r="N4">
        <v>1013</v>
      </c>
      <c r="O4" t="s">
        <v>252</v>
      </c>
      <c r="P4" t="s">
        <v>252</v>
      </c>
      <c r="Q4">
        <v>1</v>
      </c>
      <c r="W4">
        <v>0</v>
      </c>
      <c r="X4">
        <v>-1417349443</v>
      </c>
      <c r="Y4">
        <v>0.13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1</v>
      </c>
      <c r="AJ4">
        <v>1</v>
      </c>
      <c r="AK4">
        <v>1</v>
      </c>
      <c r="AL4">
        <v>1</v>
      </c>
      <c r="AN4">
        <v>0</v>
      </c>
      <c r="AO4">
        <v>1</v>
      </c>
      <c r="AP4">
        <v>0</v>
      </c>
      <c r="AQ4">
        <v>0</v>
      </c>
      <c r="AR4">
        <v>0</v>
      </c>
      <c r="AS4" t="s">
        <v>4</v>
      </c>
      <c r="AT4">
        <v>0.13</v>
      </c>
      <c r="AU4" t="s">
        <v>4</v>
      </c>
      <c r="AV4">
        <v>2</v>
      </c>
      <c r="AW4">
        <v>2</v>
      </c>
      <c r="AX4">
        <v>16501326</v>
      </c>
      <c r="AY4">
        <v>1</v>
      </c>
      <c r="AZ4">
        <v>0</v>
      </c>
      <c r="BA4">
        <v>6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Y4*Source!I26</f>
        <v>4.7190000000000003E-2</v>
      </c>
      <c r="CY4">
        <f>AD4</f>
        <v>0</v>
      </c>
      <c r="CZ4">
        <f>AH4</f>
        <v>0</v>
      </c>
      <c r="DA4">
        <f>AL4</f>
        <v>1</v>
      </c>
      <c r="DB4">
        <v>0</v>
      </c>
    </row>
    <row r="5" spans="1:106" x14ac:dyDescent="0.2">
      <c r="A5">
        <f>ROW(Source!A26)</f>
        <v>26</v>
      </c>
      <c r="B5">
        <v>16501254</v>
      </c>
      <c r="C5">
        <v>16501321</v>
      </c>
      <c r="D5">
        <v>15247974</v>
      </c>
      <c r="E5">
        <v>1</v>
      </c>
      <c r="F5">
        <v>1</v>
      </c>
      <c r="G5">
        <v>1</v>
      </c>
      <c r="H5">
        <v>2</v>
      </c>
      <c r="I5" t="s">
        <v>255</v>
      </c>
      <c r="J5" t="s">
        <v>256</v>
      </c>
      <c r="K5" t="s">
        <v>257</v>
      </c>
      <c r="L5">
        <v>1368</v>
      </c>
      <c r="N5">
        <v>1011</v>
      </c>
      <c r="O5" t="s">
        <v>258</v>
      </c>
      <c r="P5" t="s">
        <v>258</v>
      </c>
      <c r="Q5">
        <v>1</v>
      </c>
      <c r="W5">
        <v>0</v>
      </c>
      <c r="X5">
        <v>1188625873</v>
      </c>
      <c r="Y5">
        <v>0.13</v>
      </c>
      <c r="AA5">
        <v>0</v>
      </c>
      <c r="AB5">
        <v>31.26</v>
      </c>
      <c r="AC5">
        <v>13.5</v>
      </c>
      <c r="AD5">
        <v>0</v>
      </c>
      <c r="AE5">
        <v>0</v>
      </c>
      <c r="AF5">
        <v>31.26</v>
      </c>
      <c r="AG5">
        <v>13.5</v>
      </c>
      <c r="AH5">
        <v>0</v>
      </c>
      <c r="AI5">
        <v>1</v>
      </c>
      <c r="AJ5">
        <v>1</v>
      </c>
      <c r="AK5">
        <v>1</v>
      </c>
      <c r="AL5">
        <v>1</v>
      </c>
      <c r="AN5">
        <v>0</v>
      </c>
      <c r="AO5">
        <v>1</v>
      </c>
      <c r="AP5">
        <v>0</v>
      </c>
      <c r="AQ5">
        <v>0</v>
      </c>
      <c r="AR5">
        <v>0</v>
      </c>
      <c r="AS5" t="s">
        <v>4</v>
      </c>
      <c r="AT5">
        <v>0.13</v>
      </c>
      <c r="AU5" t="s">
        <v>4</v>
      </c>
      <c r="AV5">
        <v>0</v>
      </c>
      <c r="AW5">
        <v>2</v>
      </c>
      <c r="AX5">
        <v>16501327</v>
      </c>
      <c r="AY5">
        <v>1</v>
      </c>
      <c r="AZ5">
        <v>0</v>
      </c>
      <c r="BA5">
        <v>7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Y5*Source!I26</f>
        <v>4.7190000000000003E-2</v>
      </c>
      <c r="CY5">
        <f>AB5</f>
        <v>31.26</v>
      </c>
      <c r="CZ5">
        <f>AF5</f>
        <v>31.26</v>
      </c>
      <c r="DA5">
        <f>AJ5</f>
        <v>1</v>
      </c>
      <c r="DB5">
        <v>0</v>
      </c>
    </row>
    <row r="6" spans="1:106" x14ac:dyDescent="0.2">
      <c r="A6">
        <f>ROW(Source!A27)</f>
        <v>27</v>
      </c>
      <c r="B6">
        <v>16501255</v>
      </c>
      <c r="C6">
        <v>16501321</v>
      </c>
      <c r="D6">
        <v>15430517</v>
      </c>
      <c r="E6">
        <v>1</v>
      </c>
      <c r="F6">
        <v>1</v>
      </c>
      <c r="G6">
        <v>1</v>
      </c>
      <c r="H6">
        <v>1</v>
      </c>
      <c r="I6" t="s">
        <v>250</v>
      </c>
      <c r="J6" t="s">
        <v>4</v>
      </c>
      <c r="K6" t="s">
        <v>251</v>
      </c>
      <c r="L6">
        <v>1191</v>
      </c>
      <c r="N6">
        <v>1013</v>
      </c>
      <c r="O6" t="s">
        <v>252</v>
      </c>
      <c r="P6" t="s">
        <v>252</v>
      </c>
      <c r="Q6">
        <v>1</v>
      </c>
      <c r="W6">
        <v>0</v>
      </c>
      <c r="X6">
        <v>735429535</v>
      </c>
      <c r="Y6">
        <v>11.39</v>
      </c>
      <c r="AA6">
        <v>0</v>
      </c>
      <c r="AB6">
        <v>0</v>
      </c>
      <c r="AC6">
        <v>0</v>
      </c>
      <c r="AD6">
        <v>47.42</v>
      </c>
      <c r="AE6">
        <v>0</v>
      </c>
      <c r="AF6">
        <v>0</v>
      </c>
      <c r="AG6">
        <v>0</v>
      </c>
      <c r="AH6">
        <v>7.8</v>
      </c>
      <c r="AI6">
        <v>1</v>
      </c>
      <c r="AJ6">
        <v>1</v>
      </c>
      <c r="AK6">
        <v>1</v>
      </c>
      <c r="AL6">
        <v>6.08</v>
      </c>
      <c r="AN6">
        <v>0</v>
      </c>
      <c r="AO6">
        <v>1</v>
      </c>
      <c r="AP6">
        <v>0</v>
      </c>
      <c r="AQ6">
        <v>0</v>
      </c>
      <c r="AR6">
        <v>0</v>
      </c>
      <c r="AS6" t="s">
        <v>4</v>
      </c>
      <c r="AT6">
        <v>11.39</v>
      </c>
      <c r="AU6" t="s">
        <v>4</v>
      </c>
      <c r="AV6">
        <v>1</v>
      </c>
      <c r="AW6">
        <v>2</v>
      </c>
      <c r="AX6">
        <v>16501325</v>
      </c>
      <c r="AY6">
        <v>1</v>
      </c>
      <c r="AZ6">
        <v>0</v>
      </c>
      <c r="BA6">
        <v>9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Y6*Source!I27</f>
        <v>4.1345700000000001</v>
      </c>
      <c r="CY6">
        <f>AD6</f>
        <v>47.42</v>
      </c>
      <c r="CZ6">
        <f>AH6</f>
        <v>7.8</v>
      </c>
      <c r="DA6">
        <f>AL6</f>
        <v>6.08</v>
      </c>
      <c r="DB6">
        <v>0</v>
      </c>
    </row>
    <row r="7" spans="1:106" x14ac:dyDescent="0.2">
      <c r="A7">
        <f>ROW(Source!A27)</f>
        <v>27</v>
      </c>
      <c r="B7">
        <v>16501255</v>
      </c>
      <c r="C7">
        <v>16501321</v>
      </c>
      <c r="D7">
        <v>15430395</v>
      </c>
      <c r="E7">
        <v>1</v>
      </c>
      <c r="F7">
        <v>1</v>
      </c>
      <c r="G7">
        <v>1</v>
      </c>
      <c r="H7">
        <v>1</v>
      </c>
      <c r="I7" t="s">
        <v>253</v>
      </c>
      <c r="J7" t="s">
        <v>4</v>
      </c>
      <c r="K7" t="s">
        <v>254</v>
      </c>
      <c r="L7">
        <v>1191</v>
      </c>
      <c r="N7">
        <v>1013</v>
      </c>
      <c r="O7" t="s">
        <v>252</v>
      </c>
      <c r="P7" t="s">
        <v>252</v>
      </c>
      <c r="Q7">
        <v>1</v>
      </c>
      <c r="W7">
        <v>0</v>
      </c>
      <c r="X7">
        <v>-1417349443</v>
      </c>
      <c r="Y7">
        <v>0.13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1</v>
      </c>
      <c r="AJ7">
        <v>1</v>
      </c>
      <c r="AK7">
        <v>6.08</v>
      </c>
      <c r="AL7">
        <v>1</v>
      </c>
      <c r="AN7">
        <v>0</v>
      </c>
      <c r="AO7">
        <v>1</v>
      </c>
      <c r="AP7">
        <v>0</v>
      </c>
      <c r="AQ7">
        <v>0</v>
      </c>
      <c r="AR7">
        <v>0</v>
      </c>
      <c r="AS7" t="s">
        <v>4</v>
      </c>
      <c r="AT7">
        <v>0.13</v>
      </c>
      <c r="AU7" t="s">
        <v>4</v>
      </c>
      <c r="AV7">
        <v>2</v>
      </c>
      <c r="AW7">
        <v>2</v>
      </c>
      <c r="AX7">
        <v>16501326</v>
      </c>
      <c r="AY7">
        <v>1</v>
      </c>
      <c r="AZ7">
        <v>0</v>
      </c>
      <c r="BA7">
        <v>10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Y7*Source!I27</f>
        <v>4.7190000000000003E-2</v>
      </c>
      <c r="CY7">
        <f>AD7</f>
        <v>0</v>
      </c>
      <c r="CZ7">
        <f>AH7</f>
        <v>0</v>
      </c>
      <c r="DA7">
        <f>AL7</f>
        <v>1</v>
      </c>
      <c r="DB7">
        <v>0</v>
      </c>
    </row>
    <row r="8" spans="1:106" x14ac:dyDescent="0.2">
      <c r="A8">
        <f>ROW(Source!A27)</f>
        <v>27</v>
      </c>
      <c r="B8">
        <v>16501255</v>
      </c>
      <c r="C8">
        <v>16501321</v>
      </c>
      <c r="D8">
        <v>15247974</v>
      </c>
      <c r="E8">
        <v>1</v>
      </c>
      <c r="F8">
        <v>1</v>
      </c>
      <c r="G8">
        <v>1</v>
      </c>
      <c r="H8">
        <v>2</v>
      </c>
      <c r="I8" t="s">
        <v>255</v>
      </c>
      <c r="J8" t="s">
        <v>256</v>
      </c>
      <c r="K8" t="s">
        <v>257</v>
      </c>
      <c r="L8">
        <v>1368</v>
      </c>
      <c r="N8">
        <v>1011</v>
      </c>
      <c r="O8" t="s">
        <v>258</v>
      </c>
      <c r="P8" t="s">
        <v>258</v>
      </c>
      <c r="Q8">
        <v>1</v>
      </c>
      <c r="W8">
        <v>0</v>
      </c>
      <c r="X8">
        <v>1188625873</v>
      </c>
      <c r="Y8">
        <v>0.13</v>
      </c>
      <c r="AA8">
        <v>0</v>
      </c>
      <c r="AB8">
        <v>190.06</v>
      </c>
      <c r="AC8">
        <v>13.5</v>
      </c>
      <c r="AD8">
        <v>0</v>
      </c>
      <c r="AE8">
        <v>0</v>
      </c>
      <c r="AF8">
        <v>31.26</v>
      </c>
      <c r="AG8">
        <v>13.5</v>
      </c>
      <c r="AH8">
        <v>0</v>
      </c>
      <c r="AI8">
        <v>1</v>
      </c>
      <c r="AJ8">
        <v>6.08</v>
      </c>
      <c r="AK8">
        <v>1</v>
      </c>
      <c r="AL8">
        <v>1</v>
      </c>
      <c r="AN8">
        <v>0</v>
      </c>
      <c r="AO8">
        <v>1</v>
      </c>
      <c r="AP8">
        <v>0</v>
      </c>
      <c r="AQ8">
        <v>0</v>
      </c>
      <c r="AR8">
        <v>0</v>
      </c>
      <c r="AS8" t="s">
        <v>4</v>
      </c>
      <c r="AT8">
        <v>0.13</v>
      </c>
      <c r="AU8" t="s">
        <v>4</v>
      </c>
      <c r="AV8">
        <v>0</v>
      </c>
      <c r="AW8">
        <v>2</v>
      </c>
      <c r="AX8">
        <v>16501327</v>
      </c>
      <c r="AY8">
        <v>1</v>
      </c>
      <c r="AZ8">
        <v>0</v>
      </c>
      <c r="BA8">
        <v>11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Y8*Source!I27</f>
        <v>4.7190000000000003E-2</v>
      </c>
      <c r="CY8">
        <f>AB8</f>
        <v>190.06</v>
      </c>
      <c r="CZ8">
        <f>AF8</f>
        <v>31.26</v>
      </c>
      <c r="DA8">
        <f>AJ8</f>
        <v>6.08</v>
      </c>
      <c r="DB8">
        <v>0</v>
      </c>
    </row>
    <row r="9" spans="1:106" x14ac:dyDescent="0.2">
      <c r="A9">
        <f>ROW(Source!A28)</f>
        <v>28</v>
      </c>
      <c r="B9">
        <v>16501254</v>
      </c>
      <c r="C9">
        <v>16501329</v>
      </c>
      <c r="D9">
        <v>15430767</v>
      </c>
      <c r="E9">
        <v>1</v>
      </c>
      <c r="F9">
        <v>1</v>
      </c>
      <c r="G9">
        <v>1</v>
      </c>
      <c r="H9">
        <v>1</v>
      </c>
      <c r="I9" t="s">
        <v>259</v>
      </c>
      <c r="J9" t="s">
        <v>4</v>
      </c>
      <c r="K9" t="s">
        <v>260</v>
      </c>
      <c r="L9">
        <v>1191</v>
      </c>
      <c r="N9">
        <v>1013</v>
      </c>
      <c r="O9" t="s">
        <v>252</v>
      </c>
      <c r="P9" t="s">
        <v>252</v>
      </c>
      <c r="Q9">
        <v>1</v>
      </c>
      <c r="W9">
        <v>0</v>
      </c>
      <c r="X9">
        <v>-400197608</v>
      </c>
      <c r="Y9">
        <v>43.320499999999996</v>
      </c>
      <c r="AA9">
        <v>0</v>
      </c>
      <c r="AB9">
        <v>0</v>
      </c>
      <c r="AC9">
        <v>0</v>
      </c>
      <c r="AD9">
        <v>8.5299999999999994</v>
      </c>
      <c r="AE9">
        <v>0</v>
      </c>
      <c r="AF9">
        <v>0</v>
      </c>
      <c r="AG9">
        <v>0</v>
      </c>
      <c r="AH9">
        <v>8.5299999999999994</v>
      </c>
      <c r="AI9">
        <v>1</v>
      </c>
      <c r="AJ9">
        <v>1</v>
      </c>
      <c r="AK9">
        <v>1</v>
      </c>
      <c r="AL9">
        <v>1</v>
      </c>
      <c r="AN9">
        <v>0</v>
      </c>
      <c r="AO9">
        <v>1</v>
      </c>
      <c r="AP9">
        <v>1</v>
      </c>
      <c r="AQ9">
        <v>0</v>
      </c>
      <c r="AR9">
        <v>0</v>
      </c>
      <c r="AS9" t="s">
        <v>4</v>
      </c>
      <c r="AT9">
        <v>37.67</v>
      </c>
      <c r="AU9" t="s">
        <v>30</v>
      </c>
      <c r="AV9">
        <v>1</v>
      </c>
      <c r="AW9">
        <v>2</v>
      </c>
      <c r="AX9">
        <v>16501337</v>
      </c>
      <c r="AY9">
        <v>1</v>
      </c>
      <c r="AZ9">
        <v>0</v>
      </c>
      <c r="BA9">
        <v>13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Y9*Source!I28</f>
        <v>15.725341499999997</v>
      </c>
      <c r="CY9">
        <f>AD9</f>
        <v>8.5299999999999994</v>
      </c>
      <c r="CZ9">
        <f>AH9</f>
        <v>8.5299999999999994</v>
      </c>
      <c r="DA9">
        <f>AL9</f>
        <v>1</v>
      </c>
      <c r="DB9">
        <v>0</v>
      </c>
    </row>
    <row r="10" spans="1:106" x14ac:dyDescent="0.2">
      <c r="A10">
        <f>ROW(Source!A28)</f>
        <v>28</v>
      </c>
      <c r="B10">
        <v>16501254</v>
      </c>
      <c r="C10">
        <v>16501329</v>
      </c>
      <c r="D10">
        <v>15430395</v>
      </c>
      <c r="E10">
        <v>1</v>
      </c>
      <c r="F10">
        <v>1</v>
      </c>
      <c r="G10">
        <v>1</v>
      </c>
      <c r="H10">
        <v>1</v>
      </c>
      <c r="I10" t="s">
        <v>253</v>
      </c>
      <c r="J10" t="s">
        <v>4</v>
      </c>
      <c r="K10" t="s">
        <v>254</v>
      </c>
      <c r="L10">
        <v>1191</v>
      </c>
      <c r="N10">
        <v>1013</v>
      </c>
      <c r="O10" t="s">
        <v>252</v>
      </c>
      <c r="P10" t="s">
        <v>252</v>
      </c>
      <c r="Q10">
        <v>1</v>
      </c>
      <c r="W10">
        <v>0</v>
      </c>
      <c r="X10">
        <v>-1417349443</v>
      </c>
      <c r="Y10">
        <v>0.17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1</v>
      </c>
      <c r="AJ10">
        <v>1</v>
      </c>
      <c r="AK10">
        <v>1</v>
      </c>
      <c r="AL10">
        <v>1</v>
      </c>
      <c r="AN10">
        <v>0</v>
      </c>
      <c r="AO10">
        <v>1</v>
      </c>
      <c r="AP10">
        <v>0</v>
      </c>
      <c r="AQ10">
        <v>0</v>
      </c>
      <c r="AR10">
        <v>0</v>
      </c>
      <c r="AS10" t="s">
        <v>4</v>
      </c>
      <c r="AT10">
        <v>0.17</v>
      </c>
      <c r="AU10" t="s">
        <v>4</v>
      </c>
      <c r="AV10">
        <v>2</v>
      </c>
      <c r="AW10">
        <v>2</v>
      </c>
      <c r="AX10">
        <v>16501338</v>
      </c>
      <c r="AY10">
        <v>1</v>
      </c>
      <c r="AZ10">
        <v>2048</v>
      </c>
      <c r="BA10">
        <v>14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Y10*Source!I28</f>
        <v>6.1710000000000001E-2</v>
      </c>
      <c r="CY10">
        <f>AD10</f>
        <v>0</v>
      </c>
      <c r="CZ10">
        <f>AH10</f>
        <v>0</v>
      </c>
      <c r="DA10">
        <f>AL10</f>
        <v>1</v>
      </c>
      <c r="DB10">
        <v>0</v>
      </c>
    </row>
    <row r="11" spans="1:106" x14ac:dyDescent="0.2">
      <c r="A11">
        <f>ROW(Source!A28)</f>
        <v>28</v>
      </c>
      <c r="B11">
        <v>16501254</v>
      </c>
      <c r="C11">
        <v>16501329</v>
      </c>
      <c r="D11">
        <v>15247970</v>
      </c>
      <c r="E11">
        <v>1</v>
      </c>
      <c r="F11">
        <v>1</v>
      </c>
      <c r="G11">
        <v>1</v>
      </c>
      <c r="H11">
        <v>2</v>
      </c>
      <c r="I11" t="s">
        <v>261</v>
      </c>
      <c r="J11" t="s">
        <v>262</v>
      </c>
      <c r="K11" t="s">
        <v>263</v>
      </c>
      <c r="L11">
        <v>1368</v>
      </c>
      <c r="N11">
        <v>1011</v>
      </c>
      <c r="O11" t="s">
        <v>258</v>
      </c>
      <c r="P11" t="s">
        <v>258</v>
      </c>
      <c r="Q11">
        <v>1</v>
      </c>
      <c r="W11">
        <v>0</v>
      </c>
      <c r="X11">
        <v>368031958</v>
      </c>
      <c r="Y11">
        <v>0.16250000000000001</v>
      </c>
      <c r="AA11">
        <v>0</v>
      </c>
      <c r="AB11">
        <v>27.66</v>
      </c>
      <c r="AC11">
        <v>11.6</v>
      </c>
      <c r="AD11">
        <v>0</v>
      </c>
      <c r="AE11">
        <v>0</v>
      </c>
      <c r="AF11">
        <v>27.66</v>
      </c>
      <c r="AG11">
        <v>11.6</v>
      </c>
      <c r="AH11">
        <v>0</v>
      </c>
      <c r="AI11">
        <v>1</v>
      </c>
      <c r="AJ11">
        <v>1</v>
      </c>
      <c r="AK11">
        <v>1</v>
      </c>
      <c r="AL11">
        <v>1</v>
      </c>
      <c r="AN11">
        <v>0</v>
      </c>
      <c r="AO11">
        <v>1</v>
      </c>
      <c r="AP11">
        <v>1</v>
      </c>
      <c r="AQ11">
        <v>0</v>
      </c>
      <c r="AR11">
        <v>0</v>
      </c>
      <c r="AS11" t="s">
        <v>4</v>
      </c>
      <c r="AT11">
        <v>0.13</v>
      </c>
      <c r="AU11" t="s">
        <v>29</v>
      </c>
      <c r="AV11">
        <v>0</v>
      </c>
      <c r="AW11">
        <v>2</v>
      </c>
      <c r="AX11">
        <v>16501339</v>
      </c>
      <c r="AY11">
        <v>1</v>
      </c>
      <c r="AZ11">
        <v>0</v>
      </c>
      <c r="BA11">
        <v>15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Y11*Source!I28</f>
        <v>5.8987499999999998E-2</v>
      </c>
      <c r="CY11">
        <f>AB11</f>
        <v>27.66</v>
      </c>
      <c r="CZ11">
        <f>AF11</f>
        <v>27.66</v>
      </c>
      <c r="DA11">
        <f>AJ11</f>
        <v>1</v>
      </c>
      <c r="DB11">
        <v>0</v>
      </c>
    </row>
    <row r="12" spans="1:106" x14ac:dyDescent="0.2">
      <c r="A12">
        <f>ROW(Source!A28)</f>
        <v>28</v>
      </c>
      <c r="B12">
        <v>16501254</v>
      </c>
      <c r="C12">
        <v>16501329</v>
      </c>
      <c r="D12">
        <v>15249073</v>
      </c>
      <c r="E12">
        <v>1</v>
      </c>
      <c r="F12">
        <v>1</v>
      </c>
      <c r="G12">
        <v>1</v>
      </c>
      <c r="H12">
        <v>2</v>
      </c>
      <c r="I12" t="s">
        <v>264</v>
      </c>
      <c r="J12" t="s">
        <v>265</v>
      </c>
      <c r="K12" t="s">
        <v>266</v>
      </c>
      <c r="L12">
        <v>1368</v>
      </c>
      <c r="N12">
        <v>1011</v>
      </c>
      <c r="O12" t="s">
        <v>258</v>
      </c>
      <c r="P12" t="s">
        <v>258</v>
      </c>
      <c r="Q12">
        <v>1</v>
      </c>
      <c r="W12">
        <v>0</v>
      </c>
      <c r="X12">
        <v>1372534845</v>
      </c>
      <c r="Y12">
        <v>0.05</v>
      </c>
      <c r="AA12">
        <v>0</v>
      </c>
      <c r="AB12">
        <v>65.709999999999994</v>
      </c>
      <c r="AC12">
        <v>11.6</v>
      </c>
      <c r="AD12">
        <v>0</v>
      </c>
      <c r="AE12">
        <v>0</v>
      </c>
      <c r="AF12">
        <v>65.709999999999994</v>
      </c>
      <c r="AG12">
        <v>11.6</v>
      </c>
      <c r="AH12">
        <v>0</v>
      </c>
      <c r="AI12">
        <v>1</v>
      </c>
      <c r="AJ12">
        <v>1</v>
      </c>
      <c r="AK12">
        <v>1</v>
      </c>
      <c r="AL12">
        <v>1</v>
      </c>
      <c r="AN12">
        <v>0</v>
      </c>
      <c r="AO12">
        <v>1</v>
      </c>
      <c r="AP12">
        <v>1</v>
      </c>
      <c r="AQ12">
        <v>0</v>
      </c>
      <c r="AR12">
        <v>0</v>
      </c>
      <c r="AS12" t="s">
        <v>4</v>
      </c>
      <c r="AT12">
        <v>0.04</v>
      </c>
      <c r="AU12" t="s">
        <v>29</v>
      </c>
      <c r="AV12">
        <v>0</v>
      </c>
      <c r="AW12">
        <v>2</v>
      </c>
      <c r="AX12">
        <v>16501340</v>
      </c>
      <c r="AY12">
        <v>1</v>
      </c>
      <c r="AZ12">
        <v>0</v>
      </c>
      <c r="BA12">
        <v>16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Y12*Source!I28</f>
        <v>1.8149999999999999E-2</v>
      </c>
      <c r="CY12">
        <f>AB12</f>
        <v>65.709999999999994</v>
      </c>
      <c r="CZ12">
        <f>AF12</f>
        <v>65.709999999999994</v>
      </c>
      <c r="DA12">
        <f>AJ12</f>
        <v>1</v>
      </c>
      <c r="DB12">
        <v>0</v>
      </c>
    </row>
    <row r="13" spans="1:106" x14ac:dyDescent="0.2">
      <c r="A13">
        <f>ROW(Source!A28)</f>
        <v>28</v>
      </c>
      <c r="B13">
        <v>16501254</v>
      </c>
      <c r="C13">
        <v>16501329</v>
      </c>
      <c r="D13">
        <v>15167286</v>
      </c>
      <c r="E13">
        <v>1</v>
      </c>
      <c r="F13">
        <v>1</v>
      </c>
      <c r="G13">
        <v>1</v>
      </c>
      <c r="H13">
        <v>3</v>
      </c>
      <c r="I13" t="s">
        <v>267</v>
      </c>
      <c r="J13" t="s">
        <v>268</v>
      </c>
      <c r="K13" t="s">
        <v>269</v>
      </c>
      <c r="L13">
        <v>1339</v>
      </c>
      <c r="N13">
        <v>1007</v>
      </c>
      <c r="O13" t="s">
        <v>270</v>
      </c>
      <c r="P13" t="s">
        <v>270</v>
      </c>
      <c r="Q13">
        <v>1</v>
      </c>
      <c r="W13">
        <v>0</v>
      </c>
      <c r="X13">
        <v>-1660354250</v>
      </c>
      <c r="Y13">
        <v>0.17399999999999999</v>
      </c>
      <c r="AA13">
        <v>2.44</v>
      </c>
      <c r="AB13">
        <v>0</v>
      </c>
      <c r="AC13">
        <v>0</v>
      </c>
      <c r="AD13">
        <v>0</v>
      </c>
      <c r="AE13">
        <v>2.44</v>
      </c>
      <c r="AF13">
        <v>0</v>
      </c>
      <c r="AG13">
        <v>0</v>
      </c>
      <c r="AH13">
        <v>0</v>
      </c>
      <c r="AI13">
        <v>1</v>
      </c>
      <c r="AJ13">
        <v>1</v>
      </c>
      <c r="AK13">
        <v>1</v>
      </c>
      <c r="AL13">
        <v>1</v>
      </c>
      <c r="AN13">
        <v>0</v>
      </c>
      <c r="AO13">
        <v>1</v>
      </c>
      <c r="AP13">
        <v>0</v>
      </c>
      <c r="AQ13">
        <v>0</v>
      </c>
      <c r="AR13">
        <v>0</v>
      </c>
      <c r="AS13" t="s">
        <v>4</v>
      </c>
      <c r="AT13">
        <v>0.17399999999999999</v>
      </c>
      <c r="AU13" t="s">
        <v>4</v>
      </c>
      <c r="AV13">
        <v>0</v>
      </c>
      <c r="AW13">
        <v>2</v>
      </c>
      <c r="AX13">
        <v>16501341</v>
      </c>
      <c r="AY13">
        <v>1</v>
      </c>
      <c r="AZ13">
        <v>0</v>
      </c>
      <c r="BA13">
        <v>17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Y13*Source!I28</f>
        <v>6.3161999999999996E-2</v>
      </c>
      <c r="CY13">
        <f>AA13</f>
        <v>2.44</v>
      </c>
      <c r="CZ13">
        <f>AE13</f>
        <v>2.44</v>
      </c>
      <c r="DA13">
        <f>AI13</f>
        <v>1</v>
      </c>
      <c r="DB13">
        <v>0</v>
      </c>
    </row>
    <row r="14" spans="1:106" x14ac:dyDescent="0.2">
      <c r="A14">
        <f>ROW(Source!A28)</f>
        <v>28</v>
      </c>
      <c r="B14">
        <v>16501254</v>
      </c>
      <c r="C14">
        <v>16501329</v>
      </c>
      <c r="D14">
        <v>15172906</v>
      </c>
      <c r="E14">
        <v>1</v>
      </c>
      <c r="F14">
        <v>1</v>
      </c>
      <c r="G14">
        <v>1</v>
      </c>
      <c r="H14">
        <v>3</v>
      </c>
      <c r="I14" t="s">
        <v>271</v>
      </c>
      <c r="J14" t="s">
        <v>272</v>
      </c>
      <c r="K14" t="s">
        <v>273</v>
      </c>
      <c r="L14">
        <v>1348</v>
      </c>
      <c r="N14">
        <v>1009</v>
      </c>
      <c r="O14" t="s">
        <v>58</v>
      </c>
      <c r="P14" t="s">
        <v>58</v>
      </c>
      <c r="Q14">
        <v>1000</v>
      </c>
      <c r="W14">
        <v>0</v>
      </c>
      <c r="X14">
        <v>-2114578287</v>
      </c>
      <c r="Y14">
        <v>0.9</v>
      </c>
      <c r="AA14">
        <v>11381.57</v>
      </c>
      <c r="AB14">
        <v>0</v>
      </c>
      <c r="AC14">
        <v>0</v>
      </c>
      <c r="AD14">
        <v>0</v>
      </c>
      <c r="AE14">
        <v>11381.57</v>
      </c>
      <c r="AF14">
        <v>0</v>
      </c>
      <c r="AG14">
        <v>0</v>
      </c>
      <c r="AH14">
        <v>0</v>
      </c>
      <c r="AI14">
        <v>1</v>
      </c>
      <c r="AJ14">
        <v>1</v>
      </c>
      <c r="AK14">
        <v>1</v>
      </c>
      <c r="AL14">
        <v>1</v>
      </c>
      <c r="AN14">
        <v>0</v>
      </c>
      <c r="AO14">
        <v>1</v>
      </c>
      <c r="AP14">
        <v>0</v>
      </c>
      <c r="AQ14">
        <v>0</v>
      </c>
      <c r="AR14">
        <v>0</v>
      </c>
      <c r="AS14" t="s">
        <v>4</v>
      </c>
      <c r="AT14">
        <v>0.9</v>
      </c>
      <c r="AU14" t="s">
        <v>4</v>
      </c>
      <c r="AV14">
        <v>0</v>
      </c>
      <c r="AW14">
        <v>2</v>
      </c>
      <c r="AX14">
        <v>16501342</v>
      </c>
      <c r="AY14">
        <v>1</v>
      </c>
      <c r="AZ14">
        <v>0</v>
      </c>
      <c r="BA14">
        <v>18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Y14*Source!I28</f>
        <v>0.32669999999999999</v>
      </c>
      <c r="CY14">
        <f>AA14</f>
        <v>11381.57</v>
      </c>
      <c r="CZ14">
        <f>AE14</f>
        <v>11381.57</v>
      </c>
      <c r="DA14">
        <f>AI14</f>
        <v>1</v>
      </c>
      <c r="DB14">
        <v>0</v>
      </c>
    </row>
    <row r="15" spans="1:106" x14ac:dyDescent="0.2">
      <c r="A15">
        <f>ROW(Source!A28)</f>
        <v>28</v>
      </c>
      <c r="B15">
        <v>16501254</v>
      </c>
      <c r="C15">
        <v>16501329</v>
      </c>
      <c r="D15">
        <v>15203485</v>
      </c>
      <c r="E15">
        <v>1</v>
      </c>
      <c r="F15">
        <v>1</v>
      </c>
      <c r="G15">
        <v>1</v>
      </c>
      <c r="H15">
        <v>3</v>
      </c>
      <c r="I15" t="s">
        <v>274</v>
      </c>
      <c r="J15" t="s">
        <v>275</v>
      </c>
      <c r="K15" t="s">
        <v>276</v>
      </c>
      <c r="L15">
        <v>1346</v>
      </c>
      <c r="N15">
        <v>1009</v>
      </c>
      <c r="O15" t="s">
        <v>277</v>
      </c>
      <c r="P15" t="s">
        <v>277</v>
      </c>
      <c r="Q15">
        <v>1</v>
      </c>
      <c r="W15">
        <v>0</v>
      </c>
      <c r="X15">
        <v>303141801</v>
      </c>
      <c r="Y15">
        <v>30</v>
      </c>
      <c r="AA15">
        <v>15.25</v>
      </c>
      <c r="AB15">
        <v>0</v>
      </c>
      <c r="AC15">
        <v>0</v>
      </c>
      <c r="AD15">
        <v>0</v>
      </c>
      <c r="AE15">
        <v>15.25</v>
      </c>
      <c r="AF15">
        <v>0</v>
      </c>
      <c r="AG15">
        <v>0</v>
      </c>
      <c r="AH15">
        <v>0</v>
      </c>
      <c r="AI15">
        <v>1</v>
      </c>
      <c r="AJ15">
        <v>1</v>
      </c>
      <c r="AK15">
        <v>1</v>
      </c>
      <c r="AL15">
        <v>1</v>
      </c>
      <c r="AN15">
        <v>0</v>
      </c>
      <c r="AO15">
        <v>1</v>
      </c>
      <c r="AP15">
        <v>0</v>
      </c>
      <c r="AQ15">
        <v>0</v>
      </c>
      <c r="AR15">
        <v>0</v>
      </c>
      <c r="AS15" t="s">
        <v>4</v>
      </c>
      <c r="AT15">
        <v>30</v>
      </c>
      <c r="AU15" t="s">
        <v>4</v>
      </c>
      <c r="AV15">
        <v>0</v>
      </c>
      <c r="AW15">
        <v>2</v>
      </c>
      <c r="AX15">
        <v>16501343</v>
      </c>
      <c r="AY15">
        <v>1</v>
      </c>
      <c r="AZ15">
        <v>0</v>
      </c>
      <c r="BA15">
        <v>19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Y15*Source!I28</f>
        <v>10.89</v>
      </c>
      <c r="CY15">
        <f>AA15</f>
        <v>15.25</v>
      </c>
      <c r="CZ15">
        <f>AE15</f>
        <v>15.25</v>
      </c>
      <c r="DA15">
        <f>AI15</f>
        <v>1</v>
      </c>
      <c r="DB15">
        <v>0</v>
      </c>
    </row>
    <row r="16" spans="1:106" x14ac:dyDescent="0.2">
      <c r="A16">
        <f>ROW(Source!A29)</f>
        <v>29</v>
      </c>
      <c r="B16">
        <v>16501255</v>
      </c>
      <c r="C16">
        <v>16501329</v>
      </c>
      <c r="D16">
        <v>15430767</v>
      </c>
      <c r="E16">
        <v>1</v>
      </c>
      <c r="F16">
        <v>1</v>
      </c>
      <c r="G16">
        <v>1</v>
      </c>
      <c r="H16">
        <v>1</v>
      </c>
      <c r="I16" t="s">
        <v>259</v>
      </c>
      <c r="J16" t="s">
        <v>4</v>
      </c>
      <c r="K16" t="s">
        <v>260</v>
      </c>
      <c r="L16">
        <v>1191</v>
      </c>
      <c r="N16">
        <v>1013</v>
      </c>
      <c r="O16" t="s">
        <v>252</v>
      </c>
      <c r="P16" t="s">
        <v>252</v>
      </c>
      <c r="Q16">
        <v>1</v>
      </c>
      <c r="W16">
        <v>0</v>
      </c>
      <c r="X16">
        <v>-400197608</v>
      </c>
      <c r="Y16">
        <v>43.320499999999996</v>
      </c>
      <c r="AA16">
        <v>0</v>
      </c>
      <c r="AB16">
        <v>0</v>
      </c>
      <c r="AC16">
        <v>0</v>
      </c>
      <c r="AD16">
        <v>51.86</v>
      </c>
      <c r="AE16">
        <v>0</v>
      </c>
      <c r="AF16">
        <v>0</v>
      </c>
      <c r="AG16">
        <v>0</v>
      </c>
      <c r="AH16">
        <v>8.5299999999999994</v>
      </c>
      <c r="AI16">
        <v>1</v>
      </c>
      <c r="AJ16">
        <v>1</v>
      </c>
      <c r="AK16">
        <v>1</v>
      </c>
      <c r="AL16">
        <v>6.08</v>
      </c>
      <c r="AN16">
        <v>0</v>
      </c>
      <c r="AO16">
        <v>1</v>
      </c>
      <c r="AP16">
        <v>1</v>
      </c>
      <c r="AQ16">
        <v>0</v>
      </c>
      <c r="AR16">
        <v>0</v>
      </c>
      <c r="AS16" t="s">
        <v>4</v>
      </c>
      <c r="AT16">
        <v>37.67</v>
      </c>
      <c r="AU16" t="s">
        <v>30</v>
      </c>
      <c r="AV16">
        <v>1</v>
      </c>
      <c r="AW16">
        <v>2</v>
      </c>
      <c r="AX16">
        <v>16501337</v>
      </c>
      <c r="AY16">
        <v>1</v>
      </c>
      <c r="AZ16">
        <v>0</v>
      </c>
      <c r="BA16">
        <v>20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Y16*Source!I29</f>
        <v>15.725341499999997</v>
      </c>
      <c r="CY16">
        <f>AD16</f>
        <v>51.86</v>
      </c>
      <c r="CZ16">
        <f>AH16</f>
        <v>8.5299999999999994</v>
      </c>
      <c r="DA16">
        <f>AL16</f>
        <v>6.08</v>
      </c>
      <c r="DB16">
        <v>0</v>
      </c>
    </row>
    <row r="17" spans="1:106" x14ac:dyDescent="0.2">
      <c r="A17">
        <f>ROW(Source!A29)</f>
        <v>29</v>
      </c>
      <c r="B17">
        <v>16501255</v>
      </c>
      <c r="C17">
        <v>16501329</v>
      </c>
      <c r="D17">
        <v>15430395</v>
      </c>
      <c r="E17">
        <v>1</v>
      </c>
      <c r="F17">
        <v>1</v>
      </c>
      <c r="G17">
        <v>1</v>
      </c>
      <c r="H17">
        <v>1</v>
      </c>
      <c r="I17" t="s">
        <v>253</v>
      </c>
      <c r="J17" t="s">
        <v>4</v>
      </c>
      <c r="K17" t="s">
        <v>254</v>
      </c>
      <c r="L17">
        <v>1191</v>
      </c>
      <c r="N17">
        <v>1013</v>
      </c>
      <c r="O17" t="s">
        <v>252</v>
      </c>
      <c r="P17" t="s">
        <v>252</v>
      </c>
      <c r="Q17">
        <v>1</v>
      </c>
      <c r="W17">
        <v>0</v>
      </c>
      <c r="X17">
        <v>-1417349443</v>
      </c>
      <c r="Y17">
        <v>0.17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1</v>
      </c>
      <c r="AJ17">
        <v>1</v>
      </c>
      <c r="AK17">
        <v>6.08</v>
      </c>
      <c r="AL17">
        <v>1</v>
      </c>
      <c r="AN17">
        <v>0</v>
      </c>
      <c r="AO17">
        <v>1</v>
      </c>
      <c r="AP17">
        <v>0</v>
      </c>
      <c r="AQ17">
        <v>0</v>
      </c>
      <c r="AR17">
        <v>0</v>
      </c>
      <c r="AS17" t="s">
        <v>4</v>
      </c>
      <c r="AT17">
        <v>0.17</v>
      </c>
      <c r="AU17" t="s">
        <v>4</v>
      </c>
      <c r="AV17">
        <v>2</v>
      </c>
      <c r="AW17">
        <v>2</v>
      </c>
      <c r="AX17">
        <v>16501338</v>
      </c>
      <c r="AY17">
        <v>1</v>
      </c>
      <c r="AZ17">
        <v>2048</v>
      </c>
      <c r="BA17">
        <v>21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Y17*Source!I29</f>
        <v>6.1710000000000001E-2</v>
      </c>
      <c r="CY17">
        <f>AD17</f>
        <v>0</v>
      </c>
      <c r="CZ17">
        <f>AH17</f>
        <v>0</v>
      </c>
      <c r="DA17">
        <f>AL17</f>
        <v>1</v>
      </c>
      <c r="DB17">
        <v>0</v>
      </c>
    </row>
    <row r="18" spans="1:106" x14ac:dyDescent="0.2">
      <c r="A18">
        <f>ROW(Source!A29)</f>
        <v>29</v>
      </c>
      <c r="B18">
        <v>16501255</v>
      </c>
      <c r="C18">
        <v>16501329</v>
      </c>
      <c r="D18">
        <v>15247970</v>
      </c>
      <c r="E18">
        <v>1</v>
      </c>
      <c r="F18">
        <v>1</v>
      </c>
      <c r="G18">
        <v>1</v>
      </c>
      <c r="H18">
        <v>2</v>
      </c>
      <c r="I18" t="s">
        <v>261</v>
      </c>
      <c r="J18" t="s">
        <v>262</v>
      </c>
      <c r="K18" t="s">
        <v>263</v>
      </c>
      <c r="L18">
        <v>1368</v>
      </c>
      <c r="N18">
        <v>1011</v>
      </c>
      <c r="O18" t="s">
        <v>258</v>
      </c>
      <c r="P18" t="s">
        <v>258</v>
      </c>
      <c r="Q18">
        <v>1</v>
      </c>
      <c r="W18">
        <v>0</v>
      </c>
      <c r="X18">
        <v>368031958</v>
      </c>
      <c r="Y18">
        <v>0.16250000000000001</v>
      </c>
      <c r="AA18">
        <v>0</v>
      </c>
      <c r="AB18">
        <v>168.17</v>
      </c>
      <c r="AC18">
        <v>11.6</v>
      </c>
      <c r="AD18">
        <v>0</v>
      </c>
      <c r="AE18">
        <v>0</v>
      </c>
      <c r="AF18">
        <v>27.66</v>
      </c>
      <c r="AG18">
        <v>11.6</v>
      </c>
      <c r="AH18">
        <v>0</v>
      </c>
      <c r="AI18">
        <v>1</v>
      </c>
      <c r="AJ18">
        <v>6.08</v>
      </c>
      <c r="AK18">
        <v>1</v>
      </c>
      <c r="AL18">
        <v>1</v>
      </c>
      <c r="AN18">
        <v>0</v>
      </c>
      <c r="AO18">
        <v>1</v>
      </c>
      <c r="AP18">
        <v>1</v>
      </c>
      <c r="AQ18">
        <v>0</v>
      </c>
      <c r="AR18">
        <v>0</v>
      </c>
      <c r="AS18" t="s">
        <v>4</v>
      </c>
      <c r="AT18">
        <v>0.13</v>
      </c>
      <c r="AU18" t="s">
        <v>29</v>
      </c>
      <c r="AV18">
        <v>0</v>
      </c>
      <c r="AW18">
        <v>2</v>
      </c>
      <c r="AX18">
        <v>16501339</v>
      </c>
      <c r="AY18">
        <v>1</v>
      </c>
      <c r="AZ18">
        <v>0</v>
      </c>
      <c r="BA18">
        <v>22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Y18*Source!I29</f>
        <v>5.8987499999999998E-2</v>
      </c>
      <c r="CY18">
        <f>AB18</f>
        <v>168.17</v>
      </c>
      <c r="CZ18">
        <f>AF18</f>
        <v>27.66</v>
      </c>
      <c r="DA18">
        <f>AJ18</f>
        <v>6.08</v>
      </c>
      <c r="DB18">
        <v>0</v>
      </c>
    </row>
    <row r="19" spans="1:106" x14ac:dyDescent="0.2">
      <c r="A19">
        <f>ROW(Source!A29)</f>
        <v>29</v>
      </c>
      <c r="B19">
        <v>16501255</v>
      </c>
      <c r="C19">
        <v>16501329</v>
      </c>
      <c r="D19">
        <v>15249073</v>
      </c>
      <c r="E19">
        <v>1</v>
      </c>
      <c r="F19">
        <v>1</v>
      </c>
      <c r="G19">
        <v>1</v>
      </c>
      <c r="H19">
        <v>2</v>
      </c>
      <c r="I19" t="s">
        <v>264</v>
      </c>
      <c r="J19" t="s">
        <v>265</v>
      </c>
      <c r="K19" t="s">
        <v>266</v>
      </c>
      <c r="L19">
        <v>1368</v>
      </c>
      <c r="N19">
        <v>1011</v>
      </c>
      <c r="O19" t="s">
        <v>258</v>
      </c>
      <c r="P19" t="s">
        <v>258</v>
      </c>
      <c r="Q19">
        <v>1</v>
      </c>
      <c r="W19">
        <v>0</v>
      </c>
      <c r="X19">
        <v>1372534845</v>
      </c>
      <c r="Y19">
        <v>0.05</v>
      </c>
      <c r="AA19">
        <v>0</v>
      </c>
      <c r="AB19">
        <v>399.52</v>
      </c>
      <c r="AC19">
        <v>11.6</v>
      </c>
      <c r="AD19">
        <v>0</v>
      </c>
      <c r="AE19">
        <v>0</v>
      </c>
      <c r="AF19">
        <v>65.709999999999994</v>
      </c>
      <c r="AG19">
        <v>11.6</v>
      </c>
      <c r="AH19">
        <v>0</v>
      </c>
      <c r="AI19">
        <v>1</v>
      </c>
      <c r="AJ19">
        <v>6.08</v>
      </c>
      <c r="AK19">
        <v>1</v>
      </c>
      <c r="AL19">
        <v>1</v>
      </c>
      <c r="AN19">
        <v>0</v>
      </c>
      <c r="AO19">
        <v>1</v>
      </c>
      <c r="AP19">
        <v>1</v>
      </c>
      <c r="AQ19">
        <v>0</v>
      </c>
      <c r="AR19">
        <v>0</v>
      </c>
      <c r="AS19" t="s">
        <v>4</v>
      </c>
      <c r="AT19">
        <v>0.04</v>
      </c>
      <c r="AU19" t="s">
        <v>29</v>
      </c>
      <c r="AV19">
        <v>0</v>
      </c>
      <c r="AW19">
        <v>2</v>
      </c>
      <c r="AX19">
        <v>16501340</v>
      </c>
      <c r="AY19">
        <v>1</v>
      </c>
      <c r="AZ19">
        <v>0</v>
      </c>
      <c r="BA19">
        <v>23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Y19*Source!I29</f>
        <v>1.8149999999999999E-2</v>
      </c>
      <c r="CY19">
        <f>AB19</f>
        <v>399.52</v>
      </c>
      <c r="CZ19">
        <f>AF19</f>
        <v>65.709999999999994</v>
      </c>
      <c r="DA19">
        <f>AJ19</f>
        <v>6.08</v>
      </c>
      <c r="DB19">
        <v>0</v>
      </c>
    </row>
    <row r="20" spans="1:106" x14ac:dyDescent="0.2">
      <c r="A20">
        <f>ROW(Source!A29)</f>
        <v>29</v>
      </c>
      <c r="B20">
        <v>16501255</v>
      </c>
      <c r="C20">
        <v>16501329</v>
      </c>
      <c r="D20">
        <v>15167286</v>
      </c>
      <c r="E20">
        <v>1</v>
      </c>
      <c r="F20">
        <v>1</v>
      </c>
      <c r="G20">
        <v>1</v>
      </c>
      <c r="H20">
        <v>3</v>
      </c>
      <c r="I20" t="s">
        <v>267</v>
      </c>
      <c r="J20" t="s">
        <v>268</v>
      </c>
      <c r="K20" t="s">
        <v>269</v>
      </c>
      <c r="L20">
        <v>1339</v>
      </c>
      <c r="N20">
        <v>1007</v>
      </c>
      <c r="O20" t="s">
        <v>270</v>
      </c>
      <c r="P20" t="s">
        <v>270</v>
      </c>
      <c r="Q20">
        <v>1</v>
      </c>
      <c r="W20">
        <v>0</v>
      </c>
      <c r="X20">
        <v>-1660354250</v>
      </c>
      <c r="Y20">
        <v>0.17399999999999999</v>
      </c>
      <c r="AA20">
        <v>14.84</v>
      </c>
      <c r="AB20">
        <v>0</v>
      </c>
      <c r="AC20">
        <v>0</v>
      </c>
      <c r="AD20">
        <v>0</v>
      </c>
      <c r="AE20">
        <v>2.44</v>
      </c>
      <c r="AF20">
        <v>0</v>
      </c>
      <c r="AG20">
        <v>0</v>
      </c>
      <c r="AH20">
        <v>0</v>
      </c>
      <c r="AI20">
        <v>6.08</v>
      </c>
      <c r="AJ20">
        <v>1</v>
      </c>
      <c r="AK20">
        <v>1</v>
      </c>
      <c r="AL20">
        <v>1</v>
      </c>
      <c r="AN20">
        <v>0</v>
      </c>
      <c r="AO20">
        <v>1</v>
      </c>
      <c r="AP20">
        <v>0</v>
      </c>
      <c r="AQ20">
        <v>0</v>
      </c>
      <c r="AR20">
        <v>0</v>
      </c>
      <c r="AS20" t="s">
        <v>4</v>
      </c>
      <c r="AT20">
        <v>0.17399999999999999</v>
      </c>
      <c r="AU20" t="s">
        <v>4</v>
      </c>
      <c r="AV20">
        <v>0</v>
      </c>
      <c r="AW20">
        <v>2</v>
      </c>
      <c r="AX20">
        <v>16501341</v>
      </c>
      <c r="AY20">
        <v>1</v>
      </c>
      <c r="AZ20">
        <v>0</v>
      </c>
      <c r="BA20">
        <v>24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Y20*Source!I29</f>
        <v>6.3161999999999996E-2</v>
      </c>
      <c r="CY20">
        <f>AA20</f>
        <v>14.84</v>
      </c>
      <c r="CZ20">
        <f>AE20</f>
        <v>2.44</v>
      </c>
      <c r="DA20">
        <f>AI20</f>
        <v>6.08</v>
      </c>
      <c r="DB20">
        <v>0</v>
      </c>
    </row>
    <row r="21" spans="1:106" x14ac:dyDescent="0.2">
      <c r="A21">
        <f>ROW(Source!A29)</f>
        <v>29</v>
      </c>
      <c r="B21">
        <v>16501255</v>
      </c>
      <c r="C21">
        <v>16501329</v>
      </c>
      <c r="D21">
        <v>15172906</v>
      </c>
      <c r="E21">
        <v>1</v>
      </c>
      <c r="F21">
        <v>1</v>
      </c>
      <c r="G21">
        <v>1</v>
      </c>
      <c r="H21">
        <v>3</v>
      </c>
      <c r="I21" t="s">
        <v>271</v>
      </c>
      <c r="J21" t="s">
        <v>272</v>
      </c>
      <c r="K21" t="s">
        <v>273</v>
      </c>
      <c r="L21">
        <v>1348</v>
      </c>
      <c r="N21">
        <v>1009</v>
      </c>
      <c r="O21" t="s">
        <v>58</v>
      </c>
      <c r="P21" t="s">
        <v>58</v>
      </c>
      <c r="Q21">
        <v>1000</v>
      </c>
      <c r="W21">
        <v>0</v>
      </c>
      <c r="X21">
        <v>-2114578287</v>
      </c>
      <c r="Y21">
        <v>0.9</v>
      </c>
      <c r="AA21">
        <v>69199.95</v>
      </c>
      <c r="AB21">
        <v>0</v>
      </c>
      <c r="AC21">
        <v>0</v>
      </c>
      <c r="AD21">
        <v>0</v>
      </c>
      <c r="AE21">
        <v>11381.57</v>
      </c>
      <c r="AF21">
        <v>0</v>
      </c>
      <c r="AG21">
        <v>0</v>
      </c>
      <c r="AH21">
        <v>0</v>
      </c>
      <c r="AI21">
        <v>6.08</v>
      </c>
      <c r="AJ21">
        <v>1</v>
      </c>
      <c r="AK21">
        <v>1</v>
      </c>
      <c r="AL21">
        <v>1</v>
      </c>
      <c r="AN21">
        <v>0</v>
      </c>
      <c r="AO21">
        <v>1</v>
      </c>
      <c r="AP21">
        <v>0</v>
      </c>
      <c r="AQ21">
        <v>0</v>
      </c>
      <c r="AR21">
        <v>0</v>
      </c>
      <c r="AS21" t="s">
        <v>4</v>
      </c>
      <c r="AT21">
        <v>0.9</v>
      </c>
      <c r="AU21" t="s">
        <v>4</v>
      </c>
      <c r="AV21">
        <v>0</v>
      </c>
      <c r="AW21">
        <v>2</v>
      </c>
      <c r="AX21">
        <v>16501342</v>
      </c>
      <c r="AY21">
        <v>1</v>
      </c>
      <c r="AZ21">
        <v>0</v>
      </c>
      <c r="BA21">
        <v>25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Y21*Source!I29</f>
        <v>0.32669999999999999</v>
      </c>
      <c r="CY21">
        <f>AA21</f>
        <v>69199.95</v>
      </c>
      <c r="CZ21">
        <f>AE21</f>
        <v>11381.57</v>
      </c>
      <c r="DA21">
        <f>AI21</f>
        <v>6.08</v>
      </c>
      <c r="DB21">
        <v>0</v>
      </c>
    </row>
    <row r="22" spans="1:106" x14ac:dyDescent="0.2">
      <c r="A22">
        <f>ROW(Source!A29)</f>
        <v>29</v>
      </c>
      <c r="B22">
        <v>16501255</v>
      </c>
      <c r="C22">
        <v>16501329</v>
      </c>
      <c r="D22">
        <v>15203485</v>
      </c>
      <c r="E22">
        <v>1</v>
      </c>
      <c r="F22">
        <v>1</v>
      </c>
      <c r="G22">
        <v>1</v>
      </c>
      <c r="H22">
        <v>3</v>
      </c>
      <c r="I22" t="s">
        <v>274</v>
      </c>
      <c r="J22" t="s">
        <v>275</v>
      </c>
      <c r="K22" t="s">
        <v>276</v>
      </c>
      <c r="L22">
        <v>1346</v>
      </c>
      <c r="N22">
        <v>1009</v>
      </c>
      <c r="O22" t="s">
        <v>277</v>
      </c>
      <c r="P22" t="s">
        <v>277</v>
      </c>
      <c r="Q22">
        <v>1</v>
      </c>
      <c r="W22">
        <v>0</v>
      </c>
      <c r="X22">
        <v>303141801</v>
      </c>
      <c r="Y22">
        <v>30</v>
      </c>
      <c r="AA22">
        <v>92.72</v>
      </c>
      <c r="AB22">
        <v>0</v>
      </c>
      <c r="AC22">
        <v>0</v>
      </c>
      <c r="AD22">
        <v>0</v>
      </c>
      <c r="AE22">
        <v>15.25</v>
      </c>
      <c r="AF22">
        <v>0</v>
      </c>
      <c r="AG22">
        <v>0</v>
      </c>
      <c r="AH22">
        <v>0</v>
      </c>
      <c r="AI22">
        <v>6.08</v>
      </c>
      <c r="AJ22">
        <v>1</v>
      </c>
      <c r="AK22">
        <v>1</v>
      </c>
      <c r="AL22">
        <v>1</v>
      </c>
      <c r="AN22">
        <v>0</v>
      </c>
      <c r="AO22">
        <v>1</v>
      </c>
      <c r="AP22">
        <v>0</v>
      </c>
      <c r="AQ22">
        <v>0</v>
      </c>
      <c r="AR22">
        <v>0</v>
      </c>
      <c r="AS22" t="s">
        <v>4</v>
      </c>
      <c r="AT22">
        <v>30</v>
      </c>
      <c r="AU22" t="s">
        <v>4</v>
      </c>
      <c r="AV22">
        <v>0</v>
      </c>
      <c r="AW22">
        <v>2</v>
      </c>
      <c r="AX22">
        <v>16501343</v>
      </c>
      <c r="AY22">
        <v>1</v>
      </c>
      <c r="AZ22">
        <v>0</v>
      </c>
      <c r="BA22">
        <v>26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Y22*Source!I29</f>
        <v>10.89</v>
      </c>
      <c r="CY22">
        <f>AA22</f>
        <v>92.72</v>
      </c>
      <c r="CZ22">
        <f>AE22</f>
        <v>15.25</v>
      </c>
      <c r="DA22">
        <f>AI22</f>
        <v>6.08</v>
      </c>
      <c r="DB22">
        <v>0</v>
      </c>
    </row>
    <row r="23" spans="1:106" x14ac:dyDescent="0.2">
      <c r="A23">
        <f>ROW(Source!A30)</f>
        <v>30</v>
      </c>
      <c r="B23">
        <v>16501254</v>
      </c>
      <c r="C23">
        <v>16501344</v>
      </c>
      <c r="D23">
        <v>15430767</v>
      </c>
      <c r="E23">
        <v>1</v>
      </c>
      <c r="F23">
        <v>1</v>
      </c>
      <c r="G23">
        <v>1</v>
      </c>
      <c r="H23">
        <v>1</v>
      </c>
      <c r="I23" t="s">
        <v>259</v>
      </c>
      <c r="J23" t="s">
        <v>4</v>
      </c>
      <c r="K23" t="s">
        <v>260</v>
      </c>
      <c r="L23">
        <v>1191</v>
      </c>
      <c r="N23">
        <v>1013</v>
      </c>
      <c r="O23" t="s">
        <v>252</v>
      </c>
      <c r="P23" t="s">
        <v>252</v>
      </c>
      <c r="Q23">
        <v>1</v>
      </c>
      <c r="W23">
        <v>0</v>
      </c>
      <c r="X23">
        <v>-400197608</v>
      </c>
      <c r="Y23">
        <v>13.914999999999999</v>
      </c>
      <c r="AA23">
        <v>0</v>
      </c>
      <c r="AB23">
        <v>0</v>
      </c>
      <c r="AC23">
        <v>0</v>
      </c>
      <c r="AD23">
        <v>8.5299999999999994</v>
      </c>
      <c r="AE23">
        <v>0</v>
      </c>
      <c r="AF23">
        <v>0</v>
      </c>
      <c r="AG23">
        <v>0</v>
      </c>
      <c r="AH23">
        <v>8.5299999999999994</v>
      </c>
      <c r="AI23">
        <v>1</v>
      </c>
      <c r="AJ23">
        <v>1</v>
      </c>
      <c r="AK23">
        <v>1</v>
      </c>
      <c r="AL23">
        <v>1</v>
      </c>
      <c r="AN23">
        <v>0</v>
      </c>
      <c r="AO23">
        <v>1</v>
      </c>
      <c r="AP23">
        <v>1</v>
      </c>
      <c r="AQ23">
        <v>0</v>
      </c>
      <c r="AR23">
        <v>0</v>
      </c>
      <c r="AS23" t="s">
        <v>4</v>
      </c>
      <c r="AT23">
        <v>2.42</v>
      </c>
      <c r="AU23" t="s">
        <v>42</v>
      </c>
      <c r="AV23">
        <v>1</v>
      </c>
      <c r="AW23">
        <v>2</v>
      </c>
      <c r="AX23">
        <v>16501351</v>
      </c>
      <c r="AY23">
        <v>1</v>
      </c>
      <c r="AZ23">
        <v>0</v>
      </c>
      <c r="BA23">
        <v>27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Y23*Source!I30</f>
        <v>5.0511449999999991</v>
      </c>
      <c r="CY23">
        <f>AD23</f>
        <v>8.5299999999999994</v>
      </c>
      <c r="CZ23">
        <f>AH23</f>
        <v>8.5299999999999994</v>
      </c>
      <c r="DA23">
        <f>AL23</f>
        <v>1</v>
      </c>
      <c r="DB23">
        <v>0</v>
      </c>
    </row>
    <row r="24" spans="1:106" x14ac:dyDescent="0.2">
      <c r="A24">
        <f>ROW(Source!A30)</f>
        <v>30</v>
      </c>
      <c r="B24">
        <v>16501254</v>
      </c>
      <c r="C24">
        <v>16501344</v>
      </c>
      <c r="D24">
        <v>15430395</v>
      </c>
      <c r="E24">
        <v>1</v>
      </c>
      <c r="F24">
        <v>1</v>
      </c>
      <c r="G24">
        <v>1</v>
      </c>
      <c r="H24">
        <v>1</v>
      </c>
      <c r="I24" t="s">
        <v>253</v>
      </c>
      <c r="J24" t="s">
        <v>4</v>
      </c>
      <c r="K24" t="s">
        <v>254</v>
      </c>
      <c r="L24">
        <v>1191</v>
      </c>
      <c r="N24">
        <v>1013</v>
      </c>
      <c r="O24" t="s">
        <v>252</v>
      </c>
      <c r="P24" t="s">
        <v>252</v>
      </c>
      <c r="Q24">
        <v>1</v>
      </c>
      <c r="W24">
        <v>0</v>
      </c>
      <c r="X24">
        <v>-1417349443</v>
      </c>
      <c r="Y24">
        <v>0.03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1</v>
      </c>
      <c r="AJ24">
        <v>1</v>
      </c>
      <c r="AK24">
        <v>1</v>
      </c>
      <c r="AL24">
        <v>1</v>
      </c>
      <c r="AN24">
        <v>0</v>
      </c>
      <c r="AO24">
        <v>1</v>
      </c>
      <c r="AP24">
        <v>0</v>
      </c>
      <c r="AQ24">
        <v>0</v>
      </c>
      <c r="AR24">
        <v>0</v>
      </c>
      <c r="AS24" t="s">
        <v>4</v>
      </c>
      <c r="AT24">
        <v>0.03</v>
      </c>
      <c r="AU24" t="s">
        <v>4</v>
      </c>
      <c r="AV24">
        <v>2</v>
      </c>
      <c r="AW24">
        <v>2</v>
      </c>
      <c r="AX24">
        <v>16501352</v>
      </c>
      <c r="AY24">
        <v>1</v>
      </c>
      <c r="AZ24">
        <v>2048</v>
      </c>
      <c r="BA24">
        <v>28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Y24*Source!I30</f>
        <v>1.0889999999999999E-2</v>
      </c>
      <c r="CY24">
        <f>AD24</f>
        <v>0</v>
      </c>
      <c r="CZ24">
        <f>AH24</f>
        <v>0</v>
      </c>
      <c r="DA24">
        <f>AL24</f>
        <v>1</v>
      </c>
      <c r="DB24">
        <v>0</v>
      </c>
    </row>
    <row r="25" spans="1:106" x14ac:dyDescent="0.2">
      <c r="A25">
        <f>ROW(Source!A30)</f>
        <v>30</v>
      </c>
      <c r="B25">
        <v>16501254</v>
      </c>
      <c r="C25">
        <v>16501344</v>
      </c>
      <c r="D25">
        <v>15247970</v>
      </c>
      <c r="E25">
        <v>1</v>
      </c>
      <c r="F25">
        <v>1</v>
      </c>
      <c r="G25">
        <v>1</v>
      </c>
      <c r="H25">
        <v>2</v>
      </c>
      <c r="I25" t="s">
        <v>261</v>
      </c>
      <c r="J25" t="s">
        <v>262</v>
      </c>
      <c r="K25" t="s">
        <v>263</v>
      </c>
      <c r="L25">
        <v>1368</v>
      </c>
      <c r="N25">
        <v>1011</v>
      </c>
      <c r="O25" t="s">
        <v>258</v>
      </c>
      <c r="P25" t="s">
        <v>258</v>
      </c>
      <c r="Q25">
        <v>1</v>
      </c>
      <c r="W25">
        <v>0</v>
      </c>
      <c r="X25">
        <v>368031958</v>
      </c>
      <c r="Y25">
        <v>0.125</v>
      </c>
      <c r="AA25">
        <v>0</v>
      </c>
      <c r="AB25">
        <v>27.66</v>
      </c>
      <c r="AC25">
        <v>11.6</v>
      </c>
      <c r="AD25">
        <v>0</v>
      </c>
      <c r="AE25">
        <v>0</v>
      </c>
      <c r="AF25">
        <v>27.66</v>
      </c>
      <c r="AG25">
        <v>11.6</v>
      </c>
      <c r="AH25">
        <v>0</v>
      </c>
      <c r="AI25">
        <v>1</v>
      </c>
      <c r="AJ25">
        <v>1</v>
      </c>
      <c r="AK25">
        <v>1</v>
      </c>
      <c r="AL25">
        <v>1</v>
      </c>
      <c r="AN25">
        <v>0</v>
      </c>
      <c r="AO25">
        <v>1</v>
      </c>
      <c r="AP25">
        <v>1</v>
      </c>
      <c r="AQ25">
        <v>0</v>
      </c>
      <c r="AR25">
        <v>0</v>
      </c>
      <c r="AS25" t="s">
        <v>4</v>
      </c>
      <c r="AT25">
        <v>0.02</v>
      </c>
      <c r="AU25" t="s">
        <v>41</v>
      </c>
      <c r="AV25">
        <v>0</v>
      </c>
      <c r="AW25">
        <v>2</v>
      </c>
      <c r="AX25">
        <v>16501353</v>
      </c>
      <c r="AY25">
        <v>1</v>
      </c>
      <c r="AZ25">
        <v>0</v>
      </c>
      <c r="BA25">
        <v>29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Y25*Source!I30</f>
        <v>4.5374999999999999E-2</v>
      </c>
      <c r="CY25">
        <f>AB25</f>
        <v>27.66</v>
      </c>
      <c r="CZ25">
        <f>AF25</f>
        <v>27.66</v>
      </c>
      <c r="DA25">
        <f>AJ25</f>
        <v>1</v>
      </c>
      <c r="DB25">
        <v>0</v>
      </c>
    </row>
    <row r="26" spans="1:106" x14ac:dyDescent="0.2">
      <c r="A26">
        <f>ROW(Source!A30)</f>
        <v>30</v>
      </c>
      <c r="B26">
        <v>16501254</v>
      </c>
      <c r="C26">
        <v>16501344</v>
      </c>
      <c r="D26">
        <v>15249073</v>
      </c>
      <c r="E26">
        <v>1</v>
      </c>
      <c r="F26">
        <v>1</v>
      </c>
      <c r="G26">
        <v>1</v>
      </c>
      <c r="H26">
        <v>2</v>
      </c>
      <c r="I26" t="s">
        <v>264</v>
      </c>
      <c r="J26" t="s">
        <v>265</v>
      </c>
      <c r="K26" t="s">
        <v>266</v>
      </c>
      <c r="L26">
        <v>1368</v>
      </c>
      <c r="N26">
        <v>1011</v>
      </c>
      <c r="O26" t="s">
        <v>258</v>
      </c>
      <c r="P26" t="s">
        <v>258</v>
      </c>
      <c r="Q26">
        <v>1</v>
      </c>
      <c r="W26">
        <v>0</v>
      </c>
      <c r="X26">
        <v>1372534845</v>
      </c>
      <c r="Y26">
        <v>6.25E-2</v>
      </c>
      <c r="AA26">
        <v>0</v>
      </c>
      <c r="AB26">
        <v>65.709999999999994</v>
      </c>
      <c r="AC26">
        <v>11.6</v>
      </c>
      <c r="AD26">
        <v>0</v>
      </c>
      <c r="AE26">
        <v>0</v>
      </c>
      <c r="AF26">
        <v>65.709999999999994</v>
      </c>
      <c r="AG26">
        <v>11.6</v>
      </c>
      <c r="AH26">
        <v>0</v>
      </c>
      <c r="AI26">
        <v>1</v>
      </c>
      <c r="AJ26">
        <v>1</v>
      </c>
      <c r="AK26">
        <v>1</v>
      </c>
      <c r="AL26">
        <v>1</v>
      </c>
      <c r="AN26">
        <v>0</v>
      </c>
      <c r="AO26">
        <v>1</v>
      </c>
      <c r="AP26">
        <v>1</v>
      </c>
      <c r="AQ26">
        <v>0</v>
      </c>
      <c r="AR26">
        <v>0</v>
      </c>
      <c r="AS26" t="s">
        <v>4</v>
      </c>
      <c r="AT26">
        <v>0.01</v>
      </c>
      <c r="AU26" t="s">
        <v>41</v>
      </c>
      <c r="AV26">
        <v>0</v>
      </c>
      <c r="AW26">
        <v>2</v>
      </c>
      <c r="AX26">
        <v>16501354</v>
      </c>
      <c r="AY26">
        <v>1</v>
      </c>
      <c r="AZ26">
        <v>0</v>
      </c>
      <c r="BA26">
        <v>30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Y26*Source!I30</f>
        <v>2.2687499999999999E-2</v>
      </c>
      <c r="CY26">
        <f>AB26</f>
        <v>65.709999999999994</v>
      </c>
      <c r="CZ26">
        <f>AF26</f>
        <v>65.709999999999994</v>
      </c>
      <c r="DA26">
        <f>AJ26</f>
        <v>1</v>
      </c>
      <c r="DB26">
        <v>0</v>
      </c>
    </row>
    <row r="27" spans="1:106" x14ac:dyDescent="0.2">
      <c r="A27">
        <f>ROW(Source!A30)</f>
        <v>30</v>
      </c>
      <c r="B27">
        <v>16501254</v>
      </c>
      <c r="C27">
        <v>16501344</v>
      </c>
      <c r="D27">
        <v>15167286</v>
      </c>
      <c r="E27">
        <v>1</v>
      </c>
      <c r="F27">
        <v>1</v>
      </c>
      <c r="G27">
        <v>1</v>
      </c>
      <c r="H27">
        <v>3</v>
      </c>
      <c r="I27" t="s">
        <v>267</v>
      </c>
      <c r="J27" t="s">
        <v>268</v>
      </c>
      <c r="K27" t="s">
        <v>269</v>
      </c>
      <c r="L27">
        <v>1339</v>
      </c>
      <c r="N27">
        <v>1007</v>
      </c>
      <c r="O27" t="s">
        <v>270</v>
      </c>
      <c r="P27" t="s">
        <v>270</v>
      </c>
      <c r="Q27">
        <v>1</v>
      </c>
      <c r="W27">
        <v>0</v>
      </c>
      <c r="X27">
        <v>-1660354250</v>
      </c>
      <c r="Y27">
        <v>0.15</v>
      </c>
      <c r="AA27">
        <v>2.44</v>
      </c>
      <c r="AB27">
        <v>0</v>
      </c>
      <c r="AC27">
        <v>0</v>
      </c>
      <c r="AD27">
        <v>0</v>
      </c>
      <c r="AE27">
        <v>2.44</v>
      </c>
      <c r="AF27">
        <v>0</v>
      </c>
      <c r="AG27">
        <v>0</v>
      </c>
      <c r="AH27">
        <v>0</v>
      </c>
      <c r="AI27">
        <v>1</v>
      </c>
      <c r="AJ27">
        <v>1</v>
      </c>
      <c r="AK27">
        <v>1</v>
      </c>
      <c r="AL27">
        <v>1</v>
      </c>
      <c r="AN27">
        <v>0</v>
      </c>
      <c r="AO27">
        <v>1</v>
      </c>
      <c r="AP27">
        <v>1</v>
      </c>
      <c r="AQ27">
        <v>0</v>
      </c>
      <c r="AR27">
        <v>0</v>
      </c>
      <c r="AS27" t="s">
        <v>4</v>
      </c>
      <c r="AT27">
        <v>0.03</v>
      </c>
      <c r="AU27" t="s">
        <v>40</v>
      </c>
      <c r="AV27">
        <v>0</v>
      </c>
      <c r="AW27">
        <v>2</v>
      </c>
      <c r="AX27">
        <v>16501355</v>
      </c>
      <c r="AY27">
        <v>1</v>
      </c>
      <c r="AZ27">
        <v>0</v>
      </c>
      <c r="BA27">
        <v>31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Y27*Source!I30</f>
        <v>5.4449999999999998E-2</v>
      </c>
      <c r="CY27">
        <f>AA27</f>
        <v>2.44</v>
      </c>
      <c r="CZ27">
        <f>AE27</f>
        <v>2.44</v>
      </c>
      <c r="DA27">
        <f>AI27</f>
        <v>1</v>
      </c>
      <c r="DB27">
        <v>0</v>
      </c>
    </row>
    <row r="28" spans="1:106" x14ac:dyDescent="0.2">
      <c r="A28">
        <f>ROW(Source!A30)</f>
        <v>30</v>
      </c>
      <c r="B28">
        <v>16501254</v>
      </c>
      <c r="C28">
        <v>16501344</v>
      </c>
      <c r="D28">
        <v>15172906</v>
      </c>
      <c r="E28">
        <v>1</v>
      </c>
      <c r="F28">
        <v>1</v>
      </c>
      <c r="G28">
        <v>1</v>
      </c>
      <c r="H28">
        <v>3</v>
      </c>
      <c r="I28" t="s">
        <v>271</v>
      </c>
      <c r="J28" t="s">
        <v>272</v>
      </c>
      <c r="K28" t="s">
        <v>273</v>
      </c>
      <c r="L28">
        <v>1348</v>
      </c>
      <c r="N28">
        <v>1009</v>
      </c>
      <c r="O28" t="s">
        <v>58</v>
      </c>
      <c r="P28" t="s">
        <v>58</v>
      </c>
      <c r="Q28">
        <v>1000</v>
      </c>
      <c r="W28">
        <v>0</v>
      </c>
      <c r="X28">
        <v>-2114578287</v>
      </c>
      <c r="Y28">
        <v>0.89999999999999991</v>
      </c>
      <c r="AA28">
        <v>11381.57</v>
      </c>
      <c r="AB28">
        <v>0</v>
      </c>
      <c r="AC28">
        <v>0</v>
      </c>
      <c r="AD28">
        <v>0</v>
      </c>
      <c r="AE28">
        <v>11381.57</v>
      </c>
      <c r="AF28">
        <v>0</v>
      </c>
      <c r="AG28">
        <v>0</v>
      </c>
      <c r="AH28">
        <v>0</v>
      </c>
      <c r="AI28">
        <v>1</v>
      </c>
      <c r="AJ28">
        <v>1</v>
      </c>
      <c r="AK28">
        <v>1</v>
      </c>
      <c r="AL28">
        <v>1</v>
      </c>
      <c r="AN28">
        <v>0</v>
      </c>
      <c r="AO28">
        <v>1</v>
      </c>
      <c r="AP28">
        <v>1</v>
      </c>
      <c r="AQ28">
        <v>0</v>
      </c>
      <c r="AR28">
        <v>0</v>
      </c>
      <c r="AS28" t="s">
        <v>4</v>
      </c>
      <c r="AT28">
        <v>0.18</v>
      </c>
      <c r="AU28" t="s">
        <v>40</v>
      </c>
      <c r="AV28">
        <v>0</v>
      </c>
      <c r="AW28">
        <v>2</v>
      </c>
      <c r="AX28">
        <v>16501356</v>
      </c>
      <c r="AY28">
        <v>1</v>
      </c>
      <c r="AZ28">
        <v>0</v>
      </c>
      <c r="BA28">
        <v>32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Y28*Source!I30</f>
        <v>0.32669999999999993</v>
      </c>
      <c r="CY28">
        <f>AA28</f>
        <v>11381.57</v>
      </c>
      <c r="CZ28">
        <f>AE28</f>
        <v>11381.57</v>
      </c>
      <c r="DA28">
        <f>AI28</f>
        <v>1</v>
      </c>
      <c r="DB28">
        <v>0</v>
      </c>
    </row>
    <row r="29" spans="1:106" x14ac:dyDescent="0.2">
      <c r="A29">
        <f>ROW(Source!A31)</f>
        <v>31</v>
      </c>
      <c r="B29">
        <v>16501255</v>
      </c>
      <c r="C29">
        <v>16501344</v>
      </c>
      <c r="D29">
        <v>15430767</v>
      </c>
      <c r="E29">
        <v>1</v>
      </c>
      <c r="F29">
        <v>1</v>
      </c>
      <c r="G29">
        <v>1</v>
      </c>
      <c r="H29">
        <v>1</v>
      </c>
      <c r="I29" t="s">
        <v>259</v>
      </c>
      <c r="J29" t="s">
        <v>4</v>
      </c>
      <c r="K29" t="s">
        <v>260</v>
      </c>
      <c r="L29">
        <v>1191</v>
      </c>
      <c r="N29">
        <v>1013</v>
      </c>
      <c r="O29" t="s">
        <v>252</v>
      </c>
      <c r="P29" t="s">
        <v>252</v>
      </c>
      <c r="Q29">
        <v>1</v>
      </c>
      <c r="W29">
        <v>0</v>
      </c>
      <c r="X29">
        <v>-400197608</v>
      </c>
      <c r="Y29">
        <v>13.914999999999999</v>
      </c>
      <c r="AA29">
        <v>0</v>
      </c>
      <c r="AB29">
        <v>0</v>
      </c>
      <c r="AC29">
        <v>0</v>
      </c>
      <c r="AD29">
        <v>51.86</v>
      </c>
      <c r="AE29">
        <v>0</v>
      </c>
      <c r="AF29">
        <v>0</v>
      </c>
      <c r="AG29">
        <v>0</v>
      </c>
      <c r="AH29">
        <v>8.5299999999999994</v>
      </c>
      <c r="AI29">
        <v>1</v>
      </c>
      <c r="AJ29">
        <v>1</v>
      </c>
      <c r="AK29">
        <v>1</v>
      </c>
      <c r="AL29">
        <v>6.08</v>
      </c>
      <c r="AN29">
        <v>0</v>
      </c>
      <c r="AO29">
        <v>1</v>
      </c>
      <c r="AP29">
        <v>1</v>
      </c>
      <c r="AQ29">
        <v>0</v>
      </c>
      <c r="AR29">
        <v>0</v>
      </c>
      <c r="AS29" t="s">
        <v>4</v>
      </c>
      <c r="AT29">
        <v>2.42</v>
      </c>
      <c r="AU29" t="s">
        <v>42</v>
      </c>
      <c r="AV29">
        <v>1</v>
      </c>
      <c r="AW29">
        <v>2</v>
      </c>
      <c r="AX29">
        <v>16501351</v>
      </c>
      <c r="AY29">
        <v>1</v>
      </c>
      <c r="AZ29">
        <v>0</v>
      </c>
      <c r="BA29">
        <v>33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Y29*Source!I31</f>
        <v>5.0511449999999991</v>
      </c>
      <c r="CY29">
        <f>AD29</f>
        <v>51.86</v>
      </c>
      <c r="CZ29">
        <f>AH29</f>
        <v>8.5299999999999994</v>
      </c>
      <c r="DA29">
        <f>AL29</f>
        <v>6.08</v>
      </c>
      <c r="DB29">
        <v>0</v>
      </c>
    </row>
    <row r="30" spans="1:106" x14ac:dyDescent="0.2">
      <c r="A30">
        <f>ROW(Source!A31)</f>
        <v>31</v>
      </c>
      <c r="B30">
        <v>16501255</v>
      </c>
      <c r="C30">
        <v>16501344</v>
      </c>
      <c r="D30">
        <v>15430395</v>
      </c>
      <c r="E30">
        <v>1</v>
      </c>
      <c r="F30">
        <v>1</v>
      </c>
      <c r="G30">
        <v>1</v>
      </c>
      <c r="H30">
        <v>1</v>
      </c>
      <c r="I30" t="s">
        <v>253</v>
      </c>
      <c r="J30" t="s">
        <v>4</v>
      </c>
      <c r="K30" t="s">
        <v>254</v>
      </c>
      <c r="L30">
        <v>1191</v>
      </c>
      <c r="N30">
        <v>1013</v>
      </c>
      <c r="O30" t="s">
        <v>252</v>
      </c>
      <c r="P30" t="s">
        <v>252</v>
      </c>
      <c r="Q30">
        <v>1</v>
      </c>
      <c r="W30">
        <v>0</v>
      </c>
      <c r="X30">
        <v>-1417349443</v>
      </c>
      <c r="Y30">
        <v>0.03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1</v>
      </c>
      <c r="AJ30">
        <v>1</v>
      </c>
      <c r="AK30">
        <v>6.08</v>
      </c>
      <c r="AL30">
        <v>1</v>
      </c>
      <c r="AN30">
        <v>0</v>
      </c>
      <c r="AO30">
        <v>1</v>
      </c>
      <c r="AP30">
        <v>0</v>
      </c>
      <c r="AQ30">
        <v>0</v>
      </c>
      <c r="AR30">
        <v>0</v>
      </c>
      <c r="AS30" t="s">
        <v>4</v>
      </c>
      <c r="AT30">
        <v>0.03</v>
      </c>
      <c r="AU30" t="s">
        <v>4</v>
      </c>
      <c r="AV30">
        <v>2</v>
      </c>
      <c r="AW30">
        <v>2</v>
      </c>
      <c r="AX30">
        <v>16501352</v>
      </c>
      <c r="AY30">
        <v>1</v>
      </c>
      <c r="AZ30">
        <v>2048</v>
      </c>
      <c r="BA30">
        <v>34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Y30*Source!I31</f>
        <v>1.0889999999999999E-2</v>
      </c>
      <c r="CY30">
        <f>AD30</f>
        <v>0</v>
      </c>
      <c r="CZ30">
        <f>AH30</f>
        <v>0</v>
      </c>
      <c r="DA30">
        <f>AL30</f>
        <v>1</v>
      </c>
      <c r="DB30">
        <v>0</v>
      </c>
    </row>
    <row r="31" spans="1:106" x14ac:dyDescent="0.2">
      <c r="A31">
        <f>ROW(Source!A31)</f>
        <v>31</v>
      </c>
      <c r="B31">
        <v>16501255</v>
      </c>
      <c r="C31">
        <v>16501344</v>
      </c>
      <c r="D31">
        <v>15247970</v>
      </c>
      <c r="E31">
        <v>1</v>
      </c>
      <c r="F31">
        <v>1</v>
      </c>
      <c r="G31">
        <v>1</v>
      </c>
      <c r="H31">
        <v>2</v>
      </c>
      <c r="I31" t="s">
        <v>261</v>
      </c>
      <c r="J31" t="s">
        <v>262</v>
      </c>
      <c r="K31" t="s">
        <v>263</v>
      </c>
      <c r="L31">
        <v>1368</v>
      </c>
      <c r="N31">
        <v>1011</v>
      </c>
      <c r="O31" t="s">
        <v>258</v>
      </c>
      <c r="P31" t="s">
        <v>258</v>
      </c>
      <c r="Q31">
        <v>1</v>
      </c>
      <c r="W31">
        <v>0</v>
      </c>
      <c r="X31">
        <v>368031958</v>
      </c>
      <c r="Y31">
        <v>0.125</v>
      </c>
      <c r="AA31">
        <v>0</v>
      </c>
      <c r="AB31">
        <v>168.17</v>
      </c>
      <c r="AC31">
        <v>11.6</v>
      </c>
      <c r="AD31">
        <v>0</v>
      </c>
      <c r="AE31">
        <v>0</v>
      </c>
      <c r="AF31">
        <v>27.66</v>
      </c>
      <c r="AG31">
        <v>11.6</v>
      </c>
      <c r="AH31">
        <v>0</v>
      </c>
      <c r="AI31">
        <v>1</v>
      </c>
      <c r="AJ31">
        <v>6.08</v>
      </c>
      <c r="AK31">
        <v>1</v>
      </c>
      <c r="AL31">
        <v>1</v>
      </c>
      <c r="AN31">
        <v>0</v>
      </c>
      <c r="AO31">
        <v>1</v>
      </c>
      <c r="AP31">
        <v>1</v>
      </c>
      <c r="AQ31">
        <v>0</v>
      </c>
      <c r="AR31">
        <v>0</v>
      </c>
      <c r="AS31" t="s">
        <v>4</v>
      </c>
      <c r="AT31">
        <v>0.02</v>
      </c>
      <c r="AU31" t="s">
        <v>41</v>
      </c>
      <c r="AV31">
        <v>0</v>
      </c>
      <c r="AW31">
        <v>2</v>
      </c>
      <c r="AX31">
        <v>16501353</v>
      </c>
      <c r="AY31">
        <v>1</v>
      </c>
      <c r="AZ31">
        <v>0</v>
      </c>
      <c r="BA31">
        <v>35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Y31*Source!I31</f>
        <v>4.5374999999999999E-2</v>
      </c>
      <c r="CY31">
        <f>AB31</f>
        <v>168.17</v>
      </c>
      <c r="CZ31">
        <f>AF31</f>
        <v>27.66</v>
      </c>
      <c r="DA31">
        <f>AJ31</f>
        <v>6.08</v>
      </c>
      <c r="DB31">
        <v>0</v>
      </c>
    </row>
    <row r="32" spans="1:106" x14ac:dyDescent="0.2">
      <c r="A32">
        <f>ROW(Source!A31)</f>
        <v>31</v>
      </c>
      <c r="B32">
        <v>16501255</v>
      </c>
      <c r="C32">
        <v>16501344</v>
      </c>
      <c r="D32">
        <v>15249073</v>
      </c>
      <c r="E32">
        <v>1</v>
      </c>
      <c r="F32">
        <v>1</v>
      </c>
      <c r="G32">
        <v>1</v>
      </c>
      <c r="H32">
        <v>2</v>
      </c>
      <c r="I32" t="s">
        <v>264</v>
      </c>
      <c r="J32" t="s">
        <v>265</v>
      </c>
      <c r="K32" t="s">
        <v>266</v>
      </c>
      <c r="L32">
        <v>1368</v>
      </c>
      <c r="N32">
        <v>1011</v>
      </c>
      <c r="O32" t="s">
        <v>258</v>
      </c>
      <c r="P32" t="s">
        <v>258</v>
      </c>
      <c r="Q32">
        <v>1</v>
      </c>
      <c r="W32">
        <v>0</v>
      </c>
      <c r="X32">
        <v>1372534845</v>
      </c>
      <c r="Y32">
        <v>6.25E-2</v>
      </c>
      <c r="AA32">
        <v>0</v>
      </c>
      <c r="AB32">
        <v>399.52</v>
      </c>
      <c r="AC32">
        <v>11.6</v>
      </c>
      <c r="AD32">
        <v>0</v>
      </c>
      <c r="AE32">
        <v>0</v>
      </c>
      <c r="AF32">
        <v>65.709999999999994</v>
      </c>
      <c r="AG32">
        <v>11.6</v>
      </c>
      <c r="AH32">
        <v>0</v>
      </c>
      <c r="AI32">
        <v>1</v>
      </c>
      <c r="AJ32">
        <v>6.08</v>
      </c>
      <c r="AK32">
        <v>1</v>
      </c>
      <c r="AL32">
        <v>1</v>
      </c>
      <c r="AN32">
        <v>0</v>
      </c>
      <c r="AO32">
        <v>1</v>
      </c>
      <c r="AP32">
        <v>1</v>
      </c>
      <c r="AQ32">
        <v>0</v>
      </c>
      <c r="AR32">
        <v>0</v>
      </c>
      <c r="AS32" t="s">
        <v>4</v>
      </c>
      <c r="AT32">
        <v>0.01</v>
      </c>
      <c r="AU32" t="s">
        <v>41</v>
      </c>
      <c r="AV32">
        <v>0</v>
      </c>
      <c r="AW32">
        <v>2</v>
      </c>
      <c r="AX32">
        <v>16501354</v>
      </c>
      <c r="AY32">
        <v>1</v>
      </c>
      <c r="AZ32">
        <v>0</v>
      </c>
      <c r="BA32">
        <v>36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>Y32*Source!I31</f>
        <v>2.2687499999999999E-2</v>
      </c>
      <c r="CY32">
        <f>AB32</f>
        <v>399.52</v>
      </c>
      <c r="CZ32">
        <f>AF32</f>
        <v>65.709999999999994</v>
      </c>
      <c r="DA32">
        <f>AJ32</f>
        <v>6.08</v>
      </c>
      <c r="DB32">
        <v>0</v>
      </c>
    </row>
    <row r="33" spans="1:106" x14ac:dyDescent="0.2">
      <c r="A33">
        <f>ROW(Source!A31)</f>
        <v>31</v>
      </c>
      <c r="B33">
        <v>16501255</v>
      </c>
      <c r="C33">
        <v>16501344</v>
      </c>
      <c r="D33">
        <v>15167286</v>
      </c>
      <c r="E33">
        <v>1</v>
      </c>
      <c r="F33">
        <v>1</v>
      </c>
      <c r="G33">
        <v>1</v>
      </c>
      <c r="H33">
        <v>3</v>
      </c>
      <c r="I33" t="s">
        <v>267</v>
      </c>
      <c r="J33" t="s">
        <v>268</v>
      </c>
      <c r="K33" t="s">
        <v>269</v>
      </c>
      <c r="L33">
        <v>1339</v>
      </c>
      <c r="N33">
        <v>1007</v>
      </c>
      <c r="O33" t="s">
        <v>270</v>
      </c>
      <c r="P33" t="s">
        <v>270</v>
      </c>
      <c r="Q33">
        <v>1</v>
      </c>
      <c r="W33">
        <v>0</v>
      </c>
      <c r="X33">
        <v>-1660354250</v>
      </c>
      <c r="Y33">
        <v>0.15</v>
      </c>
      <c r="AA33">
        <v>14.84</v>
      </c>
      <c r="AB33">
        <v>0</v>
      </c>
      <c r="AC33">
        <v>0</v>
      </c>
      <c r="AD33">
        <v>0</v>
      </c>
      <c r="AE33">
        <v>2.44</v>
      </c>
      <c r="AF33">
        <v>0</v>
      </c>
      <c r="AG33">
        <v>0</v>
      </c>
      <c r="AH33">
        <v>0</v>
      </c>
      <c r="AI33">
        <v>6.08</v>
      </c>
      <c r="AJ33">
        <v>1</v>
      </c>
      <c r="AK33">
        <v>1</v>
      </c>
      <c r="AL33">
        <v>1</v>
      </c>
      <c r="AN33">
        <v>0</v>
      </c>
      <c r="AO33">
        <v>1</v>
      </c>
      <c r="AP33">
        <v>1</v>
      </c>
      <c r="AQ33">
        <v>0</v>
      </c>
      <c r="AR33">
        <v>0</v>
      </c>
      <c r="AS33" t="s">
        <v>4</v>
      </c>
      <c r="AT33">
        <v>0.03</v>
      </c>
      <c r="AU33" t="s">
        <v>40</v>
      </c>
      <c r="AV33">
        <v>0</v>
      </c>
      <c r="AW33">
        <v>2</v>
      </c>
      <c r="AX33">
        <v>16501355</v>
      </c>
      <c r="AY33">
        <v>1</v>
      </c>
      <c r="AZ33">
        <v>0</v>
      </c>
      <c r="BA33">
        <v>37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>Y33*Source!I31</f>
        <v>5.4449999999999998E-2</v>
      </c>
      <c r="CY33">
        <f>AA33</f>
        <v>14.84</v>
      </c>
      <c r="CZ33">
        <f>AE33</f>
        <v>2.44</v>
      </c>
      <c r="DA33">
        <f>AI33</f>
        <v>6.08</v>
      </c>
      <c r="DB33">
        <v>0</v>
      </c>
    </row>
    <row r="34" spans="1:106" x14ac:dyDescent="0.2">
      <c r="A34">
        <f>ROW(Source!A31)</f>
        <v>31</v>
      </c>
      <c r="B34">
        <v>16501255</v>
      </c>
      <c r="C34">
        <v>16501344</v>
      </c>
      <c r="D34">
        <v>15172906</v>
      </c>
      <c r="E34">
        <v>1</v>
      </c>
      <c r="F34">
        <v>1</v>
      </c>
      <c r="G34">
        <v>1</v>
      </c>
      <c r="H34">
        <v>3</v>
      </c>
      <c r="I34" t="s">
        <v>271</v>
      </c>
      <c r="J34" t="s">
        <v>272</v>
      </c>
      <c r="K34" t="s">
        <v>273</v>
      </c>
      <c r="L34">
        <v>1348</v>
      </c>
      <c r="N34">
        <v>1009</v>
      </c>
      <c r="O34" t="s">
        <v>58</v>
      </c>
      <c r="P34" t="s">
        <v>58</v>
      </c>
      <c r="Q34">
        <v>1000</v>
      </c>
      <c r="W34">
        <v>0</v>
      </c>
      <c r="X34">
        <v>-2114578287</v>
      </c>
      <c r="Y34">
        <v>0.89999999999999991</v>
      </c>
      <c r="AA34">
        <v>69199.95</v>
      </c>
      <c r="AB34">
        <v>0</v>
      </c>
      <c r="AC34">
        <v>0</v>
      </c>
      <c r="AD34">
        <v>0</v>
      </c>
      <c r="AE34">
        <v>11381.57</v>
      </c>
      <c r="AF34">
        <v>0</v>
      </c>
      <c r="AG34">
        <v>0</v>
      </c>
      <c r="AH34">
        <v>0</v>
      </c>
      <c r="AI34">
        <v>6.08</v>
      </c>
      <c r="AJ34">
        <v>1</v>
      </c>
      <c r="AK34">
        <v>1</v>
      </c>
      <c r="AL34">
        <v>1</v>
      </c>
      <c r="AN34">
        <v>0</v>
      </c>
      <c r="AO34">
        <v>1</v>
      </c>
      <c r="AP34">
        <v>1</v>
      </c>
      <c r="AQ34">
        <v>0</v>
      </c>
      <c r="AR34">
        <v>0</v>
      </c>
      <c r="AS34" t="s">
        <v>4</v>
      </c>
      <c r="AT34">
        <v>0.18</v>
      </c>
      <c r="AU34" t="s">
        <v>40</v>
      </c>
      <c r="AV34">
        <v>0</v>
      </c>
      <c r="AW34">
        <v>2</v>
      </c>
      <c r="AX34">
        <v>16501356</v>
      </c>
      <c r="AY34">
        <v>1</v>
      </c>
      <c r="AZ34">
        <v>0</v>
      </c>
      <c r="BA34">
        <v>38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>Y34*Source!I31</f>
        <v>0.32669999999999993</v>
      </c>
      <c r="CY34">
        <f>AA34</f>
        <v>69199.95</v>
      </c>
      <c r="CZ34">
        <f>AE34</f>
        <v>11381.57</v>
      </c>
      <c r="DA34">
        <f>AI34</f>
        <v>6.08</v>
      </c>
      <c r="DB34">
        <v>0</v>
      </c>
    </row>
    <row r="35" spans="1:106" x14ac:dyDescent="0.2">
      <c r="A35">
        <f>ROW(Source!A32)</f>
        <v>32</v>
      </c>
      <c r="B35">
        <v>16501254</v>
      </c>
      <c r="C35">
        <v>16501357</v>
      </c>
      <c r="D35">
        <v>15432356</v>
      </c>
      <c r="E35">
        <v>1</v>
      </c>
      <c r="F35">
        <v>1</v>
      </c>
      <c r="G35">
        <v>1</v>
      </c>
      <c r="H35">
        <v>1</v>
      </c>
      <c r="I35" t="s">
        <v>278</v>
      </c>
      <c r="J35" t="s">
        <v>4</v>
      </c>
      <c r="K35" t="s">
        <v>279</v>
      </c>
      <c r="L35">
        <v>1191</v>
      </c>
      <c r="N35">
        <v>1013</v>
      </c>
      <c r="O35" t="s">
        <v>252</v>
      </c>
      <c r="P35" t="s">
        <v>252</v>
      </c>
      <c r="Q35">
        <v>1</v>
      </c>
      <c r="W35">
        <v>0</v>
      </c>
      <c r="X35">
        <v>1850719656</v>
      </c>
      <c r="Y35">
        <v>48.76</v>
      </c>
      <c r="AA35">
        <v>0</v>
      </c>
      <c r="AB35">
        <v>0</v>
      </c>
      <c r="AC35">
        <v>0</v>
      </c>
      <c r="AD35">
        <v>8.31</v>
      </c>
      <c r="AE35">
        <v>0</v>
      </c>
      <c r="AF35">
        <v>0</v>
      </c>
      <c r="AG35">
        <v>0</v>
      </c>
      <c r="AH35">
        <v>8.31</v>
      </c>
      <c r="AI35">
        <v>1</v>
      </c>
      <c r="AJ35">
        <v>1</v>
      </c>
      <c r="AK35">
        <v>1</v>
      </c>
      <c r="AL35">
        <v>1</v>
      </c>
      <c r="AN35">
        <v>0</v>
      </c>
      <c r="AO35">
        <v>1</v>
      </c>
      <c r="AP35">
        <v>1</v>
      </c>
      <c r="AQ35">
        <v>0</v>
      </c>
      <c r="AR35">
        <v>0</v>
      </c>
      <c r="AS35" t="s">
        <v>4</v>
      </c>
      <c r="AT35">
        <v>42.4</v>
      </c>
      <c r="AU35" t="s">
        <v>30</v>
      </c>
      <c r="AV35">
        <v>1</v>
      </c>
      <c r="AW35">
        <v>2</v>
      </c>
      <c r="AX35">
        <v>16501366</v>
      </c>
      <c r="AY35">
        <v>1</v>
      </c>
      <c r="AZ35">
        <v>0</v>
      </c>
      <c r="BA35">
        <v>39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>Y35*Source!I32</f>
        <v>17.69988</v>
      </c>
      <c r="CY35">
        <f>AD35</f>
        <v>8.31</v>
      </c>
      <c r="CZ35">
        <f>AH35</f>
        <v>8.31</v>
      </c>
      <c r="DA35">
        <f>AL35</f>
        <v>1</v>
      </c>
      <c r="DB35">
        <v>0</v>
      </c>
    </row>
    <row r="36" spans="1:106" x14ac:dyDescent="0.2">
      <c r="A36">
        <f>ROW(Source!A32)</f>
        <v>32</v>
      </c>
      <c r="B36">
        <v>16501254</v>
      </c>
      <c r="C36">
        <v>16501357</v>
      </c>
      <c r="D36">
        <v>15430395</v>
      </c>
      <c r="E36">
        <v>1</v>
      </c>
      <c r="F36">
        <v>1</v>
      </c>
      <c r="G36">
        <v>1</v>
      </c>
      <c r="H36">
        <v>1</v>
      </c>
      <c r="I36" t="s">
        <v>253</v>
      </c>
      <c r="J36" t="s">
        <v>4</v>
      </c>
      <c r="K36" t="s">
        <v>254</v>
      </c>
      <c r="L36">
        <v>1191</v>
      </c>
      <c r="N36">
        <v>1013</v>
      </c>
      <c r="O36" t="s">
        <v>252</v>
      </c>
      <c r="P36" t="s">
        <v>252</v>
      </c>
      <c r="Q36">
        <v>1</v>
      </c>
      <c r="W36">
        <v>0</v>
      </c>
      <c r="X36">
        <v>-1417349443</v>
      </c>
      <c r="Y36">
        <v>0.85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1</v>
      </c>
      <c r="AJ36">
        <v>1</v>
      </c>
      <c r="AK36">
        <v>1</v>
      </c>
      <c r="AL36">
        <v>1</v>
      </c>
      <c r="AN36">
        <v>0</v>
      </c>
      <c r="AO36">
        <v>1</v>
      </c>
      <c r="AP36">
        <v>0</v>
      </c>
      <c r="AQ36">
        <v>0</v>
      </c>
      <c r="AR36">
        <v>0</v>
      </c>
      <c r="AS36" t="s">
        <v>4</v>
      </c>
      <c r="AT36">
        <v>0.85</v>
      </c>
      <c r="AU36" t="s">
        <v>4</v>
      </c>
      <c r="AV36">
        <v>2</v>
      </c>
      <c r="AW36">
        <v>2</v>
      </c>
      <c r="AX36">
        <v>16501367</v>
      </c>
      <c r="AY36">
        <v>1</v>
      </c>
      <c r="AZ36">
        <v>2048</v>
      </c>
      <c r="BA36">
        <v>40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>Y36*Source!I32</f>
        <v>0.30854999999999999</v>
      </c>
      <c r="CY36">
        <f>AD36</f>
        <v>0</v>
      </c>
      <c r="CZ36">
        <f>AH36</f>
        <v>0</v>
      </c>
      <c r="DA36">
        <f>AL36</f>
        <v>1</v>
      </c>
      <c r="DB36">
        <v>0</v>
      </c>
    </row>
    <row r="37" spans="1:106" x14ac:dyDescent="0.2">
      <c r="A37">
        <f>ROW(Source!A32)</f>
        <v>32</v>
      </c>
      <c r="B37">
        <v>16501254</v>
      </c>
      <c r="C37">
        <v>16501357</v>
      </c>
      <c r="D37">
        <v>15247974</v>
      </c>
      <c r="E37">
        <v>1</v>
      </c>
      <c r="F37">
        <v>1</v>
      </c>
      <c r="G37">
        <v>1</v>
      </c>
      <c r="H37">
        <v>2</v>
      </c>
      <c r="I37" t="s">
        <v>255</v>
      </c>
      <c r="J37" t="s">
        <v>256</v>
      </c>
      <c r="K37" t="s">
        <v>257</v>
      </c>
      <c r="L37">
        <v>1368</v>
      </c>
      <c r="N37">
        <v>1011</v>
      </c>
      <c r="O37" t="s">
        <v>258</v>
      </c>
      <c r="P37" t="s">
        <v>258</v>
      </c>
      <c r="Q37">
        <v>1</v>
      </c>
      <c r="W37">
        <v>0</v>
      </c>
      <c r="X37">
        <v>1188625873</v>
      </c>
      <c r="Y37">
        <v>0.4375</v>
      </c>
      <c r="AA37">
        <v>0</v>
      </c>
      <c r="AB37">
        <v>31.26</v>
      </c>
      <c r="AC37">
        <v>13.5</v>
      </c>
      <c r="AD37">
        <v>0</v>
      </c>
      <c r="AE37">
        <v>0</v>
      </c>
      <c r="AF37">
        <v>31.26</v>
      </c>
      <c r="AG37">
        <v>13.5</v>
      </c>
      <c r="AH37">
        <v>0</v>
      </c>
      <c r="AI37">
        <v>1</v>
      </c>
      <c r="AJ37">
        <v>1</v>
      </c>
      <c r="AK37">
        <v>1</v>
      </c>
      <c r="AL37">
        <v>1</v>
      </c>
      <c r="AN37">
        <v>0</v>
      </c>
      <c r="AO37">
        <v>1</v>
      </c>
      <c r="AP37">
        <v>1</v>
      </c>
      <c r="AQ37">
        <v>0</v>
      </c>
      <c r="AR37">
        <v>0</v>
      </c>
      <c r="AS37" t="s">
        <v>4</v>
      </c>
      <c r="AT37">
        <v>0.35</v>
      </c>
      <c r="AU37" t="s">
        <v>29</v>
      </c>
      <c r="AV37">
        <v>0</v>
      </c>
      <c r="AW37">
        <v>2</v>
      </c>
      <c r="AX37">
        <v>16501368</v>
      </c>
      <c r="AY37">
        <v>1</v>
      </c>
      <c r="AZ37">
        <v>0</v>
      </c>
      <c r="BA37">
        <v>41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>Y37*Source!I32</f>
        <v>0.1588125</v>
      </c>
      <c r="CY37">
        <f>AB37</f>
        <v>31.26</v>
      </c>
      <c r="CZ37">
        <f>AF37</f>
        <v>31.26</v>
      </c>
      <c r="DA37">
        <f>AJ37</f>
        <v>1</v>
      </c>
      <c r="DB37">
        <v>0</v>
      </c>
    </row>
    <row r="38" spans="1:106" x14ac:dyDescent="0.2">
      <c r="A38">
        <f>ROW(Source!A32)</f>
        <v>32</v>
      </c>
      <c r="B38">
        <v>16501254</v>
      </c>
      <c r="C38">
        <v>16501357</v>
      </c>
      <c r="D38">
        <v>15249073</v>
      </c>
      <c r="E38">
        <v>1</v>
      </c>
      <c r="F38">
        <v>1</v>
      </c>
      <c r="G38">
        <v>1</v>
      </c>
      <c r="H38">
        <v>2</v>
      </c>
      <c r="I38" t="s">
        <v>264</v>
      </c>
      <c r="J38" t="s">
        <v>265</v>
      </c>
      <c r="K38" t="s">
        <v>266</v>
      </c>
      <c r="L38">
        <v>1368</v>
      </c>
      <c r="N38">
        <v>1011</v>
      </c>
      <c r="O38" t="s">
        <v>258</v>
      </c>
      <c r="P38" t="s">
        <v>258</v>
      </c>
      <c r="Q38">
        <v>1</v>
      </c>
      <c r="W38">
        <v>0</v>
      </c>
      <c r="X38">
        <v>1372534845</v>
      </c>
      <c r="Y38">
        <v>0.625</v>
      </c>
      <c r="AA38">
        <v>0</v>
      </c>
      <c r="AB38">
        <v>65.709999999999994</v>
      </c>
      <c r="AC38">
        <v>11.6</v>
      </c>
      <c r="AD38">
        <v>0</v>
      </c>
      <c r="AE38">
        <v>0</v>
      </c>
      <c r="AF38">
        <v>65.709999999999994</v>
      </c>
      <c r="AG38">
        <v>11.6</v>
      </c>
      <c r="AH38">
        <v>0</v>
      </c>
      <c r="AI38">
        <v>1</v>
      </c>
      <c r="AJ38">
        <v>1</v>
      </c>
      <c r="AK38">
        <v>1</v>
      </c>
      <c r="AL38">
        <v>1</v>
      </c>
      <c r="AN38">
        <v>0</v>
      </c>
      <c r="AO38">
        <v>1</v>
      </c>
      <c r="AP38">
        <v>1</v>
      </c>
      <c r="AQ38">
        <v>0</v>
      </c>
      <c r="AR38">
        <v>0</v>
      </c>
      <c r="AS38" t="s">
        <v>4</v>
      </c>
      <c r="AT38">
        <v>0.5</v>
      </c>
      <c r="AU38" t="s">
        <v>29</v>
      </c>
      <c r="AV38">
        <v>0</v>
      </c>
      <c r="AW38">
        <v>2</v>
      </c>
      <c r="AX38">
        <v>16501369</v>
      </c>
      <c r="AY38">
        <v>1</v>
      </c>
      <c r="AZ38">
        <v>0</v>
      </c>
      <c r="BA38">
        <v>42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X38">
        <f>Y38*Source!I32</f>
        <v>0.22687499999999999</v>
      </c>
      <c r="CY38">
        <f>AB38</f>
        <v>65.709999999999994</v>
      </c>
      <c r="CZ38">
        <f>AF38</f>
        <v>65.709999999999994</v>
      </c>
      <c r="DA38">
        <f>AJ38</f>
        <v>1</v>
      </c>
      <c r="DB38">
        <v>0</v>
      </c>
    </row>
    <row r="39" spans="1:106" x14ac:dyDescent="0.2">
      <c r="A39">
        <f>ROW(Source!A32)</f>
        <v>32</v>
      </c>
      <c r="B39">
        <v>16501254</v>
      </c>
      <c r="C39">
        <v>16501357</v>
      </c>
      <c r="D39">
        <v>15162736</v>
      </c>
      <c r="E39">
        <v>17</v>
      </c>
      <c r="F39">
        <v>1</v>
      </c>
      <c r="G39">
        <v>1</v>
      </c>
      <c r="H39">
        <v>3</v>
      </c>
      <c r="I39" t="s">
        <v>48</v>
      </c>
      <c r="J39" t="s">
        <v>4</v>
      </c>
      <c r="K39" t="s">
        <v>49</v>
      </c>
      <c r="L39">
        <v>1327</v>
      </c>
      <c r="N39">
        <v>1005</v>
      </c>
      <c r="O39" t="s">
        <v>50</v>
      </c>
      <c r="P39" t="s">
        <v>50</v>
      </c>
      <c r="Q39">
        <v>1</v>
      </c>
      <c r="W39">
        <v>0</v>
      </c>
      <c r="X39">
        <v>-919469713</v>
      </c>
      <c r="Y39">
        <v>102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1</v>
      </c>
      <c r="AJ39">
        <v>1</v>
      </c>
      <c r="AK39">
        <v>1</v>
      </c>
      <c r="AL39">
        <v>1</v>
      </c>
      <c r="AN39">
        <v>0</v>
      </c>
      <c r="AO39">
        <v>0</v>
      </c>
      <c r="AP39">
        <v>0</v>
      </c>
      <c r="AQ39">
        <v>0</v>
      </c>
      <c r="AR39">
        <v>0</v>
      </c>
      <c r="AS39" t="s">
        <v>4</v>
      </c>
      <c r="AT39">
        <v>102</v>
      </c>
      <c r="AU39" t="s">
        <v>4</v>
      </c>
      <c r="AV39">
        <v>0</v>
      </c>
      <c r="AW39">
        <v>2</v>
      </c>
      <c r="AX39">
        <v>16501370</v>
      </c>
      <c r="AY39">
        <v>1</v>
      </c>
      <c r="AZ39">
        <v>0</v>
      </c>
      <c r="BA39">
        <v>43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X39">
        <f>Y39*Source!I32</f>
        <v>37.025999999999996</v>
      </c>
      <c r="CY39">
        <f>AA39</f>
        <v>0</v>
      </c>
      <c r="CZ39">
        <f>AE39</f>
        <v>0</v>
      </c>
      <c r="DA39">
        <f>AI39</f>
        <v>1</v>
      </c>
      <c r="DB39">
        <v>0</v>
      </c>
    </row>
    <row r="40" spans="1:106" x14ac:dyDescent="0.2">
      <c r="A40">
        <f>ROW(Source!A32)</f>
        <v>32</v>
      </c>
      <c r="B40">
        <v>16501254</v>
      </c>
      <c r="C40">
        <v>16501357</v>
      </c>
      <c r="D40">
        <v>15167020</v>
      </c>
      <c r="E40">
        <v>1</v>
      </c>
      <c r="F40">
        <v>1</v>
      </c>
      <c r="G40">
        <v>1</v>
      </c>
      <c r="H40">
        <v>3</v>
      </c>
      <c r="I40" t="s">
        <v>52</v>
      </c>
      <c r="J40" t="s">
        <v>54</v>
      </c>
      <c r="K40" t="s">
        <v>53</v>
      </c>
      <c r="L40">
        <v>1327</v>
      </c>
      <c r="N40">
        <v>1005</v>
      </c>
      <c r="O40" t="s">
        <v>50</v>
      </c>
      <c r="P40" t="s">
        <v>50</v>
      </c>
      <c r="Q40">
        <v>1</v>
      </c>
      <c r="W40">
        <v>0</v>
      </c>
      <c r="X40">
        <v>630556909</v>
      </c>
      <c r="Y40">
        <v>102</v>
      </c>
      <c r="AA40">
        <v>71.47</v>
      </c>
      <c r="AB40">
        <v>0</v>
      </c>
      <c r="AC40">
        <v>0</v>
      </c>
      <c r="AD40">
        <v>0</v>
      </c>
      <c r="AE40">
        <v>71.47</v>
      </c>
      <c r="AF40">
        <v>0</v>
      </c>
      <c r="AG40">
        <v>0</v>
      </c>
      <c r="AH40">
        <v>0</v>
      </c>
      <c r="AI40">
        <v>1</v>
      </c>
      <c r="AJ40">
        <v>1</v>
      </c>
      <c r="AK40">
        <v>1</v>
      </c>
      <c r="AL40">
        <v>1</v>
      </c>
      <c r="AN40">
        <v>0</v>
      </c>
      <c r="AO40">
        <v>0</v>
      </c>
      <c r="AP40">
        <v>0</v>
      </c>
      <c r="AQ40">
        <v>0</v>
      </c>
      <c r="AR40">
        <v>0</v>
      </c>
      <c r="AS40" t="s">
        <v>4</v>
      </c>
      <c r="AT40">
        <v>102</v>
      </c>
      <c r="AU40" t="s">
        <v>4</v>
      </c>
      <c r="AV40">
        <v>0</v>
      </c>
      <c r="AW40">
        <v>1</v>
      </c>
      <c r="AX40">
        <v>-1</v>
      </c>
      <c r="AY40">
        <v>0</v>
      </c>
      <c r="AZ40">
        <v>0</v>
      </c>
      <c r="BA40" t="s">
        <v>4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X40">
        <f>Y40*Source!I32</f>
        <v>37.025999999999996</v>
      </c>
      <c r="CY40">
        <f>AA40</f>
        <v>71.47</v>
      </c>
      <c r="CZ40">
        <f>AE40</f>
        <v>71.47</v>
      </c>
      <c r="DA40">
        <f>AI40</f>
        <v>1</v>
      </c>
      <c r="DB40">
        <v>0</v>
      </c>
    </row>
    <row r="41" spans="1:106" x14ac:dyDescent="0.2">
      <c r="A41">
        <f>ROW(Source!A32)</f>
        <v>32</v>
      </c>
      <c r="B41">
        <v>16501254</v>
      </c>
      <c r="C41">
        <v>16501357</v>
      </c>
      <c r="D41">
        <v>15171018</v>
      </c>
      <c r="E41">
        <v>1</v>
      </c>
      <c r="F41">
        <v>1</v>
      </c>
      <c r="G41">
        <v>1</v>
      </c>
      <c r="H41">
        <v>3</v>
      </c>
      <c r="I41" t="s">
        <v>280</v>
      </c>
      <c r="J41" t="s">
        <v>281</v>
      </c>
      <c r="K41" t="s">
        <v>282</v>
      </c>
      <c r="L41">
        <v>1346</v>
      </c>
      <c r="N41">
        <v>1009</v>
      </c>
      <c r="O41" t="s">
        <v>277</v>
      </c>
      <c r="P41" t="s">
        <v>277</v>
      </c>
      <c r="Q41">
        <v>1</v>
      </c>
      <c r="W41">
        <v>0</v>
      </c>
      <c r="X41">
        <v>813963326</v>
      </c>
      <c r="Y41">
        <v>0.5</v>
      </c>
      <c r="AA41">
        <v>1.82</v>
      </c>
      <c r="AB41">
        <v>0</v>
      </c>
      <c r="AC41">
        <v>0</v>
      </c>
      <c r="AD41">
        <v>0</v>
      </c>
      <c r="AE41">
        <v>1.82</v>
      </c>
      <c r="AF41">
        <v>0</v>
      </c>
      <c r="AG41">
        <v>0</v>
      </c>
      <c r="AH41">
        <v>0</v>
      </c>
      <c r="AI41">
        <v>1</v>
      </c>
      <c r="AJ41">
        <v>1</v>
      </c>
      <c r="AK41">
        <v>1</v>
      </c>
      <c r="AL41">
        <v>1</v>
      </c>
      <c r="AN41">
        <v>0</v>
      </c>
      <c r="AO41">
        <v>1</v>
      </c>
      <c r="AP41">
        <v>0</v>
      </c>
      <c r="AQ41">
        <v>0</v>
      </c>
      <c r="AR41">
        <v>0</v>
      </c>
      <c r="AS41" t="s">
        <v>4</v>
      </c>
      <c r="AT41">
        <v>0.5</v>
      </c>
      <c r="AU41" t="s">
        <v>4</v>
      </c>
      <c r="AV41">
        <v>0</v>
      </c>
      <c r="AW41">
        <v>2</v>
      </c>
      <c r="AX41">
        <v>16501371</v>
      </c>
      <c r="AY41">
        <v>1</v>
      </c>
      <c r="AZ41">
        <v>0</v>
      </c>
      <c r="BA41">
        <v>44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X41">
        <f>Y41*Source!I32</f>
        <v>0.18149999999999999</v>
      </c>
      <c r="CY41">
        <f>AA41</f>
        <v>1.82</v>
      </c>
      <c r="CZ41">
        <f>AE41</f>
        <v>1.82</v>
      </c>
      <c r="DA41">
        <f>AI41</f>
        <v>1</v>
      </c>
      <c r="DB41">
        <v>0</v>
      </c>
    </row>
    <row r="42" spans="1:106" x14ac:dyDescent="0.2">
      <c r="A42">
        <f>ROW(Source!A32)</f>
        <v>32</v>
      </c>
      <c r="B42">
        <v>16501254</v>
      </c>
      <c r="C42">
        <v>16501357</v>
      </c>
      <c r="D42">
        <v>15202462</v>
      </c>
      <c r="E42">
        <v>1</v>
      </c>
      <c r="F42">
        <v>1</v>
      </c>
      <c r="G42">
        <v>1</v>
      </c>
      <c r="H42">
        <v>3</v>
      </c>
      <c r="I42" t="s">
        <v>56</v>
      </c>
      <c r="J42" t="s">
        <v>59</v>
      </c>
      <c r="K42" t="s">
        <v>57</v>
      </c>
      <c r="L42">
        <v>1348</v>
      </c>
      <c r="N42">
        <v>1009</v>
      </c>
      <c r="O42" t="s">
        <v>58</v>
      </c>
      <c r="P42" t="s">
        <v>58</v>
      </c>
      <c r="Q42">
        <v>1000</v>
      </c>
      <c r="W42">
        <v>0</v>
      </c>
      <c r="X42">
        <v>486476101</v>
      </c>
      <c r="Y42">
        <v>0.05</v>
      </c>
      <c r="AA42">
        <v>11300</v>
      </c>
      <c r="AB42">
        <v>0</v>
      </c>
      <c r="AC42">
        <v>0</v>
      </c>
      <c r="AD42">
        <v>0</v>
      </c>
      <c r="AE42">
        <v>11300</v>
      </c>
      <c r="AF42">
        <v>0</v>
      </c>
      <c r="AG42">
        <v>0</v>
      </c>
      <c r="AH42">
        <v>0</v>
      </c>
      <c r="AI42">
        <v>1</v>
      </c>
      <c r="AJ42">
        <v>1</v>
      </c>
      <c r="AK42">
        <v>1</v>
      </c>
      <c r="AL42">
        <v>1</v>
      </c>
      <c r="AN42">
        <v>0</v>
      </c>
      <c r="AO42">
        <v>0</v>
      </c>
      <c r="AP42">
        <v>0</v>
      </c>
      <c r="AQ42">
        <v>0</v>
      </c>
      <c r="AR42">
        <v>0</v>
      </c>
      <c r="AS42" t="s">
        <v>4</v>
      </c>
      <c r="AT42">
        <v>0.05</v>
      </c>
      <c r="AU42" t="s">
        <v>4</v>
      </c>
      <c r="AV42">
        <v>0</v>
      </c>
      <c r="AW42">
        <v>1</v>
      </c>
      <c r="AX42">
        <v>-1</v>
      </c>
      <c r="AY42">
        <v>0</v>
      </c>
      <c r="AZ42">
        <v>0</v>
      </c>
      <c r="BA42" t="s">
        <v>4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X42">
        <f>Y42*Source!I32</f>
        <v>1.8149999999999999E-2</v>
      </c>
      <c r="CY42">
        <f>AA42</f>
        <v>11300</v>
      </c>
      <c r="CZ42">
        <f>AE42</f>
        <v>11300</v>
      </c>
      <c r="DA42">
        <f>AI42</f>
        <v>1</v>
      </c>
      <c r="DB42">
        <v>0</v>
      </c>
    </row>
    <row r="43" spans="1:106" x14ac:dyDescent="0.2">
      <c r="A43">
        <f>ROW(Source!A33)</f>
        <v>33</v>
      </c>
      <c r="B43">
        <v>16501255</v>
      </c>
      <c r="C43">
        <v>16501357</v>
      </c>
      <c r="D43">
        <v>15432356</v>
      </c>
      <c r="E43">
        <v>1</v>
      </c>
      <c r="F43">
        <v>1</v>
      </c>
      <c r="G43">
        <v>1</v>
      </c>
      <c r="H43">
        <v>1</v>
      </c>
      <c r="I43" t="s">
        <v>278</v>
      </c>
      <c r="J43" t="s">
        <v>4</v>
      </c>
      <c r="K43" t="s">
        <v>279</v>
      </c>
      <c r="L43">
        <v>1191</v>
      </c>
      <c r="N43">
        <v>1013</v>
      </c>
      <c r="O43" t="s">
        <v>252</v>
      </c>
      <c r="P43" t="s">
        <v>252</v>
      </c>
      <c r="Q43">
        <v>1</v>
      </c>
      <c r="W43">
        <v>0</v>
      </c>
      <c r="X43">
        <v>1850719656</v>
      </c>
      <c r="Y43">
        <v>48.76</v>
      </c>
      <c r="AA43">
        <v>0</v>
      </c>
      <c r="AB43">
        <v>0</v>
      </c>
      <c r="AC43">
        <v>0</v>
      </c>
      <c r="AD43">
        <v>50.52</v>
      </c>
      <c r="AE43">
        <v>0</v>
      </c>
      <c r="AF43">
        <v>0</v>
      </c>
      <c r="AG43">
        <v>0</v>
      </c>
      <c r="AH43">
        <v>8.31</v>
      </c>
      <c r="AI43">
        <v>1</v>
      </c>
      <c r="AJ43">
        <v>1</v>
      </c>
      <c r="AK43">
        <v>1</v>
      </c>
      <c r="AL43">
        <v>6.08</v>
      </c>
      <c r="AN43">
        <v>0</v>
      </c>
      <c r="AO43">
        <v>1</v>
      </c>
      <c r="AP43">
        <v>1</v>
      </c>
      <c r="AQ43">
        <v>0</v>
      </c>
      <c r="AR43">
        <v>0</v>
      </c>
      <c r="AS43" t="s">
        <v>4</v>
      </c>
      <c r="AT43">
        <v>42.4</v>
      </c>
      <c r="AU43" t="s">
        <v>30</v>
      </c>
      <c r="AV43">
        <v>1</v>
      </c>
      <c r="AW43">
        <v>2</v>
      </c>
      <c r="AX43">
        <v>16501366</v>
      </c>
      <c r="AY43">
        <v>1</v>
      </c>
      <c r="AZ43">
        <v>0</v>
      </c>
      <c r="BA43">
        <v>46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X43">
        <f>Y43*Source!I33</f>
        <v>17.69988</v>
      </c>
      <c r="CY43">
        <f>AD43</f>
        <v>50.52</v>
      </c>
      <c r="CZ43">
        <f>AH43</f>
        <v>8.31</v>
      </c>
      <c r="DA43">
        <f>AL43</f>
        <v>6.08</v>
      </c>
      <c r="DB43">
        <v>0</v>
      </c>
    </row>
    <row r="44" spans="1:106" x14ac:dyDescent="0.2">
      <c r="A44">
        <f>ROW(Source!A33)</f>
        <v>33</v>
      </c>
      <c r="B44">
        <v>16501255</v>
      </c>
      <c r="C44">
        <v>16501357</v>
      </c>
      <c r="D44">
        <v>15430395</v>
      </c>
      <c r="E44">
        <v>1</v>
      </c>
      <c r="F44">
        <v>1</v>
      </c>
      <c r="G44">
        <v>1</v>
      </c>
      <c r="H44">
        <v>1</v>
      </c>
      <c r="I44" t="s">
        <v>253</v>
      </c>
      <c r="J44" t="s">
        <v>4</v>
      </c>
      <c r="K44" t="s">
        <v>254</v>
      </c>
      <c r="L44">
        <v>1191</v>
      </c>
      <c r="N44">
        <v>1013</v>
      </c>
      <c r="O44" t="s">
        <v>252</v>
      </c>
      <c r="P44" t="s">
        <v>252</v>
      </c>
      <c r="Q44">
        <v>1</v>
      </c>
      <c r="W44">
        <v>0</v>
      </c>
      <c r="X44">
        <v>-1417349443</v>
      </c>
      <c r="Y44">
        <v>0.85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1</v>
      </c>
      <c r="AJ44">
        <v>1</v>
      </c>
      <c r="AK44">
        <v>6.08</v>
      </c>
      <c r="AL44">
        <v>1</v>
      </c>
      <c r="AN44">
        <v>0</v>
      </c>
      <c r="AO44">
        <v>1</v>
      </c>
      <c r="AP44">
        <v>0</v>
      </c>
      <c r="AQ44">
        <v>0</v>
      </c>
      <c r="AR44">
        <v>0</v>
      </c>
      <c r="AS44" t="s">
        <v>4</v>
      </c>
      <c r="AT44">
        <v>0.85</v>
      </c>
      <c r="AU44" t="s">
        <v>4</v>
      </c>
      <c r="AV44">
        <v>2</v>
      </c>
      <c r="AW44">
        <v>2</v>
      </c>
      <c r="AX44">
        <v>16501367</v>
      </c>
      <c r="AY44">
        <v>1</v>
      </c>
      <c r="AZ44">
        <v>2048</v>
      </c>
      <c r="BA44">
        <v>47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X44">
        <f>Y44*Source!I33</f>
        <v>0.30854999999999999</v>
      </c>
      <c r="CY44">
        <f>AD44</f>
        <v>0</v>
      </c>
      <c r="CZ44">
        <f>AH44</f>
        <v>0</v>
      </c>
      <c r="DA44">
        <f>AL44</f>
        <v>1</v>
      </c>
      <c r="DB44">
        <v>0</v>
      </c>
    </row>
    <row r="45" spans="1:106" x14ac:dyDescent="0.2">
      <c r="A45">
        <f>ROW(Source!A33)</f>
        <v>33</v>
      </c>
      <c r="B45">
        <v>16501255</v>
      </c>
      <c r="C45">
        <v>16501357</v>
      </c>
      <c r="D45">
        <v>15247974</v>
      </c>
      <c r="E45">
        <v>1</v>
      </c>
      <c r="F45">
        <v>1</v>
      </c>
      <c r="G45">
        <v>1</v>
      </c>
      <c r="H45">
        <v>2</v>
      </c>
      <c r="I45" t="s">
        <v>255</v>
      </c>
      <c r="J45" t="s">
        <v>256</v>
      </c>
      <c r="K45" t="s">
        <v>257</v>
      </c>
      <c r="L45">
        <v>1368</v>
      </c>
      <c r="N45">
        <v>1011</v>
      </c>
      <c r="O45" t="s">
        <v>258</v>
      </c>
      <c r="P45" t="s">
        <v>258</v>
      </c>
      <c r="Q45">
        <v>1</v>
      </c>
      <c r="W45">
        <v>0</v>
      </c>
      <c r="X45">
        <v>1188625873</v>
      </c>
      <c r="Y45">
        <v>0.4375</v>
      </c>
      <c r="AA45">
        <v>0</v>
      </c>
      <c r="AB45">
        <v>190.06</v>
      </c>
      <c r="AC45">
        <v>13.5</v>
      </c>
      <c r="AD45">
        <v>0</v>
      </c>
      <c r="AE45">
        <v>0</v>
      </c>
      <c r="AF45">
        <v>31.26</v>
      </c>
      <c r="AG45">
        <v>13.5</v>
      </c>
      <c r="AH45">
        <v>0</v>
      </c>
      <c r="AI45">
        <v>1</v>
      </c>
      <c r="AJ45">
        <v>6.08</v>
      </c>
      <c r="AK45">
        <v>1</v>
      </c>
      <c r="AL45">
        <v>1</v>
      </c>
      <c r="AN45">
        <v>0</v>
      </c>
      <c r="AO45">
        <v>1</v>
      </c>
      <c r="AP45">
        <v>1</v>
      </c>
      <c r="AQ45">
        <v>0</v>
      </c>
      <c r="AR45">
        <v>0</v>
      </c>
      <c r="AS45" t="s">
        <v>4</v>
      </c>
      <c r="AT45">
        <v>0.35</v>
      </c>
      <c r="AU45" t="s">
        <v>29</v>
      </c>
      <c r="AV45">
        <v>0</v>
      </c>
      <c r="AW45">
        <v>2</v>
      </c>
      <c r="AX45">
        <v>16501368</v>
      </c>
      <c r="AY45">
        <v>1</v>
      </c>
      <c r="AZ45">
        <v>0</v>
      </c>
      <c r="BA45">
        <v>48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X45">
        <f>Y45*Source!I33</f>
        <v>0.1588125</v>
      </c>
      <c r="CY45">
        <f>AB45</f>
        <v>190.06</v>
      </c>
      <c r="CZ45">
        <f>AF45</f>
        <v>31.26</v>
      </c>
      <c r="DA45">
        <f>AJ45</f>
        <v>6.08</v>
      </c>
      <c r="DB45">
        <v>0</v>
      </c>
    </row>
    <row r="46" spans="1:106" x14ac:dyDescent="0.2">
      <c r="A46">
        <f>ROW(Source!A33)</f>
        <v>33</v>
      </c>
      <c r="B46">
        <v>16501255</v>
      </c>
      <c r="C46">
        <v>16501357</v>
      </c>
      <c r="D46">
        <v>15249073</v>
      </c>
      <c r="E46">
        <v>1</v>
      </c>
      <c r="F46">
        <v>1</v>
      </c>
      <c r="G46">
        <v>1</v>
      </c>
      <c r="H46">
        <v>2</v>
      </c>
      <c r="I46" t="s">
        <v>264</v>
      </c>
      <c r="J46" t="s">
        <v>265</v>
      </c>
      <c r="K46" t="s">
        <v>266</v>
      </c>
      <c r="L46">
        <v>1368</v>
      </c>
      <c r="N46">
        <v>1011</v>
      </c>
      <c r="O46" t="s">
        <v>258</v>
      </c>
      <c r="P46" t="s">
        <v>258</v>
      </c>
      <c r="Q46">
        <v>1</v>
      </c>
      <c r="W46">
        <v>0</v>
      </c>
      <c r="X46">
        <v>1372534845</v>
      </c>
      <c r="Y46">
        <v>0.625</v>
      </c>
      <c r="AA46">
        <v>0</v>
      </c>
      <c r="AB46">
        <v>399.52</v>
      </c>
      <c r="AC46">
        <v>11.6</v>
      </c>
      <c r="AD46">
        <v>0</v>
      </c>
      <c r="AE46">
        <v>0</v>
      </c>
      <c r="AF46">
        <v>65.709999999999994</v>
      </c>
      <c r="AG46">
        <v>11.6</v>
      </c>
      <c r="AH46">
        <v>0</v>
      </c>
      <c r="AI46">
        <v>1</v>
      </c>
      <c r="AJ46">
        <v>6.08</v>
      </c>
      <c r="AK46">
        <v>1</v>
      </c>
      <c r="AL46">
        <v>1</v>
      </c>
      <c r="AN46">
        <v>0</v>
      </c>
      <c r="AO46">
        <v>1</v>
      </c>
      <c r="AP46">
        <v>1</v>
      </c>
      <c r="AQ46">
        <v>0</v>
      </c>
      <c r="AR46">
        <v>0</v>
      </c>
      <c r="AS46" t="s">
        <v>4</v>
      </c>
      <c r="AT46">
        <v>0.5</v>
      </c>
      <c r="AU46" t="s">
        <v>29</v>
      </c>
      <c r="AV46">
        <v>0</v>
      </c>
      <c r="AW46">
        <v>2</v>
      </c>
      <c r="AX46">
        <v>16501369</v>
      </c>
      <c r="AY46">
        <v>1</v>
      </c>
      <c r="AZ46">
        <v>0</v>
      </c>
      <c r="BA46">
        <v>49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X46">
        <f>Y46*Source!I33</f>
        <v>0.22687499999999999</v>
      </c>
      <c r="CY46">
        <f>AB46</f>
        <v>399.52</v>
      </c>
      <c r="CZ46">
        <f>AF46</f>
        <v>65.709999999999994</v>
      </c>
      <c r="DA46">
        <f>AJ46</f>
        <v>6.08</v>
      </c>
      <c r="DB46">
        <v>0</v>
      </c>
    </row>
    <row r="47" spans="1:106" x14ac:dyDescent="0.2">
      <c r="A47">
        <f>ROW(Source!A33)</f>
        <v>33</v>
      </c>
      <c r="B47">
        <v>16501255</v>
      </c>
      <c r="C47">
        <v>16501357</v>
      </c>
      <c r="D47">
        <v>15162736</v>
      </c>
      <c r="E47">
        <v>17</v>
      </c>
      <c r="F47">
        <v>1</v>
      </c>
      <c r="G47">
        <v>1</v>
      </c>
      <c r="H47">
        <v>3</v>
      </c>
      <c r="I47" t="s">
        <v>48</v>
      </c>
      <c r="J47" t="s">
        <v>4</v>
      </c>
      <c r="K47" t="s">
        <v>49</v>
      </c>
      <c r="L47">
        <v>1327</v>
      </c>
      <c r="N47">
        <v>1005</v>
      </c>
      <c r="O47" t="s">
        <v>50</v>
      </c>
      <c r="P47" t="s">
        <v>50</v>
      </c>
      <c r="Q47">
        <v>1</v>
      </c>
      <c r="W47">
        <v>0</v>
      </c>
      <c r="X47">
        <v>-919469713</v>
      </c>
      <c r="Y47">
        <v>102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6.08</v>
      </c>
      <c r="AJ47">
        <v>1</v>
      </c>
      <c r="AK47">
        <v>1</v>
      </c>
      <c r="AL47">
        <v>1</v>
      </c>
      <c r="AN47">
        <v>0</v>
      </c>
      <c r="AO47">
        <v>0</v>
      </c>
      <c r="AP47">
        <v>0</v>
      </c>
      <c r="AQ47">
        <v>0</v>
      </c>
      <c r="AR47">
        <v>0</v>
      </c>
      <c r="AS47" t="s">
        <v>4</v>
      </c>
      <c r="AT47">
        <v>102</v>
      </c>
      <c r="AU47" t="s">
        <v>4</v>
      </c>
      <c r="AV47">
        <v>0</v>
      </c>
      <c r="AW47">
        <v>2</v>
      </c>
      <c r="AX47">
        <v>16501370</v>
      </c>
      <c r="AY47">
        <v>1</v>
      </c>
      <c r="AZ47">
        <v>0</v>
      </c>
      <c r="BA47">
        <v>50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X47">
        <f>Y47*Source!I33</f>
        <v>37.025999999999996</v>
      </c>
      <c r="CY47">
        <f>AA47</f>
        <v>0</v>
      </c>
      <c r="CZ47">
        <f>AE47</f>
        <v>0</v>
      </c>
      <c r="DA47">
        <f>AI47</f>
        <v>6.08</v>
      </c>
      <c r="DB47">
        <v>0</v>
      </c>
    </row>
    <row r="48" spans="1:106" x14ac:dyDescent="0.2">
      <c r="A48">
        <f>ROW(Source!A33)</f>
        <v>33</v>
      </c>
      <c r="B48">
        <v>16501255</v>
      </c>
      <c r="C48">
        <v>16501357</v>
      </c>
      <c r="D48">
        <v>15167020</v>
      </c>
      <c r="E48">
        <v>1</v>
      </c>
      <c r="F48">
        <v>1</v>
      </c>
      <c r="G48">
        <v>1</v>
      </c>
      <c r="H48">
        <v>3</v>
      </c>
      <c r="I48" t="s">
        <v>52</v>
      </c>
      <c r="J48" t="s">
        <v>54</v>
      </c>
      <c r="K48" t="s">
        <v>53</v>
      </c>
      <c r="L48">
        <v>1327</v>
      </c>
      <c r="N48">
        <v>1005</v>
      </c>
      <c r="O48" t="s">
        <v>50</v>
      </c>
      <c r="P48" t="s">
        <v>50</v>
      </c>
      <c r="Q48">
        <v>1</v>
      </c>
      <c r="W48">
        <v>0</v>
      </c>
      <c r="X48">
        <v>630556909</v>
      </c>
      <c r="Y48">
        <v>102</v>
      </c>
      <c r="AA48">
        <v>434.54</v>
      </c>
      <c r="AB48">
        <v>0</v>
      </c>
      <c r="AC48">
        <v>0</v>
      </c>
      <c r="AD48">
        <v>0</v>
      </c>
      <c r="AE48">
        <v>71.47</v>
      </c>
      <c r="AF48">
        <v>0</v>
      </c>
      <c r="AG48">
        <v>0</v>
      </c>
      <c r="AH48">
        <v>0</v>
      </c>
      <c r="AI48">
        <v>6.08</v>
      </c>
      <c r="AJ48">
        <v>1</v>
      </c>
      <c r="AK48">
        <v>1</v>
      </c>
      <c r="AL48">
        <v>1</v>
      </c>
      <c r="AN48">
        <v>0</v>
      </c>
      <c r="AO48">
        <v>0</v>
      </c>
      <c r="AP48">
        <v>0</v>
      </c>
      <c r="AQ48">
        <v>0</v>
      </c>
      <c r="AR48">
        <v>0</v>
      </c>
      <c r="AS48" t="s">
        <v>4</v>
      </c>
      <c r="AT48">
        <v>102</v>
      </c>
      <c r="AU48" t="s">
        <v>4</v>
      </c>
      <c r="AV48">
        <v>0</v>
      </c>
      <c r="AW48">
        <v>1</v>
      </c>
      <c r="AX48">
        <v>-1</v>
      </c>
      <c r="AY48">
        <v>0</v>
      </c>
      <c r="AZ48">
        <v>0</v>
      </c>
      <c r="BA48" t="s">
        <v>4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X48">
        <f>Y48*Source!I33</f>
        <v>37.025999999999996</v>
      </c>
      <c r="CY48">
        <f>AA48</f>
        <v>434.54</v>
      </c>
      <c r="CZ48">
        <f>AE48</f>
        <v>71.47</v>
      </c>
      <c r="DA48">
        <f>AI48</f>
        <v>6.08</v>
      </c>
      <c r="DB48">
        <v>0</v>
      </c>
    </row>
    <row r="49" spans="1:106" x14ac:dyDescent="0.2">
      <c r="A49">
        <f>ROW(Source!A33)</f>
        <v>33</v>
      </c>
      <c r="B49">
        <v>16501255</v>
      </c>
      <c r="C49">
        <v>16501357</v>
      </c>
      <c r="D49">
        <v>15171018</v>
      </c>
      <c r="E49">
        <v>1</v>
      </c>
      <c r="F49">
        <v>1</v>
      </c>
      <c r="G49">
        <v>1</v>
      </c>
      <c r="H49">
        <v>3</v>
      </c>
      <c r="I49" t="s">
        <v>280</v>
      </c>
      <c r="J49" t="s">
        <v>281</v>
      </c>
      <c r="K49" t="s">
        <v>282</v>
      </c>
      <c r="L49">
        <v>1346</v>
      </c>
      <c r="N49">
        <v>1009</v>
      </c>
      <c r="O49" t="s">
        <v>277</v>
      </c>
      <c r="P49" t="s">
        <v>277</v>
      </c>
      <c r="Q49">
        <v>1</v>
      </c>
      <c r="W49">
        <v>0</v>
      </c>
      <c r="X49">
        <v>813963326</v>
      </c>
      <c r="Y49">
        <v>0.5</v>
      </c>
      <c r="AA49">
        <v>11.07</v>
      </c>
      <c r="AB49">
        <v>0</v>
      </c>
      <c r="AC49">
        <v>0</v>
      </c>
      <c r="AD49">
        <v>0</v>
      </c>
      <c r="AE49">
        <v>1.82</v>
      </c>
      <c r="AF49">
        <v>0</v>
      </c>
      <c r="AG49">
        <v>0</v>
      </c>
      <c r="AH49">
        <v>0</v>
      </c>
      <c r="AI49">
        <v>6.08</v>
      </c>
      <c r="AJ49">
        <v>1</v>
      </c>
      <c r="AK49">
        <v>1</v>
      </c>
      <c r="AL49">
        <v>1</v>
      </c>
      <c r="AN49">
        <v>0</v>
      </c>
      <c r="AO49">
        <v>1</v>
      </c>
      <c r="AP49">
        <v>0</v>
      </c>
      <c r="AQ49">
        <v>0</v>
      </c>
      <c r="AR49">
        <v>0</v>
      </c>
      <c r="AS49" t="s">
        <v>4</v>
      </c>
      <c r="AT49">
        <v>0.5</v>
      </c>
      <c r="AU49" t="s">
        <v>4</v>
      </c>
      <c r="AV49">
        <v>0</v>
      </c>
      <c r="AW49">
        <v>2</v>
      </c>
      <c r="AX49">
        <v>16501371</v>
      </c>
      <c r="AY49">
        <v>1</v>
      </c>
      <c r="AZ49">
        <v>0</v>
      </c>
      <c r="BA49">
        <v>51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X49">
        <f>Y49*Source!I33</f>
        <v>0.18149999999999999</v>
      </c>
      <c r="CY49">
        <f>AA49</f>
        <v>11.07</v>
      </c>
      <c r="CZ49">
        <f>AE49</f>
        <v>1.82</v>
      </c>
      <c r="DA49">
        <f>AI49</f>
        <v>6.08</v>
      </c>
      <c r="DB49">
        <v>0</v>
      </c>
    </row>
    <row r="50" spans="1:106" x14ac:dyDescent="0.2">
      <c r="A50">
        <f>ROW(Source!A33)</f>
        <v>33</v>
      </c>
      <c r="B50">
        <v>16501255</v>
      </c>
      <c r="C50">
        <v>16501357</v>
      </c>
      <c r="D50">
        <v>15202462</v>
      </c>
      <c r="E50">
        <v>1</v>
      </c>
      <c r="F50">
        <v>1</v>
      </c>
      <c r="G50">
        <v>1</v>
      </c>
      <c r="H50">
        <v>3</v>
      </c>
      <c r="I50" t="s">
        <v>56</v>
      </c>
      <c r="J50" t="s">
        <v>59</v>
      </c>
      <c r="K50" t="s">
        <v>57</v>
      </c>
      <c r="L50">
        <v>1348</v>
      </c>
      <c r="N50">
        <v>1009</v>
      </c>
      <c r="O50" t="s">
        <v>58</v>
      </c>
      <c r="P50" t="s">
        <v>58</v>
      </c>
      <c r="Q50">
        <v>1000</v>
      </c>
      <c r="W50">
        <v>0</v>
      </c>
      <c r="X50">
        <v>486476101</v>
      </c>
      <c r="Y50">
        <v>0.05</v>
      </c>
      <c r="AA50">
        <v>68704</v>
      </c>
      <c r="AB50">
        <v>0</v>
      </c>
      <c r="AC50">
        <v>0</v>
      </c>
      <c r="AD50">
        <v>0</v>
      </c>
      <c r="AE50">
        <v>11300</v>
      </c>
      <c r="AF50">
        <v>0</v>
      </c>
      <c r="AG50">
        <v>0</v>
      </c>
      <c r="AH50">
        <v>0</v>
      </c>
      <c r="AI50">
        <v>6.08</v>
      </c>
      <c r="AJ50">
        <v>1</v>
      </c>
      <c r="AK50">
        <v>1</v>
      </c>
      <c r="AL50">
        <v>1</v>
      </c>
      <c r="AN50">
        <v>0</v>
      </c>
      <c r="AO50">
        <v>0</v>
      </c>
      <c r="AP50">
        <v>0</v>
      </c>
      <c r="AQ50">
        <v>0</v>
      </c>
      <c r="AR50">
        <v>0</v>
      </c>
      <c r="AS50" t="s">
        <v>4</v>
      </c>
      <c r="AT50">
        <v>0.05</v>
      </c>
      <c r="AU50" t="s">
        <v>4</v>
      </c>
      <c r="AV50">
        <v>0</v>
      </c>
      <c r="AW50">
        <v>1</v>
      </c>
      <c r="AX50">
        <v>-1</v>
      </c>
      <c r="AY50">
        <v>0</v>
      </c>
      <c r="AZ50">
        <v>0</v>
      </c>
      <c r="BA50" t="s">
        <v>4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X50">
        <f>Y50*Source!I33</f>
        <v>1.8149999999999999E-2</v>
      </c>
      <c r="CY50">
        <f>AA50</f>
        <v>68704</v>
      </c>
      <c r="CZ50">
        <f>AE50</f>
        <v>11300</v>
      </c>
      <c r="DA50">
        <f>AI50</f>
        <v>6.08</v>
      </c>
      <c r="DB50">
        <v>0</v>
      </c>
    </row>
    <row r="51" spans="1:106" x14ac:dyDescent="0.2">
      <c r="A51">
        <f>ROW(Source!A40)</f>
        <v>40</v>
      </c>
      <c r="B51">
        <v>16501254</v>
      </c>
      <c r="C51">
        <v>16501376</v>
      </c>
      <c r="D51">
        <v>15438286</v>
      </c>
      <c r="E51">
        <v>1</v>
      </c>
      <c r="F51">
        <v>1</v>
      </c>
      <c r="G51">
        <v>1</v>
      </c>
      <c r="H51">
        <v>1</v>
      </c>
      <c r="I51" t="s">
        <v>283</v>
      </c>
      <c r="J51" t="s">
        <v>4</v>
      </c>
      <c r="K51" t="s">
        <v>284</v>
      </c>
      <c r="L51">
        <v>1191</v>
      </c>
      <c r="N51">
        <v>1013</v>
      </c>
      <c r="O51" t="s">
        <v>252</v>
      </c>
      <c r="P51" t="s">
        <v>252</v>
      </c>
      <c r="Q51">
        <v>1</v>
      </c>
      <c r="W51">
        <v>0</v>
      </c>
      <c r="X51">
        <v>-1027537862</v>
      </c>
      <c r="Y51">
        <v>7.6819999999999995</v>
      </c>
      <c r="AA51">
        <v>0</v>
      </c>
      <c r="AB51">
        <v>0</v>
      </c>
      <c r="AC51">
        <v>0</v>
      </c>
      <c r="AD51">
        <v>9.18</v>
      </c>
      <c r="AE51">
        <v>0</v>
      </c>
      <c r="AF51">
        <v>0</v>
      </c>
      <c r="AG51">
        <v>0</v>
      </c>
      <c r="AH51">
        <v>9.18</v>
      </c>
      <c r="AI51">
        <v>1</v>
      </c>
      <c r="AJ51">
        <v>1</v>
      </c>
      <c r="AK51">
        <v>1</v>
      </c>
      <c r="AL51">
        <v>1</v>
      </c>
      <c r="AN51">
        <v>0</v>
      </c>
      <c r="AO51">
        <v>1</v>
      </c>
      <c r="AP51">
        <v>1</v>
      </c>
      <c r="AQ51">
        <v>0</v>
      </c>
      <c r="AR51">
        <v>0</v>
      </c>
      <c r="AS51" t="s">
        <v>4</v>
      </c>
      <c r="AT51">
        <v>6.68</v>
      </c>
      <c r="AU51" t="s">
        <v>30</v>
      </c>
      <c r="AV51">
        <v>1</v>
      </c>
      <c r="AW51">
        <v>2</v>
      </c>
      <c r="AX51">
        <v>16501389</v>
      </c>
      <c r="AY51">
        <v>1</v>
      </c>
      <c r="AZ51">
        <v>0</v>
      </c>
      <c r="BA51">
        <v>53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X51">
        <f>Y51*Source!I40</f>
        <v>1.782224</v>
      </c>
      <c r="CY51">
        <f>AD51</f>
        <v>9.18</v>
      </c>
      <c r="CZ51">
        <f>AH51</f>
        <v>9.18</v>
      </c>
      <c r="DA51">
        <f>AL51</f>
        <v>1</v>
      </c>
      <c r="DB51">
        <v>0</v>
      </c>
    </row>
    <row r="52" spans="1:106" x14ac:dyDescent="0.2">
      <c r="A52">
        <f>ROW(Source!A40)</f>
        <v>40</v>
      </c>
      <c r="B52">
        <v>16501254</v>
      </c>
      <c r="C52">
        <v>16501376</v>
      </c>
      <c r="D52">
        <v>15430395</v>
      </c>
      <c r="E52">
        <v>1</v>
      </c>
      <c r="F52">
        <v>1</v>
      </c>
      <c r="G52">
        <v>1</v>
      </c>
      <c r="H52">
        <v>1</v>
      </c>
      <c r="I52" t="s">
        <v>253</v>
      </c>
      <c r="J52" t="s">
        <v>4</v>
      </c>
      <c r="K52" t="s">
        <v>254</v>
      </c>
      <c r="L52">
        <v>1191</v>
      </c>
      <c r="N52">
        <v>1013</v>
      </c>
      <c r="O52" t="s">
        <v>252</v>
      </c>
      <c r="P52" t="s">
        <v>252</v>
      </c>
      <c r="Q52">
        <v>1</v>
      </c>
      <c r="W52">
        <v>0</v>
      </c>
      <c r="X52">
        <v>-1417349443</v>
      </c>
      <c r="Y52">
        <v>0.04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1</v>
      </c>
      <c r="AJ52">
        <v>1</v>
      </c>
      <c r="AK52">
        <v>1</v>
      </c>
      <c r="AL52">
        <v>1</v>
      </c>
      <c r="AN52">
        <v>0</v>
      </c>
      <c r="AO52">
        <v>1</v>
      </c>
      <c r="AP52">
        <v>0</v>
      </c>
      <c r="AQ52">
        <v>0</v>
      </c>
      <c r="AR52">
        <v>0</v>
      </c>
      <c r="AS52" t="s">
        <v>4</v>
      </c>
      <c r="AT52">
        <v>0.04</v>
      </c>
      <c r="AU52" t="s">
        <v>4</v>
      </c>
      <c r="AV52">
        <v>2</v>
      </c>
      <c r="AW52">
        <v>2</v>
      </c>
      <c r="AX52">
        <v>16501390</v>
      </c>
      <c r="AY52">
        <v>1</v>
      </c>
      <c r="AZ52">
        <v>2048</v>
      </c>
      <c r="BA52">
        <v>54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X52">
        <f>Y52*Source!I40</f>
        <v>9.2800000000000001E-3</v>
      </c>
      <c r="CY52">
        <f>AD52</f>
        <v>0</v>
      </c>
      <c r="CZ52">
        <f>AH52</f>
        <v>0</v>
      </c>
      <c r="DA52">
        <f>AL52</f>
        <v>1</v>
      </c>
      <c r="DB52">
        <v>0</v>
      </c>
    </row>
    <row r="53" spans="1:106" x14ac:dyDescent="0.2">
      <c r="A53">
        <f>ROW(Source!A40)</f>
        <v>40</v>
      </c>
      <c r="B53">
        <v>16501254</v>
      </c>
      <c r="C53">
        <v>16501376</v>
      </c>
      <c r="D53">
        <v>15247974</v>
      </c>
      <c r="E53">
        <v>1</v>
      </c>
      <c r="F53">
        <v>1</v>
      </c>
      <c r="G53">
        <v>1</v>
      </c>
      <c r="H53">
        <v>2</v>
      </c>
      <c r="I53" t="s">
        <v>255</v>
      </c>
      <c r="J53" t="s">
        <v>256</v>
      </c>
      <c r="K53" t="s">
        <v>257</v>
      </c>
      <c r="L53">
        <v>1368</v>
      </c>
      <c r="N53">
        <v>1011</v>
      </c>
      <c r="O53" t="s">
        <v>258</v>
      </c>
      <c r="P53" t="s">
        <v>258</v>
      </c>
      <c r="Q53">
        <v>1</v>
      </c>
      <c r="W53">
        <v>0</v>
      </c>
      <c r="X53">
        <v>1188625873</v>
      </c>
      <c r="Y53">
        <v>6.2500000000000003E-3</v>
      </c>
      <c r="AA53">
        <v>0</v>
      </c>
      <c r="AB53">
        <v>31.26</v>
      </c>
      <c r="AC53">
        <v>13.5</v>
      </c>
      <c r="AD53">
        <v>0</v>
      </c>
      <c r="AE53">
        <v>0</v>
      </c>
      <c r="AF53">
        <v>31.26</v>
      </c>
      <c r="AG53">
        <v>13.5</v>
      </c>
      <c r="AH53">
        <v>0</v>
      </c>
      <c r="AI53">
        <v>1</v>
      </c>
      <c r="AJ53">
        <v>1</v>
      </c>
      <c r="AK53">
        <v>1</v>
      </c>
      <c r="AL53">
        <v>1</v>
      </c>
      <c r="AN53">
        <v>0</v>
      </c>
      <c r="AO53">
        <v>1</v>
      </c>
      <c r="AP53">
        <v>1</v>
      </c>
      <c r="AQ53">
        <v>0</v>
      </c>
      <c r="AR53">
        <v>0</v>
      </c>
      <c r="AS53" t="s">
        <v>4</v>
      </c>
      <c r="AT53">
        <v>5.0000000000000001E-3</v>
      </c>
      <c r="AU53" t="s">
        <v>29</v>
      </c>
      <c r="AV53">
        <v>0</v>
      </c>
      <c r="AW53">
        <v>2</v>
      </c>
      <c r="AX53">
        <v>16501391</v>
      </c>
      <c r="AY53">
        <v>1</v>
      </c>
      <c r="AZ53">
        <v>0</v>
      </c>
      <c r="BA53">
        <v>55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X53">
        <f>Y53*Source!I40</f>
        <v>1.4500000000000001E-3</v>
      </c>
      <c r="CY53">
        <f>AB53</f>
        <v>31.26</v>
      </c>
      <c r="CZ53">
        <f>AF53</f>
        <v>31.26</v>
      </c>
      <c r="DA53">
        <f>AJ53</f>
        <v>1</v>
      </c>
      <c r="DB53">
        <v>0</v>
      </c>
    </row>
    <row r="54" spans="1:106" x14ac:dyDescent="0.2">
      <c r="A54">
        <f>ROW(Source!A40)</f>
        <v>40</v>
      </c>
      <c r="B54">
        <v>16501254</v>
      </c>
      <c r="C54">
        <v>16501376</v>
      </c>
      <c r="D54">
        <v>15249073</v>
      </c>
      <c r="E54">
        <v>1</v>
      </c>
      <c r="F54">
        <v>1</v>
      </c>
      <c r="G54">
        <v>1</v>
      </c>
      <c r="H54">
        <v>2</v>
      </c>
      <c r="I54" t="s">
        <v>264</v>
      </c>
      <c r="J54" t="s">
        <v>265</v>
      </c>
      <c r="K54" t="s">
        <v>266</v>
      </c>
      <c r="L54">
        <v>1368</v>
      </c>
      <c r="N54">
        <v>1011</v>
      </c>
      <c r="O54" t="s">
        <v>258</v>
      </c>
      <c r="P54" t="s">
        <v>258</v>
      </c>
      <c r="Q54">
        <v>1</v>
      </c>
      <c r="W54">
        <v>0</v>
      </c>
      <c r="X54">
        <v>1372534845</v>
      </c>
      <c r="Y54">
        <v>3.7499999999999999E-2</v>
      </c>
      <c r="AA54">
        <v>0</v>
      </c>
      <c r="AB54">
        <v>65.709999999999994</v>
      </c>
      <c r="AC54">
        <v>11.6</v>
      </c>
      <c r="AD54">
        <v>0</v>
      </c>
      <c r="AE54">
        <v>0</v>
      </c>
      <c r="AF54">
        <v>65.709999999999994</v>
      </c>
      <c r="AG54">
        <v>11.6</v>
      </c>
      <c r="AH54">
        <v>0</v>
      </c>
      <c r="AI54">
        <v>1</v>
      </c>
      <c r="AJ54">
        <v>1</v>
      </c>
      <c r="AK54">
        <v>1</v>
      </c>
      <c r="AL54">
        <v>1</v>
      </c>
      <c r="AN54">
        <v>0</v>
      </c>
      <c r="AO54">
        <v>1</v>
      </c>
      <c r="AP54">
        <v>1</v>
      </c>
      <c r="AQ54">
        <v>0</v>
      </c>
      <c r="AR54">
        <v>0</v>
      </c>
      <c r="AS54" t="s">
        <v>4</v>
      </c>
      <c r="AT54">
        <v>0.03</v>
      </c>
      <c r="AU54" t="s">
        <v>29</v>
      </c>
      <c r="AV54">
        <v>0</v>
      </c>
      <c r="AW54">
        <v>2</v>
      </c>
      <c r="AX54">
        <v>16501392</v>
      </c>
      <c r="AY54">
        <v>1</v>
      </c>
      <c r="AZ54">
        <v>0</v>
      </c>
      <c r="BA54">
        <v>56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X54">
        <f>Y54*Source!I40</f>
        <v>8.6999999999999994E-3</v>
      </c>
      <c r="CY54">
        <f>AB54</f>
        <v>65.709999999999994</v>
      </c>
      <c r="CZ54">
        <f>AF54</f>
        <v>65.709999999999994</v>
      </c>
      <c r="DA54">
        <f>AJ54</f>
        <v>1</v>
      </c>
      <c r="DB54">
        <v>0</v>
      </c>
    </row>
    <row r="55" spans="1:106" x14ac:dyDescent="0.2">
      <c r="A55">
        <f>ROW(Source!A40)</f>
        <v>40</v>
      </c>
      <c r="B55">
        <v>16501254</v>
      </c>
      <c r="C55">
        <v>16501376</v>
      </c>
      <c r="D55">
        <v>15169972</v>
      </c>
      <c r="E55">
        <v>1</v>
      </c>
      <c r="F55">
        <v>1</v>
      </c>
      <c r="G55">
        <v>1</v>
      </c>
      <c r="H55">
        <v>3</v>
      </c>
      <c r="I55" t="s">
        <v>285</v>
      </c>
      <c r="J55" t="s">
        <v>286</v>
      </c>
      <c r="K55" t="s">
        <v>287</v>
      </c>
      <c r="L55">
        <v>1355</v>
      </c>
      <c r="N55">
        <v>1010</v>
      </c>
      <c r="O55" t="s">
        <v>67</v>
      </c>
      <c r="P55" t="s">
        <v>67</v>
      </c>
      <c r="Q55">
        <v>100</v>
      </c>
      <c r="W55">
        <v>0</v>
      </c>
      <c r="X55">
        <v>-725528132</v>
      </c>
      <c r="Y55">
        <v>2.63</v>
      </c>
      <c r="AA55">
        <v>12</v>
      </c>
      <c r="AB55">
        <v>0</v>
      </c>
      <c r="AC55">
        <v>0</v>
      </c>
      <c r="AD55">
        <v>0</v>
      </c>
      <c r="AE55">
        <v>12</v>
      </c>
      <c r="AF55">
        <v>0</v>
      </c>
      <c r="AG55">
        <v>0</v>
      </c>
      <c r="AH55">
        <v>0</v>
      </c>
      <c r="AI55">
        <v>1</v>
      </c>
      <c r="AJ55">
        <v>1</v>
      </c>
      <c r="AK55">
        <v>1</v>
      </c>
      <c r="AL55">
        <v>1</v>
      </c>
      <c r="AN55">
        <v>0</v>
      </c>
      <c r="AO55">
        <v>1</v>
      </c>
      <c r="AP55">
        <v>0</v>
      </c>
      <c r="AQ55">
        <v>0</v>
      </c>
      <c r="AR55">
        <v>0</v>
      </c>
      <c r="AS55" t="s">
        <v>4</v>
      </c>
      <c r="AT55">
        <v>2.63</v>
      </c>
      <c r="AU55" t="s">
        <v>4</v>
      </c>
      <c r="AV55">
        <v>0</v>
      </c>
      <c r="AW55">
        <v>2</v>
      </c>
      <c r="AX55">
        <v>16501393</v>
      </c>
      <c r="AY55">
        <v>1</v>
      </c>
      <c r="AZ55">
        <v>0</v>
      </c>
      <c r="BA55">
        <v>57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X55">
        <f>Y55*Source!I40</f>
        <v>0.61016000000000004</v>
      </c>
      <c r="CY55">
        <f t="shared" ref="CY55:CY62" si="0">AA55</f>
        <v>12</v>
      </c>
      <c r="CZ55">
        <f t="shared" ref="CZ55:CZ62" si="1">AE55</f>
        <v>12</v>
      </c>
      <c r="DA55">
        <f t="shared" ref="DA55:DA62" si="2">AI55</f>
        <v>1</v>
      </c>
      <c r="DB55">
        <v>0</v>
      </c>
    </row>
    <row r="56" spans="1:106" x14ac:dyDescent="0.2">
      <c r="A56">
        <f>ROW(Source!A40)</f>
        <v>40</v>
      </c>
      <c r="B56">
        <v>16501254</v>
      </c>
      <c r="C56">
        <v>16501376</v>
      </c>
      <c r="D56">
        <v>15170075</v>
      </c>
      <c r="E56">
        <v>1</v>
      </c>
      <c r="F56">
        <v>1</v>
      </c>
      <c r="G56">
        <v>1</v>
      </c>
      <c r="H56">
        <v>3</v>
      </c>
      <c r="I56" t="s">
        <v>288</v>
      </c>
      <c r="J56" t="s">
        <v>289</v>
      </c>
      <c r="K56" t="s">
        <v>290</v>
      </c>
      <c r="L56">
        <v>1356</v>
      </c>
      <c r="N56">
        <v>1010</v>
      </c>
      <c r="O56" t="s">
        <v>291</v>
      </c>
      <c r="P56" t="s">
        <v>291</v>
      </c>
      <c r="Q56">
        <v>1000</v>
      </c>
      <c r="W56">
        <v>0</v>
      </c>
      <c r="X56">
        <v>1130533903</v>
      </c>
      <c r="Y56">
        <v>0.26300000000000001</v>
      </c>
      <c r="AA56">
        <v>160</v>
      </c>
      <c r="AB56">
        <v>0</v>
      </c>
      <c r="AC56">
        <v>0</v>
      </c>
      <c r="AD56">
        <v>0</v>
      </c>
      <c r="AE56">
        <v>160</v>
      </c>
      <c r="AF56">
        <v>0</v>
      </c>
      <c r="AG56">
        <v>0</v>
      </c>
      <c r="AH56">
        <v>0</v>
      </c>
      <c r="AI56">
        <v>1</v>
      </c>
      <c r="AJ56">
        <v>1</v>
      </c>
      <c r="AK56">
        <v>1</v>
      </c>
      <c r="AL56">
        <v>1</v>
      </c>
      <c r="AN56">
        <v>0</v>
      </c>
      <c r="AO56">
        <v>1</v>
      </c>
      <c r="AP56">
        <v>0</v>
      </c>
      <c r="AQ56">
        <v>0</v>
      </c>
      <c r="AR56">
        <v>0</v>
      </c>
      <c r="AS56" t="s">
        <v>4</v>
      </c>
      <c r="AT56">
        <v>0.26300000000000001</v>
      </c>
      <c r="AU56" t="s">
        <v>4</v>
      </c>
      <c r="AV56">
        <v>0</v>
      </c>
      <c r="AW56">
        <v>2</v>
      </c>
      <c r="AX56">
        <v>16501394</v>
      </c>
      <c r="AY56">
        <v>1</v>
      </c>
      <c r="AZ56">
        <v>0</v>
      </c>
      <c r="BA56">
        <v>58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X56">
        <f>Y56*Source!I40</f>
        <v>6.1016000000000008E-2</v>
      </c>
      <c r="CY56">
        <f t="shared" si="0"/>
        <v>160</v>
      </c>
      <c r="CZ56">
        <f t="shared" si="1"/>
        <v>160</v>
      </c>
      <c r="DA56">
        <f t="shared" si="2"/>
        <v>1</v>
      </c>
      <c r="DB56">
        <v>0</v>
      </c>
    </row>
    <row r="57" spans="1:106" x14ac:dyDescent="0.2">
      <c r="A57">
        <f>ROW(Source!A40)</f>
        <v>40</v>
      </c>
      <c r="B57">
        <v>16501254</v>
      </c>
      <c r="C57">
        <v>16501376</v>
      </c>
      <c r="D57">
        <v>15197682</v>
      </c>
      <c r="E57">
        <v>1</v>
      </c>
      <c r="F57">
        <v>1</v>
      </c>
      <c r="G57">
        <v>1</v>
      </c>
      <c r="H57">
        <v>3</v>
      </c>
      <c r="I57" t="s">
        <v>70</v>
      </c>
      <c r="J57" t="s">
        <v>73</v>
      </c>
      <c r="K57" t="s">
        <v>71</v>
      </c>
      <c r="L57">
        <v>1301</v>
      </c>
      <c r="N57">
        <v>1003</v>
      </c>
      <c r="O57" t="s">
        <v>72</v>
      </c>
      <c r="P57" t="s">
        <v>72</v>
      </c>
      <c r="Q57">
        <v>1</v>
      </c>
      <c r="W57">
        <v>0</v>
      </c>
      <c r="X57">
        <v>26470480</v>
      </c>
      <c r="Y57">
        <v>101</v>
      </c>
      <c r="AA57">
        <v>12.3</v>
      </c>
      <c r="AB57">
        <v>0</v>
      </c>
      <c r="AC57">
        <v>0</v>
      </c>
      <c r="AD57">
        <v>0</v>
      </c>
      <c r="AE57">
        <v>12.3</v>
      </c>
      <c r="AF57">
        <v>0</v>
      </c>
      <c r="AG57">
        <v>0</v>
      </c>
      <c r="AH57">
        <v>0</v>
      </c>
      <c r="AI57">
        <v>1</v>
      </c>
      <c r="AJ57">
        <v>1</v>
      </c>
      <c r="AK57">
        <v>1</v>
      </c>
      <c r="AL57">
        <v>1</v>
      </c>
      <c r="AN57">
        <v>0</v>
      </c>
      <c r="AO57">
        <v>0</v>
      </c>
      <c r="AP57">
        <v>0</v>
      </c>
      <c r="AQ57">
        <v>0</v>
      </c>
      <c r="AR57">
        <v>0</v>
      </c>
      <c r="AS57" t="s">
        <v>4</v>
      </c>
      <c r="AT57">
        <v>101</v>
      </c>
      <c r="AU57" t="s">
        <v>4</v>
      </c>
      <c r="AV57">
        <v>0</v>
      </c>
      <c r="AW57">
        <v>1</v>
      </c>
      <c r="AX57">
        <v>-1</v>
      </c>
      <c r="AY57">
        <v>0</v>
      </c>
      <c r="AZ57">
        <v>0</v>
      </c>
      <c r="BA57" t="s">
        <v>4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X57">
        <f>Y57*Source!I40</f>
        <v>23.432000000000002</v>
      </c>
      <c r="CY57">
        <f t="shared" si="0"/>
        <v>12.3</v>
      </c>
      <c r="CZ57">
        <f t="shared" si="1"/>
        <v>12.3</v>
      </c>
      <c r="DA57">
        <f t="shared" si="2"/>
        <v>1</v>
      </c>
      <c r="DB57">
        <v>0</v>
      </c>
    </row>
    <row r="58" spans="1:106" x14ac:dyDescent="0.2">
      <c r="A58">
        <f>ROW(Source!A40)</f>
        <v>40</v>
      </c>
      <c r="B58">
        <v>16501254</v>
      </c>
      <c r="C58">
        <v>16501376</v>
      </c>
      <c r="D58">
        <v>15197769</v>
      </c>
      <c r="E58">
        <v>1</v>
      </c>
      <c r="F58">
        <v>1</v>
      </c>
      <c r="G58">
        <v>1</v>
      </c>
      <c r="H58">
        <v>3</v>
      </c>
      <c r="I58" t="s">
        <v>65</v>
      </c>
      <c r="J58" t="s">
        <v>68</v>
      </c>
      <c r="K58" t="s">
        <v>66</v>
      </c>
      <c r="L58">
        <v>1355</v>
      </c>
      <c r="N58">
        <v>1010</v>
      </c>
      <c r="O58" t="s">
        <v>67</v>
      </c>
      <c r="P58" t="s">
        <v>67</v>
      </c>
      <c r="Q58">
        <v>100</v>
      </c>
      <c r="W58">
        <v>0</v>
      </c>
      <c r="X58">
        <v>766681708</v>
      </c>
      <c r="Y58">
        <v>8.6207000000000006E-2</v>
      </c>
      <c r="AA58">
        <v>101</v>
      </c>
      <c r="AB58">
        <v>0</v>
      </c>
      <c r="AC58">
        <v>0</v>
      </c>
      <c r="AD58">
        <v>0</v>
      </c>
      <c r="AE58">
        <v>101</v>
      </c>
      <c r="AF58">
        <v>0</v>
      </c>
      <c r="AG58">
        <v>0</v>
      </c>
      <c r="AH58">
        <v>0</v>
      </c>
      <c r="AI58">
        <v>1</v>
      </c>
      <c r="AJ58">
        <v>1</v>
      </c>
      <c r="AK58">
        <v>1</v>
      </c>
      <c r="AL58">
        <v>1</v>
      </c>
      <c r="AN58">
        <v>0</v>
      </c>
      <c r="AO58">
        <v>0</v>
      </c>
      <c r="AP58">
        <v>0</v>
      </c>
      <c r="AQ58">
        <v>0</v>
      </c>
      <c r="AR58">
        <v>0</v>
      </c>
      <c r="AS58" t="s">
        <v>4</v>
      </c>
      <c r="AT58">
        <v>8.6207000000000006E-2</v>
      </c>
      <c r="AU58" t="s">
        <v>4</v>
      </c>
      <c r="AV58">
        <v>0</v>
      </c>
      <c r="AW58">
        <v>1</v>
      </c>
      <c r="AX58">
        <v>-1</v>
      </c>
      <c r="AY58">
        <v>0</v>
      </c>
      <c r="AZ58">
        <v>0</v>
      </c>
      <c r="BA58" t="s">
        <v>4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X58">
        <f>Y58*Source!I40</f>
        <v>2.0000024000000002E-2</v>
      </c>
      <c r="CY58">
        <f t="shared" si="0"/>
        <v>101</v>
      </c>
      <c r="CZ58">
        <f t="shared" si="1"/>
        <v>101</v>
      </c>
      <c r="DA58">
        <f t="shared" si="2"/>
        <v>1</v>
      </c>
      <c r="DB58">
        <v>0</v>
      </c>
    </row>
    <row r="59" spans="1:106" x14ac:dyDescent="0.2">
      <c r="A59">
        <f>ROW(Source!A40)</f>
        <v>40</v>
      </c>
      <c r="B59">
        <v>16501254</v>
      </c>
      <c r="C59">
        <v>16501376</v>
      </c>
      <c r="D59">
        <v>15197771</v>
      </c>
      <c r="E59">
        <v>1</v>
      </c>
      <c r="F59">
        <v>1</v>
      </c>
      <c r="G59">
        <v>1</v>
      </c>
      <c r="H59">
        <v>3</v>
      </c>
      <c r="I59" t="s">
        <v>75</v>
      </c>
      <c r="J59" t="s">
        <v>77</v>
      </c>
      <c r="K59" t="s">
        <v>76</v>
      </c>
      <c r="L59">
        <v>1355</v>
      </c>
      <c r="N59">
        <v>1010</v>
      </c>
      <c r="O59" t="s">
        <v>67</v>
      </c>
      <c r="P59" t="s">
        <v>67</v>
      </c>
      <c r="Q59">
        <v>100</v>
      </c>
      <c r="W59">
        <v>0</v>
      </c>
      <c r="X59">
        <v>191136453</v>
      </c>
      <c r="Y59">
        <v>8.6207000000000006E-2</v>
      </c>
      <c r="AA59">
        <v>101</v>
      </c>
      <c r="AB59">
        <v>0</v>
      </c>
      <c r="AC59">
        <v>0</v>
      </c>
      <c r="AD59">
        <v>0</v>
      </c>
      <c r="AE59">
        <v>101</v>
      </c>
      <c r="AF59">
        <v>0</v>
      </c>
      <c r="AG59">
        <v>0</v>
      </c>
      <c r="AH59">
        <v>0</v>
      </c>
      <c r="AI59">
        <v>1</v>
      </c>
      <c r="AJ59">
        <v>1</v>
      </c>
      <c r="AK59">
        <v>1</v>
      </c>
      <c r="AL59">
        <v>1</v>
      </c>
      <c r="AN59">
        <v>0</v>
      </c>
      <c r="AO59">
        <v>0</v>
      </c>
      <c r="AP59">
        <v>0</v>
      </c>
      <c r="AQ59">
        <v>0</v>
      </c>
      <c r="AR59">
        <v>0</v>
      </c>
      <c r="AS59" t="s">
        <v>4</v>
      </c>
      <c r="AT59">
        <v>8.6207000000000006E-2</v>
      </c>
      <c r="AU59" t="s">
        <v>4</v>
      </c>
      <c r="AV59">
        <v>0</v>
      </c>
      <c r="AW59">
        <v>1</v>
      </c>
      <c r="AX59">
        <v>-1</v>
      </c>
      <c r="AY59">
        <v>0</v>
      </c>
      <c r="AZ59">
        <v>0</v>
      </c>
      <c r="BA59" t="s">
        <v>4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CX59">
        <f>Y59*Source!I40</f>
        <v>2.0000024000000002E-2</v>
      </c>
      <c r="CY59">
        <f t="shared" si="0"/>
        <v>101</v>
      </c>
      <c r="CZ59">
        <f t="shared" si="1"/>
        <v>101</v>
      </c>
      <c r="DA59">
        <f t="shared" si="2"/>
        <v>1</v>
      </c>
      <c r="DB59">
        <v>0</v>
      </c>
    </row>
    <row r="60" spans="1:106" x14ac:dyDescent="0.2">
      <c r="A60">
        <f>ROW(Source!A40)</f>
        <v>40</v>
      </c>
      <c r="B60">
        <v>16501254</v>
      </c>
      <c r="C60">
        <v>16501376</v>
      </c>
      <c r="D60">
        <v>15197773</v>
      </c>
      <c r="E60">
        <v>1</v>
      </c>
      <c r="F60">
        <v>1</v>
      </c>
      <c r="G60">
        <v>1</v>
      </c>
      <c r="H60">
        <v>3</v>
      </c>
      <c r="I60" t="s">
        <v>79</v>
      </c>
      <c r="J60" t="s">
        <v>81</v>
      </c>
      <c r="K60" t="s">
        <v>80</v>
      </c>
      <c r="L60">
        <v>1355</v>
      </c>
      <c r="N60">
        <v>1010</v>
      </c>
      <c r="O60" t="s">
        <v>67</v>
      </c>
      <c r="P60" t="s">
        <v>67</v>
      </c>
      <c r="Q60">
        <v>100</v>
      </c>
      <c r="W60">
        <v>0</v>
      </c>
      <c r="X60">
        <v>1073883569</v>
      </c>
      <c r="Y60">
        <v>4.3103000000000002E-2</v>
      </c>
      <c r="AA60">
        <v>128</v>
      </c>
      <c r="AB60">
        <v>0</v>
      </c>
      <c r="AC60">
        <v>0</v>
      </c>
      <c r="AD60">
        <v>0</v>
      </c>
      <c r="AE60">
        <v>128</v>
      </c>
      <c r="AF60">
        <v>0</v>
      </c>
      <c r="AG60">
        <v>0</v>
      </c>
      <c r="AH60">
        <v>0</v>
      </c>
      <c r="AI60">
        <v>1</v>
      </c>
      <c r="AJ60">
        <v>1</v>
      </c>
      <c r="AK60">
        <v>1</v>
      </c>
      <c r="AL60">
        <v>1</v>
      </c>
      <c r="AN60">
        <v>0</v>
      </c>
      <c r="AO60">
        <v>0</v>
      </c>
      <c r="AP60">
        <v>0</v>
      </c>
      <c r="AQ60">
        <v>0</v>
      </c>
      <c r="AR60">
        <v>0</v>
      </c>
      <c r="AS60" t="s">
        <v>4</v>
      </c>
      <c r="AT60">
        <v>4.3103000000000002E-2</v>
      </c>
      <c r="AU60" t="s">
        <v>4</v>
      </c>
      <c r="AV60">
        <v>0</v>
      </c>
      <c r="AW60">
        <v>1</v>
      </c>
      <c r="AX60">
        <v>-1</v>
      </c>
      <c r="AY60">
        <v>0</v>
      </c>
      <c r="AZ60">
        <v>0</v>
      </c>
      <c r="BA60" t="s">
        <v>4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X60">
        <f>Y60*Source!I40</f>
        <v>9.9998960000000012E-3</v>
      </c>
      <c r="CY60">
        <f t="shared" si="0"/>
        <v>128</v>
      </c>
      <c r="CZ60">
        <f t="shared" si="1"/>
        <v>128</v>
      </c>
      <c r="DA60">
        <f t="shared" si="2"/>
        <v>1</v>
      </c>
      <c r="DB60">
        <v>0</v>
      </c>
    </row>
    <row r="61" spans="1:106" x14ac:dyDescent="0.2">
      <c r="A61">
        <f>ROW(Source!A40)</f>
        <v>40</v>
      </c>
      <c r="B61">
        <v>16501254</v>
      </c>
      <c r="C61">
        <v>16501376</v>
      </c>
      <c r="D61">
        <v>15197775</v>
      </c>
      <c r="E61">
        <v>1</v>
      </c>
      <c r="F61">
        <v>1</v>
      </c>
      <c r="G61">
        <v>1</v>
      </c>
      <c r="H61">
        <v>3</v>
      </c>
      <c r="I61" t="s">
        <v>83</v>
      </c>
      <c r="J61" t="s">
        <v>85</v>
      </c>
      <c r="K61" t="s">
        <v>84</v>
      </c>
      <c r="L61">
        <v>1355</v>
      </c>
      <c r="N61">
        <v>1010</v>
      </c>
      <c r="O61" t="s">
        <v>67</v>
      </c>
      <c r="P61" t="s">
        <v>67</v>
      </c>
      <c r="Q61">
        <v>100</v>
      </c>
      <c r="W61">
        <v>0</v>
      </c>
      <c r="X61">
        <v>1800897042</v>
      </c>
      <c r="Y61">
        <v>8.6207000000000006E-2</v>
      </c>
      <c r="AA61">
        <v>128</v>
      </c>
      <c r="AB61">
        <v>0</v>
      </c>
      <c r="AC61">
        <v>0</v>
      </c>
      <c r="AD61">
        <v>0</v>
      </c>
      <c r="AE61">
        <v>128</v>
      </c>
      <c r="AF61">
        <v>0</v>
      </c>
      <c r="AG61">
        <v>0</v>
      </c>
      <c r="AH61">
        <v>0</v>
      </c>
      <c r="AI61">
        <v>1</v>
      </c>
      <c r="AJ61">
        <v>1</v>
      </c>
      <c r="AK61">
        <v>1</v>
      </c>
      <c r="AL61">
        <v>1</v>
      </c>
      <c r="AN61">
        <v>0</v>
      </c>
      <c r="AO61">
        <v>0</v>
      </c>
      <c r="AP61">
        <v>0</v>
      </c>
      <c r="AQ61">
        <v>0</v>
      </c>
      <c r="AR61">
        <v>0</v>
      </c>
      <c r="AS61" t="s">
        <v>4</v>
      </c>
      <c r="AT61">
        <v>8.6207000000000006E-2</v>
      </c>
      <c r="AU61" t="s">
        <v>4</v>
      </c>
      <c r="AV61">
        <v>0</v>
      </c>
      <c r="AW61">
        <v>1</v>
      </c>
      <c r="AX61">
        <v>-1</v>
      </c>
      <c r="AY61">
        <v>0</v>
      </c>
      <c r="AZ61">
        <v>0</v>
      </c>
      <c r="BA61" t="s">
        <v>4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CX61">
        <f>Y61*Source!I40</f>
        <v>2.0000024000000002E-2</v>
      </c>
      <c r="CY61">
        <f t="shared" si="0"/>
        <v>128</v>
      </c>
      <c r="CZ61">
        <f t="shared" si="1"/>
        <v>128</v>
      </c>
      <c r="DA61">
        <f t="shared" si="2"/>
        <v>1</v>
      </c>
      <c r="DB61">
        <v>0</v>
      </c>
    </row>
    <row r="62" spans="1:106" x14ac:dyDescent="0.2">
      <c r="A62">
        <f>ROW(Source!A40)</f>
        <v>40</v>
      </c>
      <c r="B62">
        <v>16501254</v>
      </c>
      <c r="C62">
        <v>16501376</v>
      </c>
      <c r="D62">
        <v>15197777</v>
      </c>
      <c r="E62">
        <v>1</v>
      </c>
      <c r="F62">
        <v>1</v>
      </c>
      <c r="G62">
        <v>1</v>
      </c>
      <c r="H62">
        <v>3</v>
      </c>
      <c r="I62" t="s">
        <v>87</v>
      </c>
      <c r="J62" t="s">
        <v>89</v>
      </c>
      <c r="K62" t="s">
        <v>88</v>
      </c>
      <c r="L62">
        <v>1355</v>
      </c>
      <c r="N62">
        <v>1010</v>
      </c>
      <c r="O62" t="s">
        <v>67</v>
      </c>
      <c r="P62" t="s">
        <v>67</v>
      </c>
      <c r="Q62">
        <v>100</v>
      </c>
      <c r="W62">
        <v>0</v>
      </c>
      <c r="X62">
        <v>952646044</v>
      </c>
      <c r="Y62">
        <v>8.6207000000000006E-2</v>
      </c>
      <c r="AA62">
        <v>128</v>
      </c>
      <c r="AB62">
        <v>0</v>
      </c>
      <c r="AC62">
        <v>0</v>
      </c>
      <c r="AD62">
        <v>0</v>
      </c>
      <c r="AE62">
        <v>128</v>
      </c>
      <c r="AF62">
        <v>0</v>
      </c>
      <c r="AG62">
        <v>0</v>
      </c>
      <c r="AH62">
        <v>0</v>
      </c>
      <c r="AI62">
        <v>1</v>
      </c>
      <c r="AJ62">
        <v>1</v>
      </c>
      <c r="AK62">
        <v>1</v>
      </c>
      <c r="AL62">
        <v>1</v>
      </c>
      <c r="AN62">
        <v>0</v>
      </c>
      <c r="AO62">
        <v>0</v>
      </c>
      <c r="AP62">
        <v>0</v>
      </c>
      <c r="AQ62">
        <v>0</v>
      </c>
      <c r="AR62">
        <v>0</v>
      </c>
      <c r="AS62" t="s">
        <v>4</v>
      </c>
      <c r="AT62">
        <v>8.6207000000000006E-2</v>
      </c>
      <c r="AU62" t="s">
        <v>4</v>
      </c>
      <c r="AV62">
        <v>0</v>
      </c>
      <c r="AW62">
        <v>1</v>
      </c>
      <c r="AX62">
        <v>-1</v>
      </c>
      <c r="AY62">
        <v>0</v>
      </c>
      <c r="AZ62">
        <v>0</v>
      </c>
      <c r="BA62" t="s">
        <v>4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CX62">
        <f>Y62*Source!I40</f>
        <v>2.0000024000000002E-2</v>
      </c>
      <c r="CY62">
        <f t="shared" si="0"/>
        <v>128</v>
      </c>
      <c r="CZ62">
        <f t="shared" si="1"/>
        <v>128</v>
      </c>
      <c r="DA62">
        <f t="shared" si="2"/>
        <v>1</v>
      </c>
      <c r="DB62">
        <v>0</v>
      </c>
    </row>
    <row r="63" spans="1:106" x14ac:dyDescent="0.2">
      <c r="A63">
        <f>ROW(Source!A41)</f>
        <v>41</v>
      </c>
      <c r="B63">
        <v>16501255</v>
      </c>
      <c r="C63">
        <v>16501376</v>
      </c>
      <c r="D63">
        <v>15438286</v>
      </c>
      <c r="E63">
        <v>1</v>
      </c>
      <c r="F63">
        <v>1</v>
      </c>
      <c r="G63">
        <v>1</v>
      </c>
      <c r="H63">
        <v>1</v>
      </c>
      <c r="I63" t="s">
        <v>283</v>
      </c>
      <c r="J63" t="s">
        <v>4</v>
      </c>
      <c r="K63" t="s">
        <v>284</v>
      </c>
      <c r="L63">
        <v>1191</v>
      </c>
      <c r="N63">
        <v>1013</v>
      </c>
      <c r="O63" t="s">
        <v>252</v>
      </c>
      <c r="P63" t="s">
        <v>252</v>
      </c>
      <c r="Q63">
        <v>1</v>
      </c>
      <c r="W63">
        <v>0</v>
      </c>
      <c r="X63">
        <v>-1027537862</v>
      </c>
      <c r="Y63">
        <v>7.6819999999999995</v>
      </c>
      <c r="AA63">
        <v>0</v>
      </c>
      <c r="AB63">
        <v>0</v>
      </c>
      <c r="AC63">
        <v>0</v>
      </c>
      <c r="AD63">
        <v>55.81</v>
      </c>
      <c r="AE63">
        <v>0</v>
      </c>
      <c r="AF63">
        <v>0</v>
      </c>
      <c r="AG63">
        <v>0</v>
      </c>
      <c r="AH63">
        <v>9.18</v>
      </c>
      <c r="AI63">
        <v>1</v>
      </c>
      <c r="AJ63">
        <v>1</v>
      </c>
      <c r="AK63">
        <v>1</v>
      </c>
      <c r="AL63">
        <v>6.08</v>
      </c>
      <c r="AN63">
        <v>0</v>
      </c>
      <c r="AO63">
        <v>1</v>
      </c>
      <c r="AP63">
        <v>1</v>
      </c>
      <c r="AQ63">
        <v>0</v>
      </c>
      <c r="AR63">
        <v>0</v>
      </c>
      <c r="AS63" t="s">
        <v>4</v>
      </c>
      <c r="AT63">
        <v>6.68</v>
      </c>
      <c r="AU63" t="s">
        <v>30</v>
      </c>
      <c r="AV63">
        <v>1</v>
      </c>
      <c r="AW63">
        <v>2</v>
      </c>
      <c r="AX63">
        <v>16501389</v>
      </c>
      <c r="AY63">
        <v>1</v>
      </c>
      <c r="AZ63">
        <v>0</v>
      </c>
      <c r="BA63">
        <v>65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CX63">
        <f>Y63*Source!I41</f>
        <v>1.782224</v>
      </c>
      <c r="CY63">
        <f>AD63</f>
        <v>55.81</v>
      </c>
      <c r="CZ63">
        <f>AH63</f>
        <v>9.18</v>
      </c>
      <c r="DA63">
        <f>AL63</f>
        <v>6.08</v>
      </c>
      <c r="DB63">
        <v>0</v>
      </c>
    </row>
    <row r="64" spans="1:106" x14ac:dyDescent="0.2">
      <c r="A64">
        <f>ROW(Source!A41)</f>
        <v>41</v>
      </c>
      <c r="B64">
        <v>16501255</v>
      </c>
      <c r="C64">
        <v>16501376</v>
      </c>
      <c r="D64">
        <v>15430395</v>
      </c>
      <c r="E64">
        <v>1</v>
      </c>
      <c r="F64">
        <v>1</v>
      </c>
      <c r="G64">
        <v>1</v>
      </c>
      <c r="H64">
        <v>1</v>
      </c>
      <c r="I64" t="s">
        <v>253</v>
      </c>
      <c r="J64" t="s">
        <v>4</v>
      </c>
      <c r="K64" t="s">
        <v>254</v>
      </c>
      <c r="L64">
        <v>1191</v>
      </c>
      <c r="N64">
        <v>1013</v>
      </c>
      <c r="O64" t="s">
        <v>252</v>
      </c>
      <c r="P64" t="s">
        <v>252</v>
      </c>
      <c r="Q64">
        <v>1</v>
      </c>
      <c r="W64">
        <v>0</v>
      </c>
      <c r="X64">
        <v>-1417349443</v>
      </c>
      <c r="Y64">
        <v>0.04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1</v>
      </c>
      <c r="AJ64">
        <v>1</v>
      </c>
      <c r="AK64">
        <v>6.08</v>
      </c>
      <c r="AL64">
        <v>1</v>
      </c>
      <c r="AN64">
        <v>0</v>
      </c>
      <c r="AO64">
        <v>1</v>
      </c>
      <c r="AP64">
        <v>0</v>
      </c>
      <c r="AQ64">
        <v>0</v>
      </c>
      <c r="AR64">
        <v>0</v>
      </c>
      <c r="AS64" t="s">
        <v>4</v>
      </c>
      <c r="AT64">
        <v>0.04</v>
      </c>
      <c r="AU64" t="s">
        <v>4</v>
      </c>
      <c r="AV64">
        <v>2</v>
      </c>
      <c r="AW64">
        <v>2</v>
      </c>
      <c r="AX64">
        <v>16501390</v>
      </c>
      <c r="AY64">
        <v>1</v>
      </c>
      <c r="AZ64">
        <v>2048</v>
      </c>
      <c r="BA64">
        <v>66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CX64">
        <f>Y64*Source!I41</f>
        <v>9.2800000000000001E-3</v>
      </c>
      <c r="CY64">
        <f>AD64</f>
        <v>0</v>
      </c>
      <c r="CZ64">
        <f>AH64</f>
        <v>0</v>
      </c>
      <c r="DA64">
        <f>AL64</f>
        <v>1</v>
      </c>
      <c r="DB64">
        <v>0</v>
      </c>
    </row>
    <row r="65" spans="1:106" x14ac:dyDescent="0.2">
      <c r="A65">
        <f>ROW(Source!A41)</f>
        <v>41</v>
      </c>
      <c r="B65">
        <v>16501255</v>
      </c>
      <c r="C65">
        <v>16501376</v>
      </c>
      <c r="D65">
        <v>15247974</v>
      </c>
      <c r="E65">
        <v>1</v>
      </c>
      <c r="F65">
        <v>1</v>
      </c>
      <c r="G65">
        <v>1</v>
      </c>
      <c r="H65">
        <v>2</v>
      </c>
      <c r="I65" t="s">
        <v>255</v>
      </c>
      <c r="J65" t="s">
        <v>256</v>
      </c>
      <c r="K65" t="s">
        <v>257</v>
      </c>
      <c r="L65">
        <v>1368</v>
      </c>
      <c r="N65">
        <v>1011</v>
      </c>
      <c r="O65" t="s">
        <v>258</v>
      </c>
      <c r="P65" t="s">
        <v>258</v>
      </c>
      <c r="Q65">
        <v>1</v>
      </c>
      <c r="W65">
        <v>0</v>
      </c>
      <c r="X65">
        <v>1188625873</v>
      </c>
      <c r="Y65">
        <v>6.2500000000000003E-3</v>
      </c>
      <c r="AA65">
        <v>0</v>
      </c>
      <c r="AB65">
        <v>190.06</v>
      </c>
      <c r="AC65">
        <v>13.5</v>
      </c>
      <c r="AD65">
        <v>0</v>
      </c>
      <c r="AE65">
        <v>0</v>
      </c>
      <c r="AF65">
        <v>31.26</v>
      </c>
      <c r="AG65">
        <v>13.5</v>
      </c>
      <c r="AH65">
        <v>0</v>
      </c>
      <c r="AI65">
        <v>1</v>
      </c>
      <c r="AJ65">
        <v>6.08</v>
      </c>
      <c r="AK65">
        <v>1</v>
      </c>
      <c r="AL65">
        <v>1</v>
      </c>
      <c r="AN65">
        <v>0</v>
      </c>
      <c r="AO65">
        <v>1</v>
      </c>
      <c r="AP65">
        <v>1</v>
      </c>
      <c r="AQ65">
        <v>0</v>
      </c>
      <c r="AR65">
        <v>0</v>
      </c>
      <c r="AS65" t="s">
        <v>4</v>
      </c>
      <c r="AT65">
        <v>5.0000000000000001E-3</v>
      </c>
      <c r="AU65" t="s">
        <v>29</v>
      </c>
      <c r="AV65">
        <v>0</v>
      </c>
      <c r="AW65">
        <v>2</v>
      </c>
      <c r="AX65">
        <v>16501391</v>
      </c>
      <c r="AY65">
        <v>1</v>
      </c>
      <c r="AZ65">
        <v>0</v>
      </c>
      <c r="BA65">
        <v>67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CX65">
        <f>Y65*Source!I41</f>
        <v>1.4500000000000001E-3</v>
      </c>
      <c r="CY65">
        <f>AB65</f>
        <v>190.06</v>
      </c>
      <c r="CZ65">
        <f>AF65</f>
        <v>31.26</v>
      </c>
      <c r="DA65">
        <f>AJ65</f>
        <v>6.08</v>
      </c>
      <c r="DB65">
        <v>0</v>
      </c>
    </row>
    <row r="66" spans="1:106" x14ac:dyDescent="0.2">
      <c r="A66">
        <f>ROW(Source!A41)</f>
        <v>41</v>
      </c>
      <c r="B66">
        <v>16501255</v>
      </c>
      <c r="C66">
        <v>16501376</v>
      </c>
      <c r="D66">
        <v>15249073</v>
      </c>
      <c r="E66">
        <v>1</v>
      </c>
      <c r="F66">
        <v>1</v>
      </c>
      <c r="G66">
        <v>1</v>
      </c>
      <c r="H66">
        <v>2</v>
      </c>
      <c r="I66" t="s">
        <v>264</v>
      </c>
      <c r="J66" t="s">
        <v>265</v>
      </c>
      <c r="K66" t="s">
        <v>266</v>
      </c>
      <c r="L66">
        <v>1368</v>
      </c>
      <c r="N66">
        <v>1011</v>
      </c>
      <c r="O66" t="s">
        <v>258</v>
      </c>
      <c r="P66" t="s">
        <v>258</v>
      </c>
      <c r="Q66">
        <v>1</v>
      </c>
      <c r="W66">
        <v>0</v>
      </c>
      <c r="X66">
        <v>1372534845</v>
      </c>
      <c r="Y66">
        <v>3.7499999999999999E-2</v>
      </c>
      <c r="AA66">
        <v>0</v>
      </c>
      <c r="AB66">
        <v>399.52</v>
      </c>
      <c r="AC66">
        <v>11.6</v>
      </c>
      <c r="AD66">
        <v>0</v>
      </c>
      <c r="AE66">
        <v>0</v>
      </c>
      <c r="AF66">
        <v>65.709999999999994</v>
      </c>
      <c r="AG66">
        <v>11.6</v>
      </c>
      <c r="AH66">
        <v>0</v>
      </c>
      <c r="AI66">
        <v>1</v>
      </c>
      <c r="AJ66">
        <v>6.08</v>
      </c>
      <c r="AK66">
        <v>1</v>
      </c>
      <c r="AL66">
        <v>1</v>
      </c>
      <c r="AN66">
        <v>0</v>
      </c>
      <c r="AO66">
        <v>1</v>
      </c>
      <c r="AP66">
        <v>1</v>
      </c>
      <c r="AQ66">
        <v>0</v>
      </c>
      <c r="AR66">
        <v>0</v>
      </c>
      <c r="AS66" t="s">
        <v>4</v>
      </c>
      <c r="AT66">
        <v>0.03</v>
      </c>
      <c r="AU66" t="s">
        <v>29</v>
      </c>
      <c r="AV66">
        <v>0</v>
      </c>
      <c r="AW66">
        <v>2</v>
      </c>
      <c r="AX66">
        <v>16501392</v>
      </c>
      <c r="AY66">
        <v>1</v>
      </c>
      <c r="AZ66">
        <v>0</v>
      </c>
      <c r="BA66">
        <v>68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CX66">
        <f>Y66*Source!I41</f>
        <v>8.6999999999999994E-3</v>
      </c>
      <c r="CY66">
        <f>AB66</f>
        <v>399.52</v>
      </c>
      <c r="CZ66">
        <f>AF66</f>
        <v>65.709999999999994</v>
      </c>
      <c r="DA66">
        <f>AJ66</f>
        <v>6.08</v>
      </c>
      <c r="DB66">
        <v>0</v>
      </c>
    </row>
    <row r="67" spans="1:106" x14ac:dyDescent="0.2">
      <c r="A67">
        <f>ROW(Source!A41)</f>
        <v>41</v>
      </c>
      <c r="B67">
        <v>16501255</v>
      </c>
      <c r="C67">
        <v>16501376</v>
      </c>
      <c r="D67">
        <v>15169972</v>
      </c>
      <c r="E67">
        <v>1</v>
      </c>
      <c r="F67">
        <v>1</v>
      </c>
      <c r="G67">
        <v>1</v>
      </c>
      <c r="H67">
        <v>3</v>
      </c>
      <c r="I67" t="s">
        <v>285</v>
      </c>
      <c r="J67" t="s">
        <v>286</v>
      </c>
      <c r="K67" t="s">
        <v>287</v>
      </c>
      <c r="L67">
        <v>1355</v>
      </c>
      <c r="N67">
        <v>1010</v>
      </c>
      <c r="O67" t="s">
        <v>67</v>
      </c>
      <c r="P67" t="s">
        <v>67</v>
      </c>
      <c r="Q67">
        <v>100</v>
      </c>
      <c r="W67">
        <v>0</v>
      </c>
      <c r="X67">
        <v>-725528132</v>
      </c>
      <c r="Y67">
        <v>2.63</v>
      </c>
      <c r="AA67">
        <v>72.959999999999994</v>
      </c>
      <c r="AB67">
        <v>0</v>
      </c>
      <c r="AC67">
        <v>0</v>
      </c>
      <c r="AD67">
        <v>0</v>
      </c>
      <c r="AE67">
        <v>12</v>
      </c>
      <c r="AF67">
        <v>0</v>
      </c>
      <c r="AG67">
        <v>0</v>
      </c>
      <c r="AH67">
        <v>0</v>
      </c>
      <c r="AI67">
        <v>6.08</v>
      </c>
      <c r="AJ67">
        <v>1</v>
      </c>
      <c r="AK67">
        <v>1</v>
      </c>
      <c r="AL67">
        <v>1</v>
      </c>
      <c r="AN67">
        <v>0</v>
      </c>
      <c r="AO67">
        <v>1</v>
      </c>
      <c r="AP67">
        <v>0</v>
      </c>
      <c r="AQ67">
        <v>0</v>
      </c>
      <c r="AR67">
        <v>0</v>
      </c>
      <c r="AS67" t="s">
        <v>4</v>
      </c>
      <c r="AT67">
        <v>2.63</v>
      </c>
      <c r="AU67" t="s">
        <v>4</v>
      </c>
      <c r="AV67">
        <v>0</v>
      </c>
      <c r="AW67">
        <v>2</v>
      </c>
      <c r="AX67">
        <v>16501393</v>
      </c>
      <c r="AY67">
        <v>1</v>
      </c>
      <c r="AZ67">
        <v>0</v>
      </c>
      <c r="BA67">
        <v>69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X67">
        <f>Y67*Source!I41</f>
        <v>0.61016000000000004</v>
      </c>
      <c r="CY67">
        <f t="shared" ref="CY67:CY74" si="3">AA67</f>
        <v>72.959999999999994</v>
      </c>
      <c r="CZ67">
        <f t="shared" ref="CZ67:CZ74" si="4">AE67</f>
        <v>12</v>
      </c>
      <c r="DA67">
        <f t="shared" ref="DA67:DA74" si="5">AI67</f>
        <v>6.08</v>
      </c>
      <c r="DB67">
        <v>0</v>
      </c>
    </row>
    <row r="68" spans="1:106" x14ac:dyDescent="0.2">
      <c r="A68">
        <f>ROW(Source!A41)</f>
        <v>41</v>
      </c>
      <c r="B68">
        <v>16501255</v>
      </c>
      <c r="C68">
        <v>16501376</v>
      </c>
      <c r="D68">
        <v>15170075</v>
      </c>
      <c r="E68">
        <v>1</v>
      </c>
      <c r="F68">
        <v>1</v>
      </c>
      <c r="G68">
        <v>1</v>
      </c>
      <c r="H68">
        <v>3</v>
      </c>
      <c r="I68" t="s">
        <v>288</v>
      </c>
      <c r="J68" t="s">
        <v>289</v>
      </c>
      <c r="K68" t="s">
        <v>290</v>
      </c>
      <c r="L68">
        <v>1356</v>
      </c>
      <c r="N68">
        <v>1010</v>
      </c>
      <c r="O68" t="s">
        <v>291</v>
      </c>
      <c r="P68" t="s">
        <v>291</v>
      </c>
      <c r="Q68">
        <v>1000</v>
      </c>
      <c r="W68">
        <v>0</v>
      </c>
      <c r="X68">
        <v>1130533903</v>
      </c>
      <c r="Y68">
        <v>0.26300000000000001</v>
      </c>
      <c r="AA68">
        <v>972.8</v>
      </c>
      <c r="AB68">
        <v>0</v>
      </c>
      <c r="AC68">
        <v>0</v>
      </c>
      <c r="AD68">
        <v>0</v>
      </c>
      <c r="AE68">
        <v>160</v>
      </c>
      <c r="AF68">
        <v>0</v>
      </c>
      <c r="AG68">
        <v>0</v>
      </c>
      <c r="AH68">
        <v>0</v>
      </c>
      <c r="AI68">
        <v>6.08</v>
      </c>
      <c r="AJ68">
        <v>1</v>
      </c>
      <c r="AK68">
        <v>1</v>
      </c>
      <c r="AL68">
        <v>1</v>
      </c>
      <c r="AN68">
        <v>0</v>
      </c>
      <c r="AO68">
        <v>1</v>
      </c>
      <c r="AP68">
        <v>0</v>
      </c>
      <c r="AQ68">
        <v>0</v>
      </c>
      <c r="AR68">
        <v>0</v>
      </c>
      <c r="AS68" t="s">
        <v>4</v>
      </c>
      <c r="AT68">
        <v>0.26300000000000001</v>
      </c>
      <c r="AU68" t="s">
        <v>4</v>
      </c>
      <c r="AV68">
        <v>0</v>
      </c>
      <c r="AW68">
        <v>2</v>
      </c>
      <c r="AX68">
        <v>16501394</v>
      </c>
      <c r="AY68">
        <v>1</v>
      </c>
      <c r="AZ68">
        <v>0</v>
      </c>
      <c r="BA68">
        <v>70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X68">
        <f>Y68*Source!I41</f>
        <v>6.1016000000000008E-2</v>
      </c>
      <c r="CY68">
        <f t="shared" si="3"/>
        <v>972.8</v>
      </c>
      <c r="CZ68">
        <f t="shared" si="4"/>
        <v>160</v>
      </c>
      <c r="DA68">
        <f t="shared" si="5"/>
        <v>6.08</v>
      </c>
      <c r="DB68">
        <v>0</v>
      </c>
    </row>
    <row r="69" spans="1:106" x14ac:dyDescent="0.2">
      <c r="A69">
        <f>ROW(Source!A41)</f>
        <v>41</v>
      </c>
      <c r="B69">
        <v>16501255</v>
      </c>
      <c r="C69">
        <v>16501376</v>
      </c>
      <c r="D69">
        <v>15197682</v>
      </c>
      <c r="E69">
        <v>1</v>
      </c>
      <c r="F69">
        <v>1</v>
      </c>
      <c r="G69">
        <v>1</v>
      </c>
      <c r="H69">
        <v>3</v>
      </c>
      <c r="I69" t="s">
        <v>70</v>
      </c>
      <c r="J69" t="s">
        <v>73</v>
      </c>
      <c r="K69" t="s">
        <v>71</v>
      </c>
      <c r="L69">
        <v>1301</v>
      </c>
      <c r="N69">
        <v>1003</v>
      </c>
      <c r="O69" t="s">
        <v>72</v>
      </c>
      <c r="P69" t="s">
        <v>72</v>
      </c>
      <c r="Q69">
        <v>1</v>
      </c>
      <c r="W69">
        <v>0</v>
      </c>
      <c r="X69">
        <v>26470480</v>
      </c>
      <c r="Y69">
        <v>101</v>
      </c>
      <c r="AA69">
        <v>74.78</v>
      </c>
      <c r="AB69">
        <v>0</v>
      </c>
      <c r="AC69">
        <v>0</v>
      </c>
      <c r="AD69">
        <v>0</v>
      </c>
      <c r="AE69">
        <v>12.3</v>
      </c>
      <c r="AF69">
        <v>0</v>
      </c>
      <c r="AG69">
        <v>0</v>
      </c>
      <c r="AH69">
        <v>0</v>
      </c>
      <c r="AI69">
        <v>6.08</v>
      </c>
      <c r="AJ69">
        <v>1</v>
      </c>
      <c r="AK69">
        <v>1</v>
      </c>
      <c r="AL69">
        <v>1</v>
      </c>
      <c r="AN69">
        <v>0</v>
      </c>
      <c r="AO69">
        <v>0</v>
      </c>
      <c r="AP69">
        <v>0</v>
      </c>
      <c r="AQ69">
        <v>0</v>
      </c>
      <c r="AR69">
        <v>0</v>
      </c>
      <c r="AS69" t="s">
        <v>4</v>
      </c>
      <c r="AT69">
        <v>101</v>
      </c>
      <c r="AU69" t="s">
        <v>4</v>
      </c>
      <c r="AV69">
        <v>0</v>
      </c>
      <c r="AW69">
        <v>1</v>
      </c>
      <c r="AX69">
        <v>-1</v>
      </c>
      <c r="AY69">
        <v>0</v>
      </c>
      <c r="AZ69">
        <v>0</v>
      </c>
      <c r="BA69" t="s">
        <v>4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X69">
        <f>Y69*Source!I41</f>
        <v>23.432000000000002</v>
      </c>
      <c r="CY69">
        <f t="shared" si="3"/>
        <v>74.78</v>
      </c>
      <c r="CZ69">
        <f t="shared" si="4"/>
        <v>12.3</v>
      </c>
      <c r="DA69">
        <f t="shared" si="5"/>
        <v>6.08</v>
      </c>
      <c r="DB69">
        <v>0</v>
      </c>
    </row>
    <row r="70" spans="1:106" x14ac:dyDescent="0.2">
      <c r="A70">
        <f>ROW(Source!A41)</f>
        <v>41</v>
      </c>
      <c r="B70">
        <v>16501255</v>
      </c>
      <c r="C70">
        <v>16501376</v>
      </c>
      <c r="D70">
        <v>15197769</v>
      </c>
      <c r="E70">
        <v>1</v>
      </c>
      <c r="F70">
        <v>1</v>
      </c>
      <c r="G70">
        <v>1</v>
      </c>
      <c r="H70">
        <v>3</v>
      </c>
      <c r="I70" t="s">
        <v>65</v>
      </c>
      <c r="J70" t="s">
        <v>68</v>
      </c>
      <c r="K70" t="s">
        <v>66</v>
      </c>
      <c r="L70">
        <v>1355</v>
      </c>
      <c r="N70">
        <v>1010</v>
      </c>
      <c r="O70" t="s">
        <v>67</v>
      </c>
      <c r="P70" t="s">
        <v>67</v>
      </c>
      <c r="Q70">
        <v>100</v>
      </c>
      <c r="W70">
        <v>0</v>
      </c>
      <c r="X70">
        <v>766681708</v>
      </c>
      <c r="Y70">
        <v>8.6207000000000006E-2</v>
      </c>
      <c r="AA70">
        <v>614.08000000000004</v>
      </c>
      <c r="AB70">
        <v>0</v>
      </c>
      <c r="AC70">
        <v>0</v>
      </c>
      <c r="AD70">
        <v>0</v>
      </c>
      <c r="AE70">
        <v>101</v>
      </c>
      <c r="AF70">
        <v>0</v>
      </c>
      <c r="AG70">
        <v>0</v>
      </c>
      <c r="AH70">
        <v>0</v>
      </c>
      <c r="AI70">
        <v>6.08</v>
      </c>
      <c r="AJ70">
        <v>1</v>
      </c>
      <c r="AK70">
        <v>1</v>
      </c>
      <c r="AL70">
        <v>1</v>
      </c>
      <c r="AN70">
        <v>0</v>
      </c>
      <c r="AO70">
        <v>0</v>
      </c>
      <c r="AP70">
        <v>0</v>
      </c>
      <c r="AQ70">
        <v>0</v>
      </c>
      <c r="AR70">
        <v>0</v>
      </c>
      <c r="AS70" t="s">
        <v>4</v>
      </c>
      <c r="AT70">
        <v>8.6207000000000006E-2</v>
      </c>
      <c r="AU70" t="s">
        <v>4</v>
      </c>
      <c r="AV70">
        <v>0</v>
      </c>
      <c r="AW70">
        <v>1</v>
      </c>
      <c r="AX70">
        <v>-1</v>
      </c>
      <c r="AY70">
        <v>0</v>
      </c>
      <c r="AZ70">
        <v>0</v>
      </c>
      <c r="BA70" t="s">
        <v>4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X70">
        <f>Y70*Source!I41</f>
        <v>2.0000024000000002E-2</v>
      </c>
      <c r="CY70">
        <f t="shared" si="3"/>
        <v>614.08000000000004</v>
      </c>
      <c r="CZ70">
        <f t="shared" si="4"/>
        <v>101</v>
      </c>
      <c r="DA70">
        <f t="shared" si="5"/>
        <v>6.08</v>
      </c>
      <c r="DB70">
        <v>0</v>
      </c>
    </row>
    <row r="71" spans="1:106" x14ac:dyDescent="0.2">
      <c r="A71">
        <f>ROW(Source!A41)</f>
        <v>41</v>
      </c>
      <c r="B71">
        <v>16501255</v>
      </c>
      <c r="C71">
        <v>16501376</v>
      </c>
      <c r="D71">
        <v>15197771</v>
      </c>
      <c r="E71">
        <v>1</v>
      </c>
      <c r="F71">
        <v>1</v>
      </c>
      <c r="G71">
        <v>1</v>
      </c>
      <c r="H71">
        <v>3</v>
      </c>
      <c r="I71" t="s">
        <v>75</v>
      </c>
      <c r="J71" t="s">
        <v>77</v>
      </c>
      <c r="K71" t="s">
        <v>76</v>
      </c>
      <c r="L71">
        <v>1355</v>
      </c>
      <c r="N71">
        <v>1010</v>
      </c>
      <c r="O71" t="s">
        <v>67</v>
      </c>
      <c r="P71" t="s">
        <v>67</v>
      </c>
      <c r="Q71">
        <v>100</v>
      </c>
      <c r="W71">
        <v>0</v>
      </c>
      <c r="X71">
        <v>191136453</v>
      </c>
      <c r="Y71">
        <v>8.6207000000000006E-2</v>
      </c>
      <c r="AA71">
        <v>614.08000000000004</v>
      </c>
      <c r="AB71">
        <v>0</v>
      </c>
      <c r="AC71">
        <v>0</v>
      </c>
      <c r="AD71">
        <v>0</v>
      </c>
      <c r="AE71">
        <v>101</v>
      </c>
      <c r="AF71">
        <v>0</v>
      </c>
      <c r="AG71">
        <v>0</v>
      </c>
      <c r="AH71">
        <v>0</v>
      </c>
      <c r="AI71">
        <v>6.08</v>
      </c>
      <c r="AJ71">
        <v>1</v>
      </c>
      <c r="AK71">
        <v>1</v>
      </c>
      <c r="AL71">
        <v>1</v>
      </c>
      <c r="AN71">
        <v>0</v>
      </c>
      <c r="AO71">
        <v>0</v>
      </c>
      <c r="AP71">
        <v>0</v>
      </c>
      <c r="AQ71">
        <v>0</v>
      </c>
      <c r="AR71">
        <v>0</v>
      </c>
      <c r="AS71" t="s">
        <v>4</v>
      </c>
      <c r="AT71">
        <v>8.6207000000000006E-2</v>
      </c>
      <c r="AU71" t="s">
        <v>4</v>
      </c>
      <c r="AV71">
        <v>0</v>
      </c>
      <c r="AW71">
        <v>1</v>
      </c>
      <c r="AX71">
        <v>-1</v>
      </c>
      <c r="AY71">
        <v>0</v>
      </c>
      <c r="AZ71">
        <v>0</v>
      </c>
      <c r="BA71" t="s">
        <v>4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CX71">
        <f>Y71*Source!I41</f>
        <v>2.0000024000000002E-2</v>
      </c>
      <c r="CY71">
        <f t="shared" si="3"/>
        <v>614.08000000000004</v>
      </c>
      <c r="CZ71">
        <f t="shared" si="4"/>
        <v>101</v>
      </c>
      <c r="DA71">
        <f t="shared" si="5"/>
        <v>6.08</v>
      </c>
      <c r="DB71">
        <v>0</v>
      </c>
    </row>
    <row r="72" spans="1:106" x14ac:dyDescent="0.2">
      <c r="A72">
        <f>ROW(Source!A41)</f>
        <v>41</v>
      </c>
      <c r="B72">
        <v>16501255</v>
      </c>
      <c r="C72">
        <v>16501376</v>
      </c>
      <c r="D72">
        <v>15197773</v>
      </c>
      <c r="E72">
        <v>1</v>
      </c>
      <c r="F72">
        <v>1</v>
      </c>
      <c r="G72">
        <v>1</v>
      </c>
      <c r="H72">
        <v>3</v>
      </c>
      <c r="I72" t="s">
        <v>79</v>
      </c>
      <c r="J72" t="s">
        <v>81</v>
      </c>
      <c r="K72" t="s">
        <v>80</v>
      </c>
      <c r="L72">
        <v>1355</v>
      </c>
      <c r="N72">
        <v>1010</v>
      </c>
      <c r="O72" t="s">
        <v>67</v>
      </c>
      <c r="P72" t="s">
        <v>67</v>
      </c>
      <c r="Q72">
        <v>100</v>
      </c>
      <c r="W72">
        <v>0</v>
      </c>
      <c r="X72">
        <v>1073883569</v>
      </c>
      <c r="Y72">
        <v>4.3103000000000002E-2</v>
      </c>
      <c r="AA72">
        <v>778.24</v>
      </c>
      <c r="AB72">
        <v>0</v>
      </c>
      <c r="AC72">
        <v>0</v>
      </c>
      <c r="AD72">
        <v>0</v>
      </c>
      <c r="AE72">
        <v>128</v>
      </c>
      <c r="AF72">
        <v>0</v>
      </c>
      <c r="AG72">
        <v>0</v>
      </c>
      <c r="AH72">
        <v>0</v>
      </c>
      <c r="AI72">
        <v>6.08</v>
      </c>
      <c r="AJ72">
        <v>1</v>
      </c>
      <c r="AK72">
        <v>1</v>
      </c>
      <c r="AL72">
        <v>1</v>
      </c>
      <c r="AN72">
        <v>0</v>
      </c>
      <c r="AO72">
        <v>0</v>
      </c>
      <c r="AP72">
        <v>0</v>
      </c>
      <c r="AQ72">
        <v>0</v>
      </c>
      <c r="AR72">
        <v>0</v>
      </c>
      <c r="AS72" t="s">
        <v>4</v>
      </c>
      <c r="AT72">
        <v>4.3103000000000002E-2</v>
      </c>
      <c r="AU72" t="s">
        <v>4</v>
      </c>
      <c r="AV72">
        <v>0</v>
      </c>
      <c r="AW72">
        <v>1</v>
      </c>
      <c r="AX72">
        <v>-1</v>
      </c>
      <c r="AY72">
        <v>0</v>
      </c>
      <c r="AZ72">
        <v>0</v>
      </c>
      <c r="BA72" t="s">
        <v>4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CX72">
        <f>Y72*Source!I41</f>
        <v>9.9998960000000012E-3</v>
      </c>
      <c r="CY72">
        <f t="shared" si="3"/>
        <v>778.24</v>
      </c>
      <c r="CZ72">
        <f t="shared" si="4"/>
        <v>128</v>
      </c>
      <c r="DA72">
        <f t="shared" si="5"/>
        <v>6.08</v>
      </c>
      <c r="DB72">
        <v>0</v>
      </c>
    </row>
    <row r="73" spans="1:106" x14ac:dyDescent="0.2">
      <c r="A73">
        <f>ROW(Source!A41)</f>
        <v>41</v>
      </c>
      <c r="B73">
        <v>16501255</v>
      </c>
      <c r="C73">
        <v>16501376</v>
      </c>
      <c r="D73">
        <v>15197775</v>
      </c>
      <c r="E73">
        <v>1</v>
      </c>
      <c r="F73">
        <v>1</v>
      </c>
      <c r="G73">
        <v>1</v>
      </c>
      <c r="H73">
        <v>3</v>
      </c>
      <c r="I73" t="s">
        <v>83</v>
      </c>
      <c r="J73" t="s">
        <v>85</v>
      </c>
      <c r="K73" t="s">
        <v>84</v>
      </c>
      <c r="L73">
        <v>1355</v>
      </c>
      <c r="N73">
        <v>1010</v>
      </c>
      <c r="O73" t="s">
        <v>67</v>
      </c>
      <c r="P73" t="s">
        <v>67</v>
      </c>
      <c r="Q73">
        <v>100</v>
      </c>
      <c r="W73">
        <v>0</v>
      </c>
      <c r="X73">
        <v>1800897042</v>
      </c>
      <c r="Y73">
        <v>8.6207000000000006E-2</v>
      </c>
      <c r="AA73">
        <v>778.24</v>
      </c>
      <c r="AB73">
        <v>0</v>
      </c>
      <c r="AC73">
        <v>0</v>
      </c>
      <c r="AD73">
        <v>0</v>
      </c>
      <c r="AE73">
        <v>128</v>
      </c>
      <c r="AF73">
        <v>0</v>
      </c>
      <c r="AG73">
        <v>0</v>
      </c>
      <c r="AH73">
        <v>0</v>
      </c>
      <c r="AI73">
        <v>6.08</v>
      </c>
      <c r="AJ73">
        <v>1</v>
      </c>
      <c r="AK73">
        <v>1</v>
      </c>
      <c r="AL73">
        <v>1</v>
      </c>
      <c r="AN73">
        <v>0</v>
      </c>
      <c r="AO73">
        <v>0</v>
      </c>
      <c r="AP73">
        <v>0</v>
      </c>
      <c r="AQ73">
        <v>0</v>
      </c>
      <c r="AR73">
        <v>0</v>
      </c>
      <c r="AS73" t="s">
        <v>4</v>
      </c>
      <c r="AT73">
        <v>8.6207000000000006E-2</v>
      </c>
      <c r="AU73" t="s">
        <v>4</v>
      </c>
      <c r="AV73">
        <v>0</v>
      </c>
      <c r="AW73">
        <v>1</v>
      </c>
      <c r="AX73">
        <v>-1</v>
      </c>
      <c r="AY73">
        <v>0</v>
      </c>
      <c r="AZ73">
        <v>0</v>
      </c>
      <c r="BA73" t="s">
        <v>4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CX73">
        <f>Y73*Source!I41</f>
        <v>2.0000024000000002E-2</v>
      </c>
      <c r="CY73">
        <f t="shared" si="3"/>
        <v>778.24</v>
      </c>
      <c r="CZ73">
        <f t="shared" si="4"/>
        <v>128</v>
      </c>
      <c r="DA73">
        <f t="shared" si="5"/>
        <v>6.08</v>
      </c>
      <c r="DB73">
        <v>0</v>
      </c>
    </row>
    <row r="74" spans="1:106" x14ac:dyDescent="0.2">
      <c r="A74">
        <f>ROW(Source!A41)</f>
        <v>41</v>
      </c>
      <c r="B74">
        <v>16501255</v>
      </c>
      <c r="C74">
        <v>16501376</v>
      </c>
      <c r="D74">
        <v>15197777</v>
      </c>
      <c r="E74">
        <v>1</v>
      </c>
      <c r="F74">
        <v>1</v>
      </c>
      <c r="G74">
        <v>1</v>
      </c>
      <c r="H74">
        <v>3</v>
      </c>
      <c r="I74" t="s">
        <v>87</v>
      </c>
      <c r="J74" t="s">
        <v>89</v>
      </c>
      <c r="K74" t="s">
        <v>88</v>
      </c>
      <c r="L74">
        <v>1355</v>
      </c>
      <c r="N74">
        <v>1010</v>
      </c>
      <c r="O74" t="s">
        <v>67</v>
      </c>
      <c r="P74" t="s">
        <v>67</v>
      </c>
      <c r="Q74">
        <v>100</v>
      </c>
      <c r="W74">
        <v>0</v>
      </c>
      <c r="X74">
        <v>952646044</v>
      </c>
      <c r="Y74">
        <v>8.6207000000000006E-2</v>
      </c>
      <c r="AA74">
        <v>778.24</v>
      </c>
      <c r="AB74">
        <v>0</v>
      </c>
      <c r="AC74">
        <v>0</v>
      </c>
      <c r="AD74">
        <v>0</v>
      </c>
      <c r="AE74">
        <v>128</v>
      </c>
      <c r="AF74">
        <v>0</v>
      </c>
      <c r="AG74">
        <v>0</v>
      </c>
      <c r="AH74">
        <v>0</v>
      </c>
      <c r="AI74">
        <v>6.08</v>
      </c>
      <c r="AJ74">
        <v>1</v>
      </c>
      <c r="AK74">
        <v>1</v>
      </c>
      <c r="AL74">
        <v>1</v>
      </c>
      <c r="AN74">
        <v>0</v>
      </c>
      <c r="AO74">
        <v>0</v>
      </c>
      <c r="AP74">
        <v>0</v>
      </c>
      <c r="AQ74">
        <v>0</v>
      </c>
      <c r="AR74">
        <v>0</v>
      </c>
      <c r="AS74" t="s">
        <v>4</v>
      </c>
      <c r="AT74">
        <v>8.6207000000000006E-2</v>
      </c>
      <c r="AU74" t="s">
        <v>4</v>
      </c>
      <c r="AV74">
        <v>0</v>
      </c>
      <c r="AW74">
        <v>1</v>
      </c>
      <c r="AX74">
        <v>-1</v>
      </c>
      <c r="AY74">
        <v>0</v>
      </c>
      <c r="AZ74">
        <v>0</v>
      </c>
      <c r="BA74" t="s">
        <v>4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CX74">
        <f>Y74*Source!I41</f>
        <v>2.0000024000000002E-2</v>
      </c>
      <c r="CY74">
        <f t="shared" si="3"/>
        <v>778.24</v>
      </c>
      <c r="CZ74">
        <f t="shared" si="4"/>
        <v>128</v>
      </c>
      <c r="DA74">
        <f t="shared" si="5"/>
        <v>6.08</v>
      </c>
      <c r="DB74">
        <v>0</v>
      </c>
    </row>
    <row r="75" spans="1:106" x14ac:dyDescent="0.2">
      <c r="A75">
        <f>ROW(Source!A54)</f>
        <v>54</v>
      </c>
      <c r="B75">
        <v>16501254</v>
      </c>
      <c r="C75">
        <v>16501407</v>
      </c>
      <c r="D75">
        <v>15430767</v>
      </c>
      <c r="E75">
        <v>1</v>
      </c>
      <c r="F75">
        <v>1</v>
      </c>
      <c r="G75">
        <v>1</v>
      </c>
      <c r="H75">
        <v>1</v>
      </c>
      <c r="I75" t="s">
        <v>259</v>
      </c>
      <c r="J75" t="s">
        <v>4</v>
      </c>
      <c r="K75" t="s">
        <v>260</v>
      </c>
      <c r="L75">
        <v>1191</v>
      </c>
      <c r="N75">
        <v>1013</v>
      </c>
      <c r="O75" t="s">
        <v>252</v>
      </c>
      <c r="P75" t="s">
        <v>252</v>
      </c>
      <c r="Q75">
        <v>1</v>
      </c>
      <c r="W75">
        <v>0</v>
      </c>
      <c r="X75">
        <v>-400197608</v>
      </c>
      <c r="Y75">
        <v>1.0349999999999999</v>
      </c>
      <c r="AA75">
        <v>0</v>
      </c>
      <c r="AB75">
        <v>0</v>
      </c>
      <c r="AC75">
        <v>0</v>
      </c>
      <c r="AD75">
        <v>8.5299999999999994</v>
      </c>
      <c r="AE75">
        <v>0</v>
      </c>
      <c r="AF75">
        <v>0</v>
      </c>
      <c r="AG75">
        <v>0</v>
      </c>
      <c r="AH75">
        <v>8.5299999999999994</v>
      </c>
      <c r="AI75">
        <v>1</v>
      </c>
      <c r="AJ75">
        <v>1</v>
      </c>
      <c r="AK75">
        <v>1</v>
      </c>
      <c r="AL75">
        <v>1</v>
      </c>
      <c r="AN75">
        <v>0</v>
      </c>
      <c r="AO75">
        <v>1</v>
      </c>
      <c r="AP75">
        <v>1</v>
      </c>
      <c r="AQ75">
        <v>0</v>
      </c>
      <c r="AR75">
        <v>0</v>
      </c>
      <c r="AS75" t="s">
        <v>4</v>
      </c>
      <c r="AT75">
        <v>0.9</v>
      </c>
      <c r="AU75" t="s">
        <v>30</v>
      </c>
      <c r="AV75">
        <v>1</v>
      </c>
      <c r="AW75">
        <v>2</v>
      </c>
      <c r="AX75">
        <v>16501409</v>
      </c>
      <c r="AY75">
        <v>1</v>
      </c>
      <c r="AZ75">
        <v>0</v>
      </c>
      <c r="BA75">
        <v>77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X75">
        <f>Y75*Source!I54</f>
        <v>118.50749999999999</v>
      </c>
      <c r="CY75">
        <f>AD75</f>
        <v>8.5299999999999994</v>
      </c>
      <c r="CZ75">
        <f>AH75</f>
        <v>8.5299999999999994</v>
      </c>
      <c r="DA75">
        <f>AL75</f>
        <v>1</v>
      </c>
      <c r="DB75">
        <v>0</v>
      </c>
    </row>
    <row r="76" spans="1:106" x14ac:dyDescent="0.2">
      <c r="A76">
        <f>ROW(Source!A55)</f>
        <v>55</v>
      </c>
      <c r="B76">
        <v>16501255</v>
      </c>
      <c r="C76">
        <v>16501407</v>
      </c>
      <c r="D76">
        <v>15430767</v>
      </c>
      <c r="E76">
        <v>1</v>
      </c>
      <c r="F76">
        <v>1</v>
      </c>
      <c r="G76">
        <v>1</v>
      </c>
      <c r="H76">
        <v>1</v>
      </c>
      <c r="I76" t="s">
        <v>259</v>
      </c>
      <c r="J76" t="s">
        <v>4</v>
      </c>
      <c r="K76" t="s">
        <v>260</v>
      </c>
      <c r="L76">
        <v>1191</v>
      </c>
      <c r="N76">
        <v>1013</v>
      </c>
      <c r="O76" t="s">
        <v>252</v>
      </c>
      <c r="P76" t="s">
        <v>252</v>
      </c>
      <c r="Q76">
        <v>1</v>
      </c>
      <c r="W76">
        <v>0</v>
      </c>
      <c r="X76">
        <v>-400197608</v>
      </c>
      <c r="Y76">
        <v>1.0349999999999999</v>
      </c>
      <c r="AA76">
        <v>0</v>
      </c>
      <c r="AB76">
        <v>0</v>
      </c>
      <c r="AC76">
        <v>0</v>
      </c>
      <c r="AD76">
        <v>51.86</v>
      </c>
      <c r="AE76">
        <v>0</v>
      </c>
      <c r="AF76">
        <v>0</v>
      </c>
      <c r="AG76">
        <v>0</v>
      </c>
      <c r="AH76">
        <v>8.5299999999999994</v>
      </c>
      <c r="AI76">
        <v>1</v>
      </c>
      <c r="AJ76">
        <v>1</v>
      </c>
      <c r="AK76">
        <v>1</v>
      </c>
      <c r="AL76">
        <v>6.08</v>
      </c>
      <c r="AN76">
        <v>0</v>
      </c>
      <c r="AO76">
        <v>1</v>
      </c>
      <c r="AP76">
        <v>1</v>
      </c>
      <c r="AQ76">
        <v>0</v>
      </c>
      <c r="AR76">
        <v>0</v>
      </c>
      <c r="AS76" t="s">
        <v>4</v>
      </c>
      <c r="AT76">
        <v>0.9</v>
      </c>
      <c r="AU76" t="s">
        <v>30</v>
      </c>
      <c r="AV76">
        <v>1</v>
      </c>
      <c r="AW76">
        <v>2</v>
      </c>
      <c r="AX76">
        <v>16501409</v>
      </c>
      <c r="AY76">
        <v>1</v>
      </c>
      <c r="AZ76">
        <v>0</v>
      </c>
      <c r="BA76">
        <v>78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X76">
        <f>Y76*Source!I55</f>
        <v>118.50749999999999</v>
      </c>
      <c r="CY76">
        <f>AD76</f>
        <v>51.86</v>
      </c>
      <c r="CZ76">
        <f>AH76</f>
        <v>8.5299999999999994</v>
      </c>
      <c r="DA76">
        <f>AL76</f>
        <v>6.08</v>
      </c>
      <c r="DB76">
        <v>0</v>
      </c>
    </row>
    <row r="77" spans="1:106" x14ac:dyDescent="0.2">
      <c r="A77">
        <f>ROW(Source!A56)</f>
        <v>56</v>
      </c>
      <c r="B77">
        <v>16501254</v>
      </c>
      <c r="C77">
        <v>16672484</v>
      </c>
      <c r="D77">
        <v>15430767</v>
      </c>
      <c r="E77">
        <v>1</v>
      </c>
      <c r="F77">
        <v>1</v>
      </c>
      <c r="G77">
        <v>1</v>
      </c>
      <c r="H77">
        <v>1</v>
      </c>
      <c r="I77" t="s">
        <v>259</v>
      </c>
      <c r="J77" t="s">
        <v>4</v>
      </c>
      <c r="K77" t="s">
        <v>260</v>
      </c>
      <c r="L77">
        <v>1191</v>
      </c>
      <c r="N77">
        <v>1013</v>
      </c>
      <c r="O77" t="s">
        <v>252</v>
      </c>
      <c r="P77" t="s">
        <v>252</v>
      </c>
      <c r="Q77">
        <v>1</v>
      </c>
      <c r="W77">
        <v>0</v>
      </c>
      <c r="X77">
        <v>-400197608</v>
      </c>
      <c r="Y77">
        <v>37.363500000000002</v>
      </c>
      <c r="AA77">
        <v>0</v>
      </c>
      <c r="AB77">
        <v>0</v>
      </c>
      <c r="AC77">
        <v>0</v>
      </c>
      <c r="AD77">
        <v>8.5299999999999994</v>
      </c>
      <c r="AE77">
        <v>0</v>
      </c>
      <c r="AF77">
        <v>0</v>
      </c>
      <c r="AG77">
        <v>0</v>
      </c>
      <c r="AH77">
        <v>8.5299999999999994</v>
      </c>
      <c r="AI77">
        <v>1</v>
      </c>
      <c r="AJ77">
        <v>1</v>
      </c>
      <c r="AK77">
        <v>1</v>
      </c>
      <c r="AL77">
        <v>1</v>
      </c>
      <c r="AN77">
        <v>0</v>
      </c>
      <c r="AO77">
        <v>1</v>
      </c>
      <c r="AP77">
        <v>1</v>
      </c>
      <c r="AQ77">
        <v>0</v>
      </c>
      <c r="AR77">
        <v>0</v>
      </c>
      <c r="AS77" t="s">
        <v>4</v>
      </c>
      <c r="AT77">
        <v>32.49</v>
      </c>
      <c r="AU77" t="s">
        <v>30</v>
      </c>
      <c r="AV77">
        <v>1</v>
      </c>
      <c r="AW77">
        <v>2</v>
      </c>
      <c r="AX77">
        <v>16672485</v>
      </c>
      <c r="AY77">
        <v>1</v>
      </c>
      <c r="AZ77">
        <v>0</v>
      </c>
      <c r="BA77">
        <v>79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CX77">
        <f>Y77*Source!I56</f>
        <v>29.218257000000001</v>
      </c>
      <c r="CY77">
        <f>AD77</f>
        <v>8.5299999999999994</v>
      </c>
      <c r="CZ77">
        <f>AH77</f>
        <v>8.5299999999999994</v>
      </c>
      <c r="DA77">
        <f>AL77</f>
        <v>1</v>
      </c>
      <c r="DB77">
        <v>0</v>
      </c>
    </row>
    <row r="78" spans="1:106" x14ac:dyDescent="0.2">
      <c r="A78">
        <f>ROW(Source!A56)</f>
        <v>56</v>
      </c>
      <c r="B78">
        <v>16501254</v>
      </c>
      <c r="C78">
        <v>16672484</v>
      </c>
      <c r="D78">
        <v>15430395</v>
      </c>
      <c r="E78">
        <v>1</v>
      </c>
      <c r="F78">
        <v>1</v>
      </c>
      <c r="G78">
        <v>1</v>
      </c>
      <c r="H78">
        <v>1</v>
      </c>
      <c r="I78" t="s">
        <v>253</v>
      </c>
      <c r="J78" t="s">
        <v>4</v>
      </c>
      <c r="K78" t="s">
        <v>254</v>
      </c>
      <c r="L78">
        <v>1191</v>
      </c>
      <c r="N78">
        <v>1013</v>
      </c>
      <c r="O78" t="s">
        <v>252</v>
      </c>
      <c r="P78" t="s">
        <v>252</v>
      </c>
      <c r="Q78">
        <v>1</v>
      </c>
      <c r="W78">
        <v>0</v>
      </c>
      <c r="X78">
        <v>-1417349443</v>
      </c>
      <c r="Y78">
        <v>0.93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1</v>
      </c>
      <c r="AJ78">
        <v>1</v>
      </c>
      <c r="AK78">
        <v>1</v>
      </c>
      <c r="AL78">
        <v>1</v>
      </c>
      <c r="AN78">
        <v>0</v>
      </c>
      <c r="AO78">
        <v>1</v>
      </c>
      <c r="AP78">
        <v>0</v>
      </c>
      <c r="AQ78">
        <v>0</v>
      </c>
      <c r="AR78">
        <v>0</v>
      </c>
      <c r="AS78" t="s">
        <v>4</v>
      </c>
      <c r="AT78">
        <v>0.93</v>
      </c>
      <c r="AU78" t="s">
        <v>4</v>
      </c>
      <c r="AV78">
        <v>2</v>
      </c>
      <c r="AW78">
        <v>2</v>
      </c>
      <c r="AX78">
        <v>16672486</v>
      </c>
      <c r="AY78">
        <v>1</v>
      </c>
      <c r="AZ78">
        <v>2048</v>
      </c>
      <c r="BA78">
        <v>80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CX78">
        <f>Y78*Source!I56</f>
        <v>0.72726000000000002</v>
      </c>
      <c r="CY78">
        <f>AD78</f>
        <v>0</v>
      </c>
      <c r="CZ78">
        <f>AH78</f>
        <v>0</v>
      </c>
      <c r="DA78">
        <f>AL78</f>
        <v>1</v>
      </c>
      <c r="DB78">
        <v>0</v>
      </c>
    </row>
    <row r="79" spans="1:106" x14ac:dyDescent="0.2">
      <c r="A79">
        <f>ROW(Source!A56)</f>
        <v>56</v>
      </c>
      <c r="B79">
        <v>16501254</v>
      </c>
      <c r="C79">
        <v>16672484</v>
      </c>
      <c r="D79">
        <v>15247905</v>
      </c>
      <c r="E79">
        <v>1</v>
      </c>
      <c r="F79">
        <v>1</v>
      </c>
      <c r="G79">
        <v>1</v>
      </c>
      <c r="H79">
        <v>2</v>
      </c>
      <c r="I79" t="s">
        <v>292</v>
      </c>
      <c r="J79" t="s">
        <v>293</v>
      </c>
      <c r="K79" t="s">
        <v>294</v>
      </c>
      <c r="L79">
        <v>1368</v>
      </c>
      <c r="N79">
        <v>1011</v>
      </c>
      <c r="O79" t="s">
        <v>258</v>
      </c>
      <c r="P79" t="s">
        <v>258</v>
      </c>
      <c r="Q79">
        <v>1</v>
      </c>
      <c r="W79">
        <v>0</v>
      </c>
      <c r="X79">
        <v>1225731627</v>
      </c>
      <c r="Y79">
        <v>2.5000000000000001E-2</v>
      </c>
      <c r="AA79">
        <v>0</v>
      </c>
      <c r="AB79">
        <v>89.99</v>
      </c>
      <c r="AC79">
        <v>10.06</v>
      </c>
      <c r="AD79">
        <v>0</v>
      </c>
      <c r="AE79">
        <v>0</v>
      </c>
      <c r="AF79">
        <v>89.99</v>
      </c>
      <c r="AG79">
        <v>10.06</v>
      </c>
      <c r="AH79">
        <v>0</v>
      </c>
      <c r="AI79">
        <v>1</v>
      </c>
      <c r="AJ79">
        <v>1</v>
      </c>
      <c r="AK79">
        <v>1</v>
      </c>
      <c r="AL79">
        <v>1</v>
      </c>
      <c r="AN79">
        <v>0</v>
      </c>
      <c r="AO79">
        <v>1</v>
      </c>
      <c r="AP79">
        <v>1</v>
      </c>
      <c r="AQ79">
        <v>0</v>
      </c>
      <c r="AR79">
        <v>0</v>
      </c>
      <c r="AS79" t="s">
        <v>4</v>
      </c>
      <c r="AT79">
        <v>0.02</v>
      </c>
      <c r="AU79" t="s">
        <v>29</v>
      </c>
      <c r="AV79">
        <v>0</v>
      </c>
      <c r="AW79">
        <v>2</v>
      </c>
      <c r="AX79">
        <v>16672487</v>
      </c>
      <c r="AY79">
        <v>1</v>
      </c>
      <c r="AZ79">
        <v>0</v>
      </c>
      <c r="BA79">
        <v>81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CX79">
        <f>Y79*Source!I56</f>
        <v>1.9550000000000001E-2</v>
      </c>
      <c r="CY79">
        <f>AB79</f>
        <v>89.99</v>
      </c>
      <c r="CZ79">
        <f>AF79</f>
        <v>89.99</v>
      </c>
      <c r="DA79">
        <f>AJ79</f>
        <v>1</v>
      </c>
      <c r="DB79">
        <v>0</v>
      </c>
    </row>
    <row r="80" spans="1:106" x14ac:dyDescent="0.2">
      <c r="A80">
        <f>ROW(Source!A56)</f>
        <v>56</v>
      </c>
      <c r="B80">
        <v>16501254</v>
      </c>
      <c r="C80">
        <v>16672484</v>
      </c>
      <c r="D80">
        <v>15247974</v>
      </c>
      <c r="E80">
        <v>1</v>
      </c>
      <c r="F80">
        <v>1</v>
      </c>
      <c r="G80">
        <v>1</v>
      </c>
      <c r="H80">
        <v>2</v>
      </c>
      <c r="I80" t="s">
        <v>255</v>
      </c>
      <c r="J80" t="s">
        <v>256</v>
      </c>
      <c r="K80" t="s">
        <v>257</v>
      </c>
      <c r="L80">
        <v>1368</v>
      </c>
      <c r="N80">
        <v>1011</v>
      </c>
      <c r="O80" t="s">
        <v>258</v>
      </c>
      <c r="P80" t="s">
        <v>258</v>
      </c>
      <c r="Q80">
        <v>1</v>
      </c>
      <c r="W80">
        <v>0</v>
      </c>
      <c r="X80">
        <v>1188625873</v>
      </c>
      <c r="Y80">
        <v>0.26250000000000001</v>
      </c>
      <c r="AA80">
        <v>0</v>
      </c>
      <c r="AB80">
        <v>31.26</v>
      </c>
      <c r="AC80">
        <v>13.5</v>
      </c>
      <c r="AD80">
        <v>0</v>
      </c>
      <c r="AE80">
        <v>0</v>
      </c>
      <c r="AF80">
        <v>31.26</v>
      </c>
      <c r="AG80">
        <v>13.5</v>
      </c>
      <c r="AH80">
        <v>0</v>
      </c>
      <c r="AI80">
        <v>1</v>
      </c>
      <c r="AJ80">
        <v>1</v>
      </c>
      <c r="AK80">
        <v>1</v>
      </c>
      <c r="AL80">
        <v>1</v>
      </c>
      <c r="AN80">
        <v>0</v>
      </c>
      <c r="AO80">
        <v>1</v>
      </c>
      <c r="AP80">
        <v>1</v>
      </c>
      <c r="AQ80">
        <v>0</v>
      </c>
      <c r="AR80">
        <v>0</v>
      </c>
      <c r="AS80" t="s">
        <v>4</v>
      </c>
      <c r="AT80">
        <v>0.21</v>
      </c>
      <c r="AU80" t="s">
        <v>29</v>
      </c>
      <c r="AV80">
        <v>0</v>
      </c>
      <c r="AW80">
        <v>2</v>
      </c>
      <c r="AX80">
        <v>16672488</v>
      </c>
      <c r="AY80">
        <v>1</v>
      </c>
      <c r="AZ80">
        <v>0</v>
      </c>
      <c r="BA80">
        <v>82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CX80">
        <f>Y80*Source!I56</f>
        <v>0.20527500000000001</v>
      </c>
      <c r="CY80">
        <f>AB80</f>
        <v>31.26</v>
      </c>
      <c r="CZ80">
        <f>AF80</f>
        <v>31.26</v>
      </c>
      <c r="DA80">
        <f>AJ80</f>
        <v>1</v>
      </c>
      <c r="DB80">
        <v>0</v>
      </c>
    </row>
    <row r="81" spans="1:106" x14ac:dyDescent="0.2">
      <c r="A81">
        <f>ROW(Source!A56)</f>
        <v>56</v>
      </c>
      <c r="B81">
        <v>16501254</v>
      </c>
      <c r="C81">
        <v>16672484</v>
      </c>
      <c r="D81">
        <v>15248143</v>
      </c>
      <c r="E81">
        <v>1</v>
      </c>
      <c r="F81">
        <v>1</v>
      </c>
      <c r="G81">
        <v>1</v>
      </c>
      <c r="H81">
        <v>2</v>
      </c>
      <c r="I81" t="s">
        <v>295</v>
      </c>
      <c r="J81" t="s">
        <v>296</v>
      </c>
      <c r="K81" t="s">
        <v>297</v>
      </c>
      <c r="L81">
        <v>1368</v>
      </c>
      <c r="N81">
        <v>1011</v>
      </c>
      <c r="O81" t="s">
        <v>258</v>
      </c>
      <c r="P81" t="s">
        <v>258</v>
      </c>
      <c r="Q81">
        <v>1</v>
      </c>
      <c r="W81">
        <v>0</v>
      </c>
      <c r="X81">
        <v>983187852</v>
      </c>
      <c r="Y81">
        <v>0.875</v>
      </c>
      <c r="AA81">
        <v>0</v>
      </c>
      <c r="AB81">
        <v>12.39</v>
      </c>
      <c r="AC81">
        <v>10.06</v>
      </c>
      <c r="AD81">
        <v>0</v>
      </c>
      <c r="AE81">
        <v>0</v>
      </c>
      <c r="AF81">
        <v>12.39</v>
      </c>
      <c r="AG81">
        <v>10.06</v>
      </c>
      <c r="AH81">
        <v>0</v>
      </c>
      <c r="AI81">
        <v>1</v>
      </c>
      <c r="AJ81">
        <v>1</v>
      </c>
      <c r="AK81">
        <v>1</v>
      </c>
      <c r="AL81">
        <v>1</v>
      </c>
      <c r="AN81">
        <v>0</v>
      </c>
      <c r="AO81">
        <v>1</v>
      </c>
      <c r="AP81">
        <v>1</v>
      </c>
      <c r="AQ81">
        <v>0</v>
      </c>
      <c r="AR81">
        <v>0</v>
      </c>
      <c r="AS81" t="s">
        <v>4</v>
      </c>
      <c r="AT81">
        <v>0.7</v>
      </c>
      <c r="AU81" t="s">
        <v>29</v>
      </c>
      <c r="AV81">
        <v>0</v>
      </c>
      <c r="AW81">
        <v>2</v>
      </c>
      <c r="AX81">
        <v>16672489</v>
      </c>
      <c r="AY81">
        <v>1</v>
      </c>
      <c r="AZ81">
        <v>0</v>
      </c>
      <c r="BA81">
        <v>83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CX81">
        <f>Y81*Source!I56</f>
        <v>0.68425000000000002</v>
      </c>
      <c r="CY81">
        <f>AB81</f>
        <v>12.39</v>
      </c>
      <c r="CZ81">
        <f>AF81</f>
        <v>12.39</v>
      </c>
      <c r="DA81">
        <f>AJ81</f>
        <v>1</v>
      </c>
      <c r="DB81">
        <v>0</v>
      </c>
    </row>
    <row r="82" spans="1:106" x14ac:dyDescent="0.2">
      <c r="A82">
        <f>ROW(Source!A56)</f>
        <v>56</v>
      </c>
      <c r="B82">
        <v>16501254</v>
      </c>
      <c r="C82">
        <v>16672484</v>
      </c>
      <c r="D82">
        <v>15167286</v>
      </c>
      <c r="E82">
        <v>1</v>
      </c>
      <c r="F82">
        <v>1</v>
      </c>
      <c r="G82">
        <v>1</v>
      </c>
      <c r="H82">
        <v>3</v>
      </c>
      <c r="I82" t="s">
        <v>267</v>
      </c>
      <c r="J82" t="s">
        <v>268</v>
      </c>
      <c r="K82" t="s">
        <v>269</v>
      </c>
      <c r="L82">
        <v>1339</v>
      </c>
      <c r="N82">
        <v>1007</v>
      </c>
      <c r="O82" t="s">
        <v>270</v>
      </c>
      <c r="P82" t="s">
        <v>270</v>
      </c>
      <c r="Q82">
        <v>1</v>
      </c>
      <c r="W82">
        <v>0</v>
      </c>
      <c r="X82">
        <v>-1660354250</v>
      </c>
      <c r="Y82">
        <v>0.51</v>
      </c>
      <c r="AA82">
        <v>2.44</v>
      </c>
      <c r="AB82">
        <v>0</v>
      </c>
      <c r="AC82">
        <v>0</v>
      </c>
      <c r="AD82">
        <v>0</v>
      </c>
      <c r="AE82">
        <v>2.44</v>
      </c>
      <c r="AF82">
        <v>0</v>
      </c>
      <c r="AG82">
        <v>0</v>
      </c>
      <c r="AH82">
        <v>0</v>
      </c>
      <c r="AI82">
        <v>1</v>
      </c>
      <c r="AJ82">
        <v>1</v>
      </c>
      <c r="AK82">
        <v>1</v>
      </c>
      <c r="AL82">
        <v>1</v>
      </c>
      <c r="AN82">
        <v>0</v>
      </c>
      <c r="AO82">
        <v>1</v>
      </c>
      <c r="AP82">
        <v>0</v>
      </c>
      <c r="AQ82">
        <v>0</v>
      </c>
      <c r="AR82">
        <v>0</v>
      </c>
      <c r="AS82" t="s">
        <v>4</v>
      </c>
      <c r="AT82">
        <v>0.51</v>
      </c>
      <c r="AU82" t="s">
        <v>4</v>
      </c>
      <c r="AV82">
        <v>0</v>
      </c>
      <c r="AW82">
        <v>2</v>
      </c>
      <c r="AX82">
        <v>16672490</v>
      </c>
      <c r="AY82">
        <v>1</v>
      </c>
      <c r="AZ82">
        <v>0</v>
      </c>
      <c r="BA82">
        <v>84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CX82">
        <f>Y82*Source!I56</f>
        <v>0.39882000000000001</v>
      </c>
      <c r="CY82">
        <f>AA82</f>
        <v>2.44</v>
      </c>
      <c r="CZ82">
        <f>AE82</f>
        <v>2.44</v>
      </c>
      <c r="DA82">
        <f>AI82</f>
        <v>1</v>
      </c>
      <c r="DB82">
        <v>0</v>
      </c>
    </row>
    <row r="83" spans="1:106" x14ac:dyDescent="0.2">
      <c r="A83">
        <f>ROW(Source!A56)</f>
        <v>56</v>
      </c>
      <c r="B83">
        <v>16501254</v>
      </c>
      <c r="C83">
        <v>16672484</v>
      </c>
      <c r="D83">
        <v>15163028</v>
      </c>
      <c r="E83">
        <v>17</v>
      </c>
      <c r="F83">
        <v>1</v>
      </c>
      <c r="G83">
        <v>1</v>
      </c>
      <c r="H83">
        <v>3</v>
      </c>
      <c r="I83" t="s">
        <v>103</v>
      </c>
      <c r="J83" t="s">
        <v>4</v>
      </c>
      <c r="K83" t="s">
        <v>104</v>
      </c>
      <c r="L83">
        <v>1348</v>
      </c>
      <c r="N83">
        <v>1009</v>
      </c>
      <c r="O83" t="s">
        <v>58</v>
      </c>
      <c r="P83" t="s">
        <v>58</v>
      </c>
      <c r="Q83">
        <v>1000</v>
      </c>
      <c r="W83">
        <v>0</v>
      </c>
      <c r="X83">
        <v>1880203204</v>
      </c>
      <c r="Y83">
        <v>0.85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1</v>
      </c>
      <c r="AJ83">
        <v>1</v>
      </c>
      <c r="AK83">
        <v>1</v>
      </c>
      <c r="AL83">
        <v>1</v>
      </c>
      <c r="AN83">
        <v>0</v>
      </c>
      <c r="AO83">
        <v>0</v>
      </c>
      <c r="AP83">
        <v>0</v>
      </c>
      <c r="AQ83">
        <v>0</v>
      </c>
      <c r="AR83">
        <v>0</v>
      </c>
      <c r="AS83" t="s">
        <v>4</v>
      </c>
      <c r="AT83">
        <v>0.85</v>
      </c>
      <c r="AU83" t="s">
        <v>4</v>
      </c>
      <c r="AV83">
        <v>0</v>
      </c>
      <c r="AW83">
        <v>2</v>
      </c>
      <c r="AX83">
        <v>16672491</v>
      </c>
      <c r="AY83">
        <v>1</v>
      </c>
      <c r="AZ83">
        <v>0</v>
      </c>
      <c r="BA83">
        <v>85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CX83">
        <f>Y83*Source!I56</f>
        <v>0.66469999999999996</v>
      </c>
      <c r="CY83">
        <f>AA83</f>
        <v>0</v>
      </c>
      <c r="CZ83">
        <f>AE83</f>
        <v>0</v>
      </c>
      <c r="DA83">
        <f>AI83</f>
        <v>1</v>
      </c>
      <c r="DB83">
        <v>0</v>
      </c>
    </row>
    <row r="84" spans="1:106" x14ac:dyDescent="0.2">
      <c r="A84">
        <f>ROW(Source!A56)</f>
        <v>56</v>
      </c>
      <c r="B84">
        <v>16501254</v>
      </c>
      <c r="C84">
        <v>16672484</v>
      </c>
      <c r="D84">
        <v>15173298</v>
      </c>
      <c r="E84">
        <v>1</v>
      </c>
      <c r="F84">
        <v>1</v>
      </c>
      <c r="G84">
        <v>1</v>
      </c>
      <c r="H84">
        <v>3</v>
      </c>
      <c r="I84" t="s">
        <v>106</v>
      </c>
      <c r="J84" t="s">
        <v>108</v>
      </c>
      <c r="K84" t="s">
        <v>107</v>
      </c>
      <c r="L84">
        <v>1348</v>
      </c>
      <c r="N84">
        <v>1009</v>
      </c>
      <c r="O84" t="s">
        <v>58</v>
      </c>
      <c r="P84" t="s">
        <v>58</v>
      </c>
      <c r="Q84">
        <v>1000</v>
      </c>
      <c r="W84">
        <v>0</v>
      </c>
      <c r="X84">
        <v>-791558573</v>
      </c>
      <c r="Y84">
        <v>0.85</v>
      </c>
      <c r="AA84">
        <v>931.37</v>
      </c>
      <c r="AB84">
        <v>0</v>
      </c>
      <c r="AC84">
        <v>0</v>
      </c>
      <c r="AD84">
        <v>0</v>
      </c>
      <c r="AE84">
        <v>931.37</v>
      </c>
      <c r="AF84">
        <v>0</v>
      </c>
      <c r="AG84">
        <v>0</v>
      </c>
      <c r="AH84">
        <v>0</v>
      </c>
      <c r="AI84">
        <v>1</v>
      </c>
      <c r="AJ84">
        <v>1</v>
      </c>
      <c r="AK84">
        <v>1</v>
      </c>
      <c r="AL84">
        <v>1</v>
      </c>
      <c r="AN84">
        <v>0</v>
      </c>
      <c r="AO84">
        <v>0</v>
      </c>
      <c r="AP84">
        <v>0</v>
      </c>
      <c r="AQ84">
        <v>0</v>
      </c>
      <c r="AR84">
        <v>0</v>
      </c>
      <c r="AS84" t="s">
        <v>4</v>
      </c>
      <c r="AT84">
        <v>0.85</v>
      </c>
      <c r="AU84" t="s">
        <v>4</v>
      </c>
      <c r="AV84">
        <v>0</v>
      </c>
      <c r="AW84">
        <v>1</v>
      </c>
      <c r="AX84">
        <v>-1</v>
      </c>
      <c r="AY84">
        <v>0</v>
      </c>
      <c r="AZ84">
        <v>0</v>
      </c>
      <c r="BA84" t="s">
        <v>4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CX84">
        <f>Y84*Source!I56</f>
        <v>0.66469999999999996</v>
      </c>
      <c r="CY84">
        <f>AA84</f>
        <v>931.37</v>
      </c>
      <c r="CZ84">
        <f>AE84</f>
        <v>931.37</v>
      </c>
      <c r="DA84">
        <f>AI84</f>
        <v>1</v>
      </c>
      <c r="DB84">
        <v>0</v>
      </c>
    </row>
    <row r="85" spans="1:106" x14ac:dyDescent="0.2">
      <c r="A85">
        <f>ROW(Source!A56)</f>
        <v>56</v>
      </c>
      <c r="B85">
        <v>16501254</v>
      </c>
      <c r="C85">
        <v>16672484</v>
      </c>
      <c r="D85">
        <v>15203233</v>
      </c>
      <c r="E85">
        <v>1</v>
      </c>
      <c r="F85">
        <v>1</v>
      </c>
      <c r="G85">
        <v>1</v>
      </c>
      <c r="H85">
        <v>3</v>
      </c>
      <c r="I85" t="s">
        <v>110</v>
      </c>
      <c r="J85" t="s">
        <v>112</v>
      </c>
      <c r="K85" t="s">
        <v>111</v>
      </c>
      <c r="L85">
        <v>1348</v>
      </c>
      <c r="N85">
        <v>1009</v>
      </c>
      <c r="O85" t="s">
        <v>58</v>
      </c>
      <c r="P85" t="s">
        <v>58</v>
      </c>
      <c r="Q85">
        <v>1000</v>
      </c>
      <c r="W85">
        <v>0</v>
      </c>
      <c r="X85">
        <v>-1919714308</v>
      </c>
      <c r="Y85">
        <v>1.9949000000000001E-2</v>
      </c>
      <c r="AA85">
        <v>18390.16</v>
      </c>
      <c r="AB85">
        <v>0</v>
      </c>
      <c r="AC85">
        <v>0</v>
      </c>
      <c r="AD85">
        <v>0</v>
      </c>
      <c r="AE85">
        <v>18390.16</v>
      </c>
      <c r="AF85">
        <v>0</v>
      </c>
      <c r="AG85">
        <v>0</v>
      </c>
      <c r="AH85">
        <v>0</v>
      </c>
      <c r="AI85">
        <v>1</v>
      </c>
      <c r="AJ85">
        <v>1</v>
      </c>
      <c r="AK85">
        <v>1</v>
      </c>
      <c r="AL85">
        <v>1</v>
      </c>
      <c r="AN85">
        <v>0</v>
      </c>
      <c r="AO85">
        <v>0</v>
      </c>
      <c r="AP85">
        <v>0</v>
      </c>
      <c r="AQ85">
        <v>0</v>
      </c>
      <c r="AR85">
        <v>0</v>
      </c>
      <c r="AS85" t="s">
        <v>4</v>
      </c>
      <c r="AT85">
        <v>1.9949000000000001E-2</v>
      </c>
      <c r="AU85" t="s">
        <v>4</v>
      </c>
      <c r="AV85">
        <v>0</v>
      </c>
      <c r="AW85">
        <v>1</v>
      </c>
      <c r="AX85">
        <v>-1</v>
      </c>
      <c r="AY85">
        <v>0</v>
      </c>
      <c r="AZ85">
        <v>0</v>
      </c>
      <c r="BA85" t="s">
        <v>4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CX85">
        <f>Y85*Source!I56</f>
        <v>1.5600118000000001E-2</v>
      </c>
      <c r="CY85">
        <f>AA85</f>
        <v>18390.16</v>
      </c>
      <c r="CZ85">
        <f>AE85</f>
        <v>18390.16</v>
      </c>
      <c r="DA85">
        <f>AI85</f>
        <v>1</v>
      </c>
      <c r="DB85">
        <v>0</v>
      </c>
    </row>
    <row r="86" spans="1:106" x14ac:dyDescent="0.2">
      <c r="A86">
        <f>ROW(Source!A57)</f>
        <v>57</v>
      </c>
      <c r="B86">
        <v>16501255</v>
      </c>
      <c r="C86">
        <v>16672484</v>
      </c>
      <c r="D86">
        <v>15430767</v>
      </c>
      <c r="E86">
        <v>1</v>
      </c>
      <c r="F86">
        <v>1</v>
      </c>
      <c r="G86">
        <v>1</v>
      </c>
      <c r="H86">
        <v>1</v>
      </c>
      <c r="I86" t="s">
        <v>259</v>
      </c>
      <c r="J86" t="s">
        <v>4</v>
      </c>
      <c r="K86" t="s">
        <v>260</v>
      </c>
      <c r="L86">
        <v>1191</v>
      </c>
      <c r="N86">
        <v>1013</v>
      </c>
      <c r="O86" t="s">
        <v>252</v>
      </c>
      <c r="P86" t="s">
        <v>252</v>
      </c>
      <c r="Q86">
        <v>1</v>
      </c>
      <c r="W86">
        <v>0</v>
      </c>
      <c r="X86">
        <v>-400197608</v>
      </c>
      <c r="Y86">
        <v>37.363500000000002</v>
      </c>
      <c r="AA86">
        <v>0</v>
      </c>
      <c r="AB86">
        <v>0</v>
      </c>
      <c r="AC86">
        <v>0</v>
      </c>
      <c r="AD86">
        <v>51.86</v>
      </c>
      <c r="AE86">
        <v>0</v>
      </c>
      <c r="AF86">
        <v>0</v>
      </c>
      <c r="AG86">
        <v>0</v>
      </c>
      <c r="AH86">
        <v>8.5299999999999994</v>
      </c>
      <c r="AI86">
        <v>1</v>
      </c>
      <c r="AJ86">
        <v>1</v>
      </c>
      <c r="AK86">
        <v>1</v>
      </c>
      <c r="AL86">
        <v>6.08</v>
      </c>
      <c r="AN86">
        <v>0</v>
      </c>
      <c r="AO86">
        <v>1</v>
      </c>
      <c r="AP86">
        <v>1</v>
      </c>
      <c r="AQ86">
        <v>0</v>
      </c>
      <c r="AR86">
        <v>0</v>
      </c>
      <c r="AS86" t="s">
        <v>4</v>
      </c>
      <c r="AT86">
        <v>32.49</v>
      </c>
      <c r="AU86" t="s">
        <v>30</v>
      </c>
      <c r="AV86">
        <v>1</v>
      </c>
      <c r="AW86">
        <v>2</v>
      </c>
      <c r="AX86">
        <v>16672485</v>
      </c>
      <c r="AY86">
        <v>1</v>
      </c>
      <c r="AZ86">
        <v>0</v>
      </c>
      <c r="BA86">
        <v>87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CX86">
        <f>Y86*Source!I57</f>
        <v>29.218257000000001</v>
      </c>
      <c r="CY86">
        <f>AD86</f>
        <v>51.86</v>
      </c>
      <c r="CZ86">
        <f>AH86</f>
        <v>8.5299999999999994</v>
      </c>
      <c r="DA86">
        <f>AL86</f>
        <v>6.08</v>
      </c>
      <c r="DB86">
        <v>0</v>
      </c>
    </row>
    <row r="87" spans="1:106" x14ac:dyDescent="0.2">
      <c r="A87">
        <f>ROW(Source!A57)</f>
        <v>57</v>
      </c>
      <c r="B87">
        <v>16501255</v>
      </c>
      <c r="C87">
        <v>16672484</v>
      </c>
      <c r="D87">
        <v>15430395</v>
      </c>
      <c r="E87">
        <v>1</v>
      </c>
      <c r="F87">
        <v>1</v>
      </c>
      <c r="G87">
        <v>1</v>
      </c>
      <c r="H87">
        <v>1</v>
      </c>
      <c r="I87" t="s">
        <v>253</v>
      </c>
      <c r="J87" t="s">
        <v>4</v>
      </c>
      <c r="K87" t="s">
        <v>254</v>
      </c>
      <c r="L87">
        <v>1191</v>
      </c>
      <c r="N87">
        <v>1013</v>
      </c>
      <c r="O87" t="s">
        <v>252</v>
      </c>
      <c r="P87" t="s">
        <v>252</v>
      </c>
      <c r="Q87">
        <v>1</v>
      </c>
      <c r="W87">
        <v>0</v>
      </c>
      <c r="X87">
        <v>-1417349443</v>
      </c>
      <c r="Y87">
        <v>0.93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1</v>
      </c>
      <c r="AJ87">
        <v>1</v>
      </c>
      <c r="AK87">
        <v>6.08</v>
      </c>
      <c r="AL87">
        <v>1</v>
      </c>
      <c r="AN87">
        <v>0</v>
      </c>
      <c r="AO87">
        <v>1</v>
      </c>
      <c r="AP87">
        <v>0</v>
      </c>
      <c r="AQ87">
        <v>0</v>
      </c>
      <c r="AR87">
        <v>0</v>
      </c>
      <c r="AS87" t="s">
        <v>4</v>
      </c>
      <c r="AT87">
        <v>0.93</v>
      </c>
      <c r="AU87" t="s">
        <v>4</v>
      </c>
      <c r="AV87">
        <v>2</v>
      </c>
      <c r="AW87">
        <v>2</v>
      </c>
      <c r="AX87">
        <v>16672486</v>
      </c>
      <c r="AY87">
        <v>1</v>
      </c>
      <c r="AZ87">
        <v>2048</v>
      </c>
      <c r="BA87">
        <v>88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CX87">
        <f>Y87*Source!I57</f>
        <v>0.72726000000000002</v>
      </c>
      <c r="CY87">
        <f>AD87</f>
        <v>0</v>
      </c>
      <c r="CZ87">
        <f>AH87</f>
        <v>0</v>
      </c>
      <c r="DA87">
        <f>AL87</f>
        <v>1</v>
      </c>
      <c r="DB87">
        <v>0</v>
      </c>
    </row>
    <row r="88" spans="1:106" x14ac:dyDescent="0.2">
      <c r="A88">
        <f>ROW(Source!A57)</f>
        <v>57</v>
      </c>
      <c r="B88">
        <v>16501255</v>
      </c>
      <c r="C88">
        <v>16672484</v>
      </c>
      <c r="D88">
        <v>15247905</v>
      </c>
      <c r="E88">
        <v>1</v>
      </c>
      <c r="F88">
        <v>1</v>
      </c>
      <c r="G88">
        <v>1</v>
      </c>
      <c r="H88">
        <v>2</v>
      </c>
      <c r="I88" t="s">
        <v>292</v>
      </c>
      <c r="J88" t="s">
        <v>293</v>
      </c>
      <c r="K88" t="s">
        <v>294</v>
      </c>
      <c r="L88">
        <v>1368</v>
      </c>
      <c r="N88">
        <v>1011</v>
      </c>
      <c r="O88" t="s">
        <v>258</v>
      </c>
      <c r="P88" t="s">
        <v>258</v>
      </c>
      <c r="Q88">
        <v>1</v>
      </c>
      <c r="W88">
        <v>0</v>
      </c>
      <c r="X88">
        <v>1225731627</v>
      </c>
      <c r="Y88">
        <v>2.5000000000000001E-2</v>
      </c>
      <c r="AA88">
        <v>0</v>
      </c>
      <c r="AB88">
        <v>547.14</v>
      </c>
      <c r="AC88">
        <v>10.06</v>
      </c>
      <c r="AD88">
        <v>0</v>
      </c>
      <c r="AE88">
        <v>0</v>
      </c>
      <c r="AF88">
        <v>89.99</v>
      </c>
      <c r="AG88">
        <v>10.06</v>
      </c>
      <c r="AH88">
        <v>0</v>
      </c>
      <c r="AI88">
        <v>1</v>
      </c>
      <c r="AJ88">
        <v>6.08</v>
      </c>
      <c r="AK88">
        <v>1</v>
      </c>
      <c r="AL88">
        <v>1</v>
      </c>
      <c r="AN88">
        <v>0</v>
      </c>
      <c r="AO88">
        <v>1</v>
      </c>
      <c r="AP88">
        <v>1</v>
      </c>
      <c r="AQ88">
        <v>0</v>
      </c>
      <c r="AR88">
        <v>0</v>
      </c>
      <c r="AS88" t="s">
        <v>4</v>
      </c>
      <c r="AT88">
        <v>0.02</v>
      </c>
      <c r="AU88" t="s">
        <v>29</v>
      </c>
      <c r="AV88">
        <v>0</v>
      </c>
      <c r="AW88">
        <v>2</v>
      </c>
      <c r="AX88">
        <v>16672487</v>
      </c>
      <c r="AY88">
        <v>1</v>
      </c>
      <c r="AZ88">
        <v>0</v>
      </c>
      <c r="BA88">
        <v>89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CX88">
        <f>Y88*Source!I57</f>
        <v>1.9550000000000001E-2</v>
      </c>
      <c r="CY88">
        <f>AB88</f>
        <v>547.14</v>
      </c>
      <c r="CZ88">
        <f>AF88</f>
        <v>89.99</v>
      </c>
      <c r="DA88">
        <f>AJ88</f>
        <v>6.08</v>
      </c>
      <c r="DB88">
        <v>0</v>
      </c>
    </row>
    <row r="89" spans="1:106" x14ac:dyDescent="0.2">
      <c r="A89">
        <f>ROW(Source!A57)</f>
        <v>57</v>
      </c>
      <c r="B89">
        <v>16501255</v>
      </c>
      <c r="C89">
        <v>16672484</v>
      </c>
      <c r="D89">
        <v>15247974</v>
      </c>
      <c r="E89">
        <v>1</v>
      </c>
      <c r="F89">
        <v>1</v>
      </c>
      <c r="G89">
        <v>1</v>
      </c>
      <c r="H89">
        <v>2</v>
      </c>
      <c r="I89" t="s">
        <v>255</v>
      </c>
      <c r="J89" t="s">
        <v>256</v>
      </c>
      <c r="K89" t="s">
        <v>257</v>
      </c>
      <c r="L89">
        <v>1368</v>
      </c>
      <c r="N89">
        <v>1011</v>
      </c>
      <c r="O89" t="s">
        <v>258</v>
      </c>
      <c r="P89" t="s">
        <v>258</v>
      </c>
      <c r="Q89">
        <v>1</v>
      </c>
      <c r="W89">
        <v>0</v>
      </c>
      <c r="X89">
        <v>1188625873</v>
      </c>
      <c r="Y89">
        <v>0.26250000000000001</v>
      </c>
      <c r="AA89">
        <v>0</v>
      </c>
      <c r="AB89">
        <v>190.06</v>
      </c>
      <c r="AC89">
        <v>13.5</v>
      </c>
      <c r="AD89">
        <v>0</v>
      </c>
      <c r="AE89">
        <v>0</v>
      </c>
      <c r="AF89">
        <v>31.26</v>
      </c>
      <c r="AG89">
        <v>13.5</v>
      </c>
      <c r="AH89">
        <v>0</v>
      </c>
      <c r="AI89">
        <v>1</v>
      </c>
      <c r="AJ89">
        <v>6.08</v>
      </c>
      <c r="AK89">
        <v>1</v>
      </c>
      <c r="AL89">
        <v>1</v>
      </c>
      <c r="AN89">
        <v>0</v>
      </c>
      <c r="AO89">
        <v>1</v>
      </c>
      <c r="AP89">
        <v>1</v>
      </c>
      <c r="AQ89">
        <v>0</v>
      </c>
      <c r="AR89">
        <v>0</v>
      </c>
      <c r="AS89" t="s">
        <v>4</v>
      </c>
      <c r="AT89">
        <v>0.21</v>
      </c>
      <c r="AU89" t="s">
        <v>29</v>
      </c>
      <c r="AV89">
        <v>0</v>
      </c>
      <c r="AW89">
        <v>2</v>
      </c>
      <c r="AX89">
        <v>16672488</v>
      </c>
      <c r="AY89">
        <v>1</v>
      </c>
      <c r="AZ89">
        <v>0</v>
      </c>
      <c r="BA89">
        <v>90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CX89">
        <f>Y89*Source!I57</f>
        <v>0.20527500000000001</v>
      </c>
      <c r="CY89">
        <f>AB89</f>
        <v>190.06</v>
      </c>
      <c r="CZ89">
        <f>AF89</f>
        <v>31.26</v>
      </c>
      <c r="DA89">
        <f>AJ89</f>
        <v>6.08</v>
      </c>
      <c r="DB89">
        <v>0</v>
      </c>
    </row>
    <row r="90" spans="1:106" x14ac:dyDescent="0.2">
      <c r="A90">
        <f>ROW(Source!A57)</f>
        <v>57</v>
      </c>
      <c r="B90">
        <v>16501255</v>
      </c>
      <c r="C90">
        <v>16672484</v>
      </c>
      <c r="D90">
        <v>15248143</v>
      </c>
      <c r="E90">
        <v>1</v>
      </c>
      <c r="F90">
        <v>1</v>
      </c>
      <c r="G90">
        <v>1</v>
      </c>
      <c r="H90">
        <v>2</v>
      </c>
      <c r="I90" t="s">
        <v>295</v>
      </c>
      <c r="J90" t="s">
        <v>296</v>
      </c>
      <c r="K90" t="s">
        <v>297</v>
      </c>
      <c r="L90">
        <v>1368</v>
      </c>
      <c r="N90">
        <v>1011</v>
      </c>
      <c r="O90" t="s">
        <v>258</v>
      </c>
      <c r="P90" t="s">
        <v>258</v>
      </c>
      <c r="Q90">
        <v>1</v>
      </c>
      <c r="W90">
        <v>0</v>
      </c>
      <c r="X90">
        <v>983187852</v>
      </c>
      <c r="Y90">
        <v>0.875</v>
      </c>
      <c r="AA90">
        <v>0</v>
      </c>
      <c r="AB90">
        <v>75.33</v>
      </c>
      <c r="AC90">
        <v>10.06</v>
      </c>
      <c r="AD90">
        <v>0</v>
      </c>
      <c r="AE90">
        <v>0</v>
      </c>
      <c r="AF90">
        <v>12.39</v>
      </c>
      <c r="AG90">
        <v>10.06</v>
      </c>
      <c r="AH90">
        <v>0</v>
      </c>
      <c r="AI90">
        <v>1</v>
      </c>
      <c r="AJ90">
        <v>6.08</v>
      </c>
      <c r="AK90">
        <v>1</v>
      </c>
      <c r="AL90">
        <v>1</v>
      </c>
      <c r="AN90">
        <v>0</v>
      </c>
      <c r="AO90">
        <v>1</v>
      </c>
      <c r="AP90">
        <v>1</v>
      </c>
      <c r="AQ90">
        <v>0</v>
      </c>
      <c r="AR90">
        <v>0</v>
      </c>
      <c r="AS90" t="s">
        <v>4</v>
      </c>
      <c r="AT90">
        <v>0.7</v>
      </c>
      <c r="AU90" t="s">
        <v>29</v>
      </c>
      <c r="AV90">
        <v>0</v>
      </c>
      <c r="AW90">
        <v>2</v>
      </c>
      <c r="AX90">
        <v>16672489</v>
      </c>
      <c r="AY90">
        <v>1</v>
      </c>
      <c r="AZ90">
        <v>0</v>
      </c>
      <c r="BA90">
        <v>91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CX90">
        <f>Y90*Source!I57</f>
        <v>0.68425000000000002</v>
      </c>
      <c r="CY90">
        <f>AB90</f>
        <v>75.33</v>
      </c>
      <c r="CZ90">
        <f>AF90</f>
        <v>12.39</v>
      </c>
      <c r="DA90">
        <f>AJ90</f>
        <v>6.08</v>
      </c>
      <c r="DB90">
        <v>0</v>
      </c>
    </row>
    <row r="91" spans="1:106" x14ac:dyDescent="0.2">
      <c r="A91">
        <f>ROW(Source!A57)</f>
        <v>57</v>
      </c>
      <c r="B91">
        <v>16501255</v>
      </c>
      <c r="C91">
        <v>16672484</v>
      </c>
      <c r="D91">
        <v>15167286</v>
      </c>
      <c r="E91">
        <v>1</v>
      </c>
      <c r="F91">
        <v>1</v>
      </c>
      <c r="G91">
        <v>1</v>
      </c>
      <c r="H91">
        <v>3</v>
      </c>
      <c r="I91" t="s">
        <v>267</v>
      </c>
      <c r="J91" t="s">
        <v>268</v>
      </c>
      <c r="K91" t="s">
        <v>269</v>
      </c>
      <c r="L91">
        <v>1339</v>
      </c>
      <c r="N91">
        <v>1007</v>
      </c>
      <c r="O91" t="s">
        <v>270</v>
      </c>
      <c r="P91" t="s">
        <v>270</v>
      </c>
      <c r="Q91">
        <v>1</v>
      </c>
      <c r="W91">
        <v>0</v>
      </c>
      <c r="X91">
        <v>-1660354250</v>
      </c>
      <c r="Y91">
        <v>0.51</v>
      </c>
      <c r="AA91">
        <v>14.84</v>
      </c>
      <c r="AB91">
        <v>0</v>
      </c>
      <c r="AC91">
        <v>0</v>
      </c>
      <c r="AD91">
        <v>0</v>
      </c>
      <c r="AE91">
        <v>2.44</v>
      </c>
      <c r="AF91">
        <v>0</v>
      </c>
      <c r="AG91">
        <v>0</v>
      </c>
      <c r="AH91">
        <v>0</v>
      </c>
      <c r="AI91">
        <v>6.08</v>
      </c>
      <c r="AJ91">
        <v>1</v>
      </c>
      <c r="AK91">
        <v>1</v>
      </c>
      <c r="AL91">
        <v>1</v>
      </c>
      <c r="AN91">
        <v>0</v>
      </c>
      <c r="AO91">
        <v>1</v>
      </c>
      <c r="AP91">
        <v>0</v>
      </c>
      <c r="AQ91">
        <v>0</v>
      </c>
      <c r="AR91">
        <v>0</v>
      </c>
      <c r="AS91" t="s">
        <v>4</v>
      </c>
      <c r="AT91">
        <v>0.51</v>
      </c>
      <c r="AU91" t="s">
        <v>4</v>
      </c>
      <c r="AV91">
        <v>0</v>
      </c>
      <c r="AW91">
        <v>2</v>
      </c>
      <c r="AX91">
        <v>16672490</v>
      </c>
      <c r="AY91">
        <v>1</v>
      </c>
      <c r="AZ91">
        <v>0</v>
      </c>
      <c r="BA91">
        <v>92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CX91">
        <f>Y91*Source!I57</f>
        <v>0.39882000000000001</v>
      </c>
      <c r="CY91">
        <f>AA91</f>
        <v>14.84</v>
      </c>
      <c r="CZ91">
        <f>AE91</f>
        <v>2.44</v>
      </c>
      <c r="DA91">
        <f>AI91</f>
        <v>6.08</v>
      </c>
      <c r="DB91">
        <v>0</v>
      </c>
    </row>
    <row r="92" spans="1:106" x14ac:dyDescent="0.2">
      <c r="A92">
        <f>ROW(Source!A57)</f>
        <v>57</v>
      </c>
      <c r="B92">
        <v>16501255</v>
      </c>
      <c r="C92">
        <v>16672484</v>
      </c>
      <c r="D92">
        <v>15163028</v>
      </c>
      <c r="E92">
        <v>17</v>
      </c>
      <c r="F92">
        <v>1</v>
      </c>
      <c r="G92">
        <v>1</v>
      </c>
      <c r="H92">
        <v>3</v>
      </c>
      <c r="I92" t="s">
        <v>103</v>
      </c>
      <c r="J92" t="s">
        <v>4</v>
      </c>
      <c r="K92" t="s">
        <v>104</v>
      </c>
      <c r="L92">
        <v>1348</v>
      </c>
      <c r="N92">
        <v>1009</v>
      </c>
      <c r="O92" t="s">
        <v>58</v>
      </c>
      <c r="P92" t="s">
        <v>58</v>
      </c>
      <c r="Q92">
        <v>1000</v>
      </c>
      <c r="W92">
        <v>0</v>
      </c>
      <c r="X92">
        <v>1880203204</v>
      </c>
      <c r="Y92">
        <v>0.85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6.08</v>
      </c>
      <c r="AJ92">
        <v>1</v>
      </c>
      <c r="AK92">
        <v>1</v>
      </c>
      <c r="AL92">
        <v>1</v>
      </c>
      <c r="AN92">
        <v>0</v>
      </c>
      <c r="AO92">
        <v>0</v>
      </c>
      <c r="AP92">
        <v>0</v>
      </c>
      <c r="AQ92">
        <v>0</v>
      </c>
      <c r="AR92">
        <v>0</v>
      </c>
      <c r="AS92" t="s">
        <v>4</v>
      </c>
      <c r="AT92">
        <v>0.85</v>
      </c>
      <c r="AU92" t="s">
        <v>4</v>
      </c>
      <c r="AV92">
        <v>0</v>
      </c>
      <c r="AW92">
        <v>2</v>
      </c>
      <c r="AX92">
        <v>16672491</v>
      </c>
      <c r="AY92">
        <v>1</v>
      </c>
      <c r="AZ92">
        <v>0</v>
      </c>
      <c r="BA92">
        <v>93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CX92">
        <f>Y92*Source!I57</f>
        <v>0.66469999999999996</v>
      </c>
      <c r="CY92">
        <f>AA92</f>
        <v>0</v>
      </c>
      <c r="CZ92">
        <f>AE92</f>
        <v>0</v>
      </c>
      <c r="DA92">
        <f>AI92</f>
        <v>6.08</v>
      </c>
      <c r="DB92">
        <v>0</v>
      </c>
    </row>
    <row r="93" spans="1:106" x14ac:dyDescent="0.2">
      <c r="A93">
        <f>ROW(Source!A57)</f>
        <v>57</v>
      </c>
      <c r="B93">
        <v>16501255</v>
      </c>
      <c r="C93">
        <v>16672484</v>
      </c>
      <c r="D93">
        <v>15173298</v>
      </c>
      <c r="E93">
        <v>1</v>
      </c>
      <c r="F93">
        <v>1</v>
      </c>
      <c r="G93">
        <v>1</v>
      </c>
      <c r="H93">
        <v>3</v>
      </c>
      <c r="I93" t="s">
        <v>106</v>
      </c>
      <c r="J93" t="s">
        <v>108</v>
      </c>
      <c r="K93" t="s">
        <v>107</v>
      </c>
      <c r="L93">
        <v>1348</v>
      </c>
      <c r="N93">
        <v>1009</v>
      </c>
      <c r="O93" t="s">
        <v>58</v>
      </c>
      <c r="P93" t="s">
        <v>58</v>
      </c>
      <c r="Q93">
        <v>1000</v>
      </c>
      <c r="W93">
        <v>0</v>
      </c>
      <c r="X93">
        <v>-791558573</v>
      </c>
      <c r="Y93">
        <v>0.85</v>
      </c>
      <c r="AA93">
        <v>5662.73</v>
      </c>
      <c r="AB93">
        <v>0</v>
      </c>
      <c r="AC93">
        <v>0</v>
      </c>
      <c r="AD93">
        <v>0</v>
      </c>
      <c r="AE93">
        <v>931.37</v>
      </c>
      <c r="AF93">
        <v>0</v>
      </c>
      <c r="AG93">
        <v>0</v>
      </c>
      <c r="AH93">
        <v>0</v>
      </c>
      <c r="AI93">
        <v>6.08</v>
      </c>
      <c r="AJ93">
        <v>1</v>
      </c>
      <c r="AK93">
        <v>1</v>
      </c>
      <c r="AL93">
        <v>1</v>
      </c>
      <c r="AN93">
        <v>0</v>
      </c>
      <c r="AO93">
        <v>0</v>
      </c>
      <c r="AP93">
        <v>0</v>
      </c>
      <c r="AQ93">
        <v>0</v>
      </c>
      <c r="AR93">
        <v>0</v>
      </c>
      <c r="AS93" t="s">
        <v>4</v>
      </c>
      <c r="AT93">
        <v>0.85</v>
      </c>
      <c r="AU93" t="s">
        <v>4</v>
      </c>
      <c r="AV93">
        <v>0</v>
      </c>
      <c r="AW93">
        <v>1</v>
      </c>
      <c r="AX93">
        <v>-1</v>
      </c>
      <c r="AY93">
        <v>0</v>
      </c>
      <c r="AZ93">
        <v>0</v>
      </c>
      <c r="BA93" t="s">
        <v>4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CX93">
        <f>Y93*Source!I57</f>
        <v>0.66469999999999996</v>
      </c>
      <c r="CY93">
        <f>AA93</f>
        <v>5662.73</v>
      </c>
      <c r="CZ93">
        <f>AE93</f>
        <v>931.37</v>
      </c>
      <c r="DA93">
        <f>AI93</f>
        <v>6.08</v>
      </c>
      <c r="DB93">
        <v>0</v>
      </c>
    </row>
    <row r="94" spans="1:106" x14ac:dyDescent="0.2">
      <c r="A94">
        <f>ROW(Source!A57)</f>
        <v>57</v>
      </c>
      <c r="B94">
        <v>16501255</v>
      </c>
      <c r="C94">
        <v>16672484</v>
      </c>
      <c r="D94">
        <v>15203233</v>
      </c>
      <c r="E94">
        <v>1</v>
      </c>
      <c r="F94">
        <v>1</v>
      </c>
      <c r="G94">
        <v>1</v>
      </c>
      <c r="H94">
        <v>3</v>
      </c>
      <c r="I94" t="s">
        <v>110</v>
      </c>
      <c r="J94" t="s">
        <v>112</v>
      </c>
      <c r="K94" t="s">
        <v>111</v>
      </c>
      <c r="L94">
        <v>1348</v>
      </c>
      <c r="N94">
        <v>1009</v>
      </c>
      <c r="O94" t="s">
        <v>58</v>
      </c>
      <c r="P94" t="s">
        <v>58</v>
      </c>
      <c r="Q94">
        <v>1000</v>
      </c>
      <c r="W94">
        <v>0</v>
      </c>
      <c r="X94">
        <v>-1919714308</v>
      </c>
      <c r="Y94">
        <v>1.9949000000000001E-2</v>
      </c>
      <c r="AA94">
        <v>111812.17</v>
      </c>
      <c r="AB94">
        <v>0</v>
      </c>
      <c r="AC94">
        <v>0</v>
      </c>
      <c r="AD94">
        <v>0</v>
      </c>
      <c r="AE94">
        <v>18390.16</v>
      </c>
      <c r="AF94">
        <v>0</v>
      </c>
      <c r="AG94">
        <v>0</v>
      </c>
      <c r="AH94">
        <v>0</v>
      </c>
      <c r="AI94">
        <v>6.08</v>
      </c>
      <c r="AJ94">
        <v>1</v>
      </c>
      <c r="AK94">
        <v>1</v>
      </c>
      <c r="AL94">
        <v>1</v>
      </c>
      <c r="AN94">
        <v>0</v>
      </c>
      <c r="AO94">
        <v>0</v>
      </c>
      <c r="AP94">
        <v>0</v>
      </c>
      <c r="AQ94">
        <v>0</v>
      </c>
      <c r="AR94">
        <v>0</v>
      </c>
      <c r="AS94" t="s">
        <v>4</v>
      </c>
      <c r="AT94">
        <v>1.9949000000000001E-2</v>
      </c>
      <c r="AU94" t="s">
        <v>4</v>
      </c>
      <c r="AV94">
        <v>0</v>
      </c>
      <c r="AW94">
        <v>1</v>
      </c>
      <c r="AX94">
        <v>-1</v>
      </c>
      <c r="AY94">
        <v>0</v>
      </c>
      <c r="AZ94">
        <v>0</v>
      </c>
      <c r="BA94" t="s">
        <v>4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CX94">
        <f>Y94*Source!I57</f>
        <v>1.5600118000000001E-2</v>
      </c>
      <c r="CY94">
        <f>AA94</f>
        <v>111812.17</v>
      </c>
      <c r="CZ94">
        <f>AE94</f>
        <v>18390.16</v>
      </c>
      <c r="DA94">
        <f>AI94</f>
        <v>6.08</v>
      </c>
      <c r="DB94">
        <v>0</v>
      </c>
    </row>
    <row r="95" spans="1:106" x14ac:dyDescent="0.2">
      <c r="A95">
        <f>ROW(Source!A64)</f>
        <v>64</v>
      </c>
      <c r="B95">
        <v>16501254</v>
      </c>
      <c r="C95">
        <v>16501427</v>
      </c>
      <c r="D95">
        <v>15436014</v>
      </c>
      <c r="E95">
        <v>1</v>
      </c>
      <c r="F95">
        <v>1</v>
      </c>
      <c r="G95">
        <v>1</v>
      </c>
      <c r="H95">
        <v>1</v>
      </c>
      <c r="I95" t="s">
        <v>298</v>
      </c>
      <c r="J95" t="s">
        <v>4</v>
      </c>
      <c r="K95" t="s">
        <v>299</v>
      </c>
      <c r="L95">
        <v>1191</v>
      </c>
      <c r="N95">
        <v>1013</v>
      </c>
      <c r="O95" t="s">
        <v>252</v>
      </c>
      <c r="P95" t="s">
        <v>252</v>
      </c>
      <c r="Q95">
        <v>1</v>
      </c>
      <c r="W95">
        <v>0</v>
      </c>
      <c r="X95">
        <v>-784637506</v>
      </c>
      <c r="Y95">
        <v>50.094000000000001</v>
      </c>
      <c r="AA95">
        <v>0</v>
      </c>
      <c r="AB95">
        <v>0</v>
      </c>
      <c r="AC95">
        <v>0</v>
      </c>
      <c r="AD95">
        <v>8.74</v>
      </c>
      <c r="AE95">
        <v>0</v>
      </c>
      <c r="AF95">
        <v>0</v>
      </c>
      <c r="AG95">
        <v>0</v>
      </c>
      <c r="AH95">
        <v>8.74</v>
      </c>
      <c r="AI95">
        <v>1</v>
      </c>
      <c r="AJ95">
        <v>1</v>
      </c>
      <c r="AK95">
        <v>1</v>
      </c>
      <c r="AL95">
        <v>1</v>
      </c>
      <c r="AN95">
        <v>0</v>
      </c>
      <c r="AO95">
        <v>1</v>
      </c>
      <c r="AP95">
        <v>1</v>
      </c>
      <c r="AQ95">
        <v>0</v>
      </c>
      <c r="AR95">
        <v>0</v>
      </c>
      <c r="AS95" t="s">
        <v>4</v>
      </c>
      <c r="AT95">
        <v>43.56</v>
      </c>
      <c r="AU95" t="s">
        <v>30</v>
      </c>
      <c r="AV95">
        <v>1</v>
      </c>
      <c r="AW95">
        <v>2</v>
      </c>
      <c r="AX95">
        <v>16501437</v>
      </c>
      <c r="AY95">
        <v>1</v>
      </c>
      <c r="AZ95">
        <v>0</v>
      </c>
      <c r="BA95">
        <v>95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CX95">
        <f>Y95*Source!I64</f>
        <v>39.173508000000005</v>
      </c>
      <c r="CY95">
        <f>AD95</f>
        <v>8.74</v>
      </c>
      <c r="CZ95">
        <f>AH95</f>
        <v>8.74</v>
      </c>
      <c r="DA95">
        <f>AL95</f>
        <v>1</v>
      </c>
      <c r="DB95">
        <v>0</v>
      </c>
    </row>
    <row r="96" spans="1:106" x14ac:dyDescent="0.2">
      <c r="A96">
        <f>ROW(Source!A64)</f>
        <v>64</v>
      </c>
      <c r="B96">
        <v>16501254</v>
      </c>
      <c r="C96">
        <v>16501427</v>
      </c>
      <c r="D96">
        <v>15430395</v>
      </c>
      <c r="E96">
        <v>1</v>
      </c>
      <c r="F96">
        <v>1</v>
      </c>
      <c r="G96">
        <v>1</v>
      </c>
      <c r="H96">
        <v>1</v>
      </c>
      <c r="I96" t="s">
        <v>253</v>
      </c>
      <c r="J96" t="s">
        <v>4</v>
      </c>
      <c r="K96" t="s">
        <v>254</v>
      </c>
      <c r="L96">
        <v>1191</v>
      </c>
      <c r="N96">
        <v>1013</v>
      </c>
      <c r="O96" t="s">
        <v>252</v>
      </c>
      <c r="P96" t="s">
        <v>252</v>
      </c>
      <c r="Q96">
        <v>1</v>
      </c>
      <c r="W96">
        <v>0</v>
      </c>
      <c r="X96">
        <v>-1417349443</v>
      </c>
      <c r="Y96">
        <v>0.17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1</v>
      </c>
      <c r="AJ96">
        <v>1</v>
      </c>
      <c r="AK96">
        <v>1</v>
      </c>
      <c r="AL96">
        <v>1</v>
      </c>
      <c r="AN96">
        <v>0</v>
      </c>
      <c r="AO96">
        <v>1</v>
      </c>
      <c r="AP96">
        <v>0</v>
      </c>
      <c r="AQ96">
        <v>0</v>
      </c>
      <c r="AR96">
        <v>0</v>
      </c>
      <c r="AS96" t="s">
        <v>4</v>
      </c>
      <c r="AT96">
        <v>0.17</v>
      </c>
      <c r="AU96" t="s">
        <v>4</v>
      </c>
      <c r="AV96">
        <v>2</v>
      </c>
      <c r="AW96">
        <v>2</v>
      </c>
      <c r="AX96">
        <v>16501438</v>
      </c>
      <c r="AY96">
        <v>1</v>
      </c>
      <c r="AZ96">
        <v>2048</v>
      </c>
      <c r="BA96">
        <v>96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CX96">
        <f>Y96*Source!I64</f>
        <v>0.13294</v>
      </c>
      <c r="CY96">
        <f>AD96</f>
        <v>0</v>
      </c>
      <c r="CZ96">
        <f>AH96</f>
        <v>0</v>
      </c>
      <c r="DA96">
        <f>AL96</f>
        <v>1</v>
      </c>
      <c r="DB96">
        <v>0</v>
      </c>
    </row>
    <row r="97" spans="1:106" x14ac:dyDescent="0.2">
      <c r="A97">
        <f>ROW(Source!A64)</f>
        <v>64</v>
      </c>
      <c r="B97">
        <v>16501254</v>
      </c>
      <c r="C97">
        <v>16501427</v>
      </c>
      <c r="D97">
        <v>15247970</v>
      </c>
      <c r="E97">
        <v>1</v>
      </c>
      <c r="F97">
        <v>1</v>
      </c>
      <c r="G97">
        <v>1</v>
      </c>
      <c r="H97">
        <v>2</v>
      </c>
      <c r="I97" t="s">
        <v>261</v>
      </c>
      <c r="J97" t="s">
        <v>262</v>
      </c>
      <c r="K97" t="s">
        <v>263</v>
      </c>
      <c r="L97">
        <v>1368</v>
      </c>
      <c r="N97">
        <v>1011</v>
      </c>
      <c r="O97" t="s">
        <v>258</v>
      </c>
      <c r="P97" t="s">
        <v>258</v>
      </c>
      <c r="Q97">
        <v>1</v>
      </c>
      <c r="W97">
        <v>0</v>
      </c>
      <c r="X97">
        <v>368031958</v>
      </c>
      <c r="Y97">
        <v>2.5000000000000001E-2</v>
      </c>
      <c r="AA97">
        <v>0</v>
      </c>
      <c r="AB97">
        <v>27.66</v>
      </c>
      <c r="AC97">
        <v>11.6</v>
      </c>
      <c r="AD97">
        <v>0</v>
      </c>
      <c r="AE97">
        <v>0</v>
      </c>
      <c r="AF97">
        <v>27.66</v>
      </c>
      <c r="AG97">
        <v>11.6</v>
      </c>
      <c r="AH97">
        <v>0</v>
      </c>
      <c r="AI97">
        <v>1</v>
      </c>
      <c r="AJ97">
        <v>1</v>
      </c>
      <c r="AK97">
        <v>1</v>
      </c>
      <c r="AL97">
        <v>1</v>
      </c>
      <c r="AN97">
        <v>0</v>
      </c>
      <c r="AO97">
        <v>1</v>
      </c>
      <c r="AP97">
        <v>1</v>
      </c>
      <c r="AQ97">
        <v>0</v>
      </c>
      <c r="AR97">
        <v>0</v>
      </c>
      <c r="AS97" t="s">
        <v>4</v>
      </c>
      <c r="AT97">
        <v>0.02</v>
      </c>
      <c r="AU97" t="s">
        <v>29</v>
      </c>
      <c r="AV97">
        <v>0</v>
      </c>
      <c r="AW97">
        <v>2</v>
      </c>
      <c r="AX97">
        <v>16501439</v>
      </c>
      <c r="AY97">
        <v>1</v>
      </c>
      <c r="AZ97">
        <v>0</v>
      </c>
      <c r="BA97">
        <v>97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CX97">
        <f>Y97*Source!I64</f>
        <v>1.9550000000000001E-2</v>
      </c>
      <c r="CY97">
        <f>AB97</f>
        <v>27.66</v>
      </c>
      <c r="CZ97">
        <f>AF97</f>
        <v>27.66</v>
      </c>
      <c r="DA97">
        <f>AJ97</f>
        <v>1</v>
      </c>
      <c r="DB97">
        <v>0</v>
      </c>
    </row>
    <row r="98" spans="1:106" x14ac:dyDescent="0.2">
      <c r="A98">
        <f>ROW(Source!A64)</f>
        <v>64</v>
      </c>
      <c r="B98">
        <v>16501254</v>
      </c>
      <c r="C98">
        <v>16501427</v>
      </c>
      <c r="D98">
        <v>15249073</v>
      </c>
      <c r="E98">
        <v>1</v>
      </c>
      <c r="F98">
        <v>1</v>
      </c>
      <c r="G98">
        <v>1</v>
      </c>
      <c r="H98">
        <v>2</v>
      </c>
      <c r="I98" t="s">
        <v>264</v>
      </c>
      <c r="J98" t="s">
        <v>265</v>
      </c>
      <c r="K98" t="s">
        <v>266</v>
      </c>
      <c r="L98">
        <v>1368</v>
      </c>
      <c r="N98">
        <v>1011</v>
      </c>
      <c r="O98" t="s">
        <v>258</v>
      </c>
      <c r="P98" t="s">
        <v>258</v>
      </c>
      <c r="Q98">
        <v>1</v>
      </c>
      <c r="W98">
        <v>0</v>
      </c>
      <c r="X98">
        <v>1372534845</v>
      </c>
      <c r="Y98">
        <v>0.1875</v>
      </c>
      <c r="AA98">
        <v>0</v>
      </c>
      <c r="AB98">
        <v>65.709999999999994</v>
      </c>
      <c r="AC98">
        <v>11.6</v>
      </c>
      <c r="AD98">
        <v>0</v>
      </c>
      <c r="AE98">
        <v>0</v>
      </c>
      <c r="AF98">
        <v>65.709999999999994</v>
      </c>
      <c r="AG98">
        <v>11.6</v>
      </c>
      <c r="AH98">
        <v>0</v>
      </c>
      <c r="AI98">
        <v>1</v>
      </c>
      <c r="AJ98">
        <v>1</v>
      </c>
      <c r="AK98">
        <v>1</v>
      </c>
      <c r="AL98">
        <v>1</v>
      </c>
      <c r="AN98">
        <v>0</v>
      </c>
      <c r="AO98">
        <v>1</v>
      </c>
      <c r="AP98">
        <v>1</v>
      </c>
      <c r="AQ98">
        <v>0</v>
      </c>
      <c r="AR98">
        <v>0</v>
      </c>
      <c r="AS98" t="s">
        <v>4</v>
      </c>
      <c r="AT98">
        <v>0.15</v>
      </c>
      <c r="AU98" t="s">
        <v>29</v>
      </c>
      <c r="AV98">
        <v>0</v>
      </c>
      <c r="AW98">
        <v>2</v>
      </c>
      <c r="AX98">
        <v>16501440</v>
      </c>
      <c r="AY98">
        <v>1</v>
      </c>
      <c r="AZ98">
        <v>0</v>
      </c>
      <c r="BA98">
        <v>98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CX98">
        <f>Y98*Source!I64</f>
        <v>0.14662500000000001</v>
      </c>
      <c r="CY98">
        <f>AB98</f>
        <v>65.709999999999994</v>
      </c>
      <c r="CZ98">
        <f>AF98</f>
        <v>65.709999999999994</v>
      </c>
      <c r="DA98">
        <f>AJ98</f>
        <v>1</v>
      </c>
      <c r="DB98">
        <v>0</v>
      </c>
    </row>
    <row r="99" spans="1:106" x14ac:dyDescent="0.2">
      <c r="A99">
        <f>ROW(Source!A64)</f>
        <v>64</v>
      </c>
      <c r="B99">
        <v>16501254</v>
      </c>
      <c r="C99">
        <v>16501427</v>
      </c>
      <c r="D99">
        <v>15170682</v>
      </c>
      <c r="E99">
        <v>1</v>
      </c>
      <c r="F99">
        <v>1</v>
      </c>
      <c r="G99">
        <v>1</v>
      </c>
      <c r="H99">
        <v>3</v>
      </c>
      <c r="I99" t="s">
        <v>300</v>
      </c>
      <c r="J99" t="s">
        <v>301</v>
      </c>
      <c r="K99" t="s">
        <v>302</v>
      </c>
      <c r="L99">
        <v>1327</v>
      </c>
      <c r="N99">
        <v>1005</v>
      </c>
      <c r="O99" t="s">
        <v>50</v>
      </c>
      <c r="P99" t="s">
        <v>50</v>
      </c>
      <c r="Q99">
        <v>1</v>
      </c>
      <c r="W99">
        <v>0</v>
      </c>
      <c r="X99">
        <v>-1987926685</v>
      </c>
      <c r="Y99">
        <v>0.84</v>
      </c>
      <c r="AA99">
        <v>72.319999999999993</v>
      </c>
      <c r="AB99">
        <v>0</v>
      </c>
      <c r="AC99">
        <v>0</v>
      </c>
      <c r="AD99">
        <v>0</v>
      </c>
      <c r="AE99">
        <v>72.319999999999993</v>
      </c>
      <c r="AF99">
        <v>0</v>
      </c>
      <c r="AG99">
        <v>0</v>
      </c>
      <c r="AH99">
        <v>0</v>
      </c>
      <c r="AI99">
        <v>1</v>
      </c>
      <c r="AJ99">
        <v>1</v>
      </c>
      <c r="AK99">
        <v>1</v>
      </c>
      <c r="AL99">
        <v>1</v>
      </c>
      <c r="AN99">
        <v>0</v>
      </c>
      <c r="AO99">
        <v>1</v>
      </c>
      <c r="AP99">
        <v>0</v>
      </c>
      <c r="AQ99">
        <v>0</v>
      </c>
      <c r="AR99">
        <v>0</v>
      </c>
      <c r="AS99" t="s">
        <v>4</v>
      </c>
      <c r="AT99">
        <v>0.84</v>
      </c>
      <c r="AU99" t="s">
        <v>4</v>
      </c>
      <c r="AV99">
        <v>0</v>
      </c>
      <c r="AW99">
        <v>2</v>
      </c>
      <c r="AX99">
        <v>16501441</v>
      </c>
      <c r="AY99">
        <v>1</v>
      </c>
      <c r="AZ99">
        <v>0</v>
      </c>
      <c r="BA99">
        <v>99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CX99">
        <f>Y99*Source!I64</f>
        <v>0.65688000000000002</v>
      </c>
      <c r="CY99">
        <f>AA99</f>
        <v>72.319999999999993</v>
      </c>
      <c r="CZ99">
        <f>AE99</f>
        <v>72.319999999999993</v>
      </c>
      <c r="DA99">
        <f>AI99</f>
        <v>1</v>
      </c>
      <c r="DB99">
        <v>0</v>
      </c>
    </row>
    <row r="100" spans="1:106" x14ac:dyDescent="0.2">
      <c r="A100">
        <f>ROW(Source!A64)</f>
        <v>64</v>
      </c>
      <c r="B100">
        <v>16501254</v>
      </c>
      <c r="C100">
        <v>16501427</v>
      </c>
      <c r="D100">
        <v>15171018</v>
      </c>
      <c r="E100">
        <v>1</v>
      </c>
      <c r="F100">
        <v>1</v>
      </c>
      <c r="G100">
        <v>1</v>
      </c>
      <c r="H100">
        <v>3</v>
      </c>
      <c r="I100" t="s">
        <v>280</v>
      </c>
      <c r="J100" t="s">
        <v>281</v>
      </c>
      <c r="K100" t="s">
        <v>282</v>
      </c>
      <c r="L100">
        <v>1346</v>
      </c>
      <c r="N100">
        <v>1009</v>
      </c>
      <c r="O100" t="s">
        <v>277</v>
      </c>
      <c r="P100" t="s">
        <v>277</v>
      </c>
      <c r="Q100">
        <v>1</v>
      </c>
      <c r="W100">
        <v>0</v>
      </c>
      <c r="X100">
        <v>813963326</v>
      </c>
      <c r="Y100">
        <v>0.31</v>
      </c>
      <c r="AA100">
        <v>1.82</v>
      </c>
      <c r="AB100">
        <v>0</v>
      </c>
      <c r="AC100">
        <v>0</v>
      </c>
      <c r="AD100">
        <v>0</v>
      </c>
      <c r="AE100">
        <v>1.82</v>
      </c>
      <c r="AF100">
        <v>0</v>
      </c>
      <c r="AG100">
        <v>0</v>
      </c>
      <c r="AH100">
        <v>0</v>
      </c>
      <c r="AI100">
        <v>1</v>
      </c>
      <c r="AJ100">
        <v>1</v>
      </c>
      <c r="AK100">
        <v>1</v>
      </c>
      <c r="AL100">
        <v>1</v>
      </c>
      <c r="AN100">
        <v>0</v>
      </c>
      <c r="AO100">
        <v>1</v>
      </c>
      <c r="AP100">
        <v>0</v>
      </c>
      <c r="AQ100">
        <v>0</v>
      </c>
      <c r="AR100">
        <v>0</v>
      </c>
      <c r="AS100" t="s">
        <v>4</v>
      </c>
      <c r="AT100">
        <v>0.31</v>
      </c>
      <c r="AU100" t="s">
        <v>4</v>
      </c>
      <c r="AV100">
        <v>0</v>
      </c>
      <c r="AW100">
        <v>2</v>
      </c>
      <c r="AX100">
        <v>16501442</v>
      </c>
      <c r="AY100">
        <v>1</v>
      </c>
      <c r="AZ100">
        <v>0</v>
      </c>
      <c r="BA100">
        <v>100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CX100">
        <f>Y100*Source!I64</f>
        <v>0.24242</v>
      </c>
      <c r="CY100">
        <f>AA100</f>
        <v>1.82</v>
      </c>
      <c r="CZ100">
        <f>AE100</f>
        <v>1.82</v>
      </c>
      <c r="DA100">
        <f>AI100</f>
        <v>1</v>
      </c>
      <c r="DB100">
        <v>0</v>
      </c>
    </row>
    <row r="101" spans="1:106" x14ac:dyDescent="0.2">
      <c r="A101">
        <f>ROW(Source!A64)</f>
        <v>64</v>
      </c>
      <c r="B101">
        <v>16501254</v>
      </c>
      <c r="C101">
        <v>16501427</v>
      </c>
      <c r="D101">
        <v>15203233</v>
      </c>
      <c r="E101">
        <v>1</v>
      </c>
      <c r="F101">
        <v>1</v>
      </c>
      <c r="G101">
        <v>1</v>
      </c>
      <c r="H101">
        <v>3</v>
      </c>
      <c r="I101" t="s">
        <v>110</v>
      </c>
      <c r="J101" t="s">
        <v>112</v>
      </c>
      <c r="K101" t="s">
        <v>111</v>
      </c>
      <c r="L101">
        <v>1348</v>
      </c>
      <c r="N101">
        <v>1009</v>
      </c>
      <c r="O101" t="s">
        <v>58</v>
      </c>
      <c r="P101" t="s">
        <v>58</v>
      </c>
      <c r="Q101">
        <v>1000</v>
      </c>
      <c r="W101">
        <v>0</v>
      </c>
      <c r="X101">
        <v>-1919714308</v>
      </c>
      <c r="Y101">
        <v>0.02</v>
      </c>
      <c r="AA101">
        <v>18390.16</v>
      </c>
      <c r="AB101">
        <v>0</v>
      </c>
      <c r="AC101">
        <v>0</v>
      </c>
      <c r="AD101">
        <v>0</v>
      </c>
      <c r="AE101">
        <v>18390.16</v>
      </c>
      <c r="AF101">
        <v>0</v>
      </c>
      <c r="AG101">
        <v>0</v>
      </c>
      <c r="AH101">
        <v>0</v>
      </c>
      <c r="AI101">
        <v>1</v>
      </c>
      <c r="AJ101">
        <v>1</v>
      </c>
      <c r="AK101">
        <v>1</v>
      </c>
      <c r="AL101">
        <v>1</v>
      </c>
      <c r="AN101">
        <v>0</v>
      </c>
      <c r="AO101">
        <v>0</v>
      </c>
      <c r="AP101">
        <v>0</v>
      </c>
      <c r="AQ101">
        <v>0</v>
      </c>
      <c r="AR101">
        <v>0</v>
      </c>
      <c r="AS101" t="s">
        <v>4</v>
      </c>
      <c r="AT101">
        <v>0.02</v>
      </c>
      <c r="AU101" t="s">
        <v>4</v>
      </c>
      <c r="AV101">
        <v>0</v>
      </c>
      <c r="AW101">
        <v>1</v>
      </c>
      <c r="AX101">
        <v>-1</v>
      </c>
      <c r="AY101">
        <v>0</v>
      </c>
      <c r="AZ101">
        <v>0</v>
      </c>
      <c r="BA101" t="s">
        <v>4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CX101">
        <f>Y101*Source!I64</f>
        <v>1.5640000000000001E-2</v>
      </c>
      <c r="CY101">
        <f>AA101</f>
        <v>18390.16</v>
      </c>
      <c r="CZ101">
        <f>AE101</f>
        <v>18390.16</v>
      </c>
      <c r="DA101">
        <f>AI101</f>
        <v>1</v>
      </c>
      <c r="DB101">
        <v>0</v>
      </c>
    </row>
    <row r="102" spans="1:106" x14ac:dyDescent="0.2">
      <c r="A102">
        <f>ROW(Source!A64)</f>
        <v>64</v>
      </c>
      <c r="B102">
        <v>16501254</v>
      </c>
      <c r="C102">
        <v>16501427</v>
      </c>
      <c r="D102">
        <v>15203251</v>
      </c>
      <c r="E102">
        <v>1</v>
      </c>
      <c r="F102">
        <v>1</v>
      </c>
      <c r="G102">
        <v>1</v>
      </c>
      <c r="H102">
        <v>3</v>
      </c>
      <c r="I102" t="s">
        <v>118</v>
      </c>
      <c r="J102" t="s">
        <v>120</v>
      </c>
      <c r="K102" t="s">
        <v>119</v>
      </c>
      <c r="L102">
        <v>1348</v>
      </c>
      <c r="N102">
        <v>1009</v>
      </c>
      <c r="O102" t="s">
        <v>58</v>
      </c>
      <c r="P102" t="s">
        <v>58</v>
      </c>
      <c r="Q102">
        <v>1000</v>
      </c>
      <c r="W102">
        <v>0</v>
      </c>
      <c r="X102">
        <v>763838732</v>
      </c>
      <c r="Y102">
        <v>0.03</v>
      </c>
      <c r="AA102">
        <v>7627.37</v>
      </c>
      <c r="AB102">
        <v>0</v>
      </c>
      <c r="AC102">
        <v>0</v>
      </c>
      <c r="AD102">
        <v>0</v>
      </c>
      <c r="AE102">
        <v>7627.37</v>
      </c>
      <c r="AF102">
        <v>0</v>
      </c>
      <c r="AG102">
        <v>0</v>
      </c>
      <c r="AH102">
        <v>0</v>
      </c>
      <c r="AI102">
        <v>1</v>
      </c>
      <c r="AJ102">
        <v>1</v>
      </c>
      <c r="AK102">
        <v>1</v>
      </c>
      <c r="AL102">
        <v>1</v>
      </c>
      <c r="AN102">
        <v>0</v>
      </c>
      <c r="AO102">
        <v>0</v>
      </c>
      <c r="AP102">
        <v>0</v>
      </c>
      <c r="AQ102">
        <v>0</v>
      </c>
      <c r="AR102">
        <v>0</v>
      </c>
      <c r="AS102" t="s">
        <v>4</v>
      </c>
      <c r="AT102">
        <v>0.03</v>
      </c>
      <c r="AU102" t="s">
        <v>4</v>
      </c>
      <c r="AV102">
        <v>0</v>
      </c>
      <c r="AW102">
        <v>1</v>
      </c>
      <c r="AX102">
        <v>-1</v>
      </c>
      <c r="AY102">
        <v>0</v>
      </c>
      <c r="AZ102">
        <v>0</v>
      </c>
      <c r="BA102" t="s">
        <v>4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CX102">
        <f>Y102*Source!I64</f>
        <v>2.3460000000000002E-2</v>
      </c>
      <c r="CY102">
        <f>AA102</f>
        <v>7627.37</v>
      </c>
      <c r="CZ102">
        <f>AE102</f>
        <v>7627.37</v>
      </c>
      <c r="DA102">
        <f>AI102</f>
        <v>1</v>
      </c>
      <c r="DB102">
        <v>0</v>
      </c>
    </row>
    <row r="103" spans="1:106" x14ac:dyDescent="0.2">
      <c r="A103">
        <f>ROW(Source!A64)</f>
        <v>64</v>
      </c>
      <c r="B103">
        <v>16501254</v>
      </c>
      <c r="C103">
        <v>16501427</v>
      </c>
      <c r="D103">
        <v>15204737</v>
      </c>
      <c r="E103">
        <v>1</v>
      </c>
      <c r="F103">
        <v>1</v>
      </c>
      <c r="G103">
        <v>1</v>
      </c>
      <c r="H103">
        <v>3</v>
      </c>
      <c r="I103" t="s">
        <v>303</v>
      </c>
      <c r="J103" t="s">
        <v>304</v>
      </c>
      <c r="K103" t="s">
        <v>305</v>
      </c>
      <c r="L103">
        <v>1348</v>
      </c>
      <c r="N103">
        <v>1009</v>
      </c>
      <c r="O103" t="s">
        <v>58</v>
      </c>
      <c r="P103" t="s">
        <v>58</v>
      </c>
      <c r="Q103">
        <v>1000</v>
      </c>
      <c r="W103">
        <v>0</v>
      </c>
      <c r="X103">
        <v>181729109</v>
      </c>
      <c r="Y103">
        <v>5.0999999999999997E-2</v>
      </c>
      <c r="AA103">
        <v>11397.1</v>
      </c>
      <c r="AB103">
        <v>0</v>
      </c>
      <c r="AC103">
        <v>0</v>
      </c>
      <c r="AD103">
        <v>0</v>
      </c>
      <c r="AE103">
        <v>11397.1</v>
      </c>
      <c r="AF103">
        <v>0</v>
      </c>
      <c r="AG103">
        <v>0</v>
      </c>
      <c r="AH103">
        <v>0</v>
      </c>
      <c r="AI103">
        <v>1</v>
      </c>
      <c r="AJ103">
        <v>1</v>
      </c>
      <c r="AK103">
        <v>1</v>
      </c>
      <c r="AL103">
        <v>1</v>
      </c>
      <c r="AN103">
        <v>0</v>
      </c>
      <c r="AO103">
        <v>1</v>
      </c>
      <c r="AP103">
        <v>0</v>
      </c>
      <c r="AQ103">
        <v>0</v>
      </c>
      <c r="AR103">
        <v>0</v>
      </c>
      <c r="AS103" t="s">
        <v>4</v>
      </c>
      <c r="AT103">
        <v>5.0999999999999997E-2</v>
      </c>
      <c r="AU103" t="s">
        <v>4</v>
      </c>
      <c r="AV103">
        <v>0</v>
      </c>
      <c r="AW103">
        <v>2</v>
      </c>
      <c r="AX103">
        <v>16501445</v>
      </c>
      <c r="AY103">
        <v>1</v>
      </c>
      <c r="AZ103">
        <v>0</v>
      </c>
      <c r="BA103">
        <v>103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CX103">
        <f>Y103*Source!I64</f>
        <v>3.9882000000000001E-2</v>
      </c>
      <c r="CY103">
        <f>AA103</f>
        <v>11397.1</v>
      </c>
      <c r="CZ103">
        <f>AE103</f>
        <v>11397.1</v>
      </c>
      <c r="DA103">
        <f>AI103</f>
        <v>1</v>
      </c>
      <c r="DB103">
        <v>0</v>
      </c>
    </row>
    <row r="104" spans="1:106" x14ac:dyDescent="0.2">
      <c r="A104">
        <f>ROW(Source!A65)</f>
        <v>65</v>
      </c>
      <c r="B104">
        <v>16501255</v>
      </c>
      <c r="C104">
        <v>16501427</v>
      </c>
      <c r="D104">
        <v>15436014</v>
      </c>
      <c r="E104">
        <v>1</v>
      </c>
      <c r="F104">
        <v>1</v>
      </c>
      <c r="G104">
        <v>1</v>
      </c>
      <c r="H104">
        <v>1</v>
      </c>
      <c r="I104" t="s">
        <v>298</v>
      </c>
      <c r="J104" t="s">
        <v>4</v>
      </c>
      <c r="K104" t="s">
        <v>299</v>
      </c>
      <c r="L104">
        <v>1191</v>
      </c>
      <c r="N104">
        <v>1013</v>
      </c>
      <c r="O104" t="s">
        <v>252</v>
      </c>
      <c r="P104" t="s">
        <v>252</v>
      </c>
      <c r="Q104">
        <v>1</v>
      </c>
      <c r="W104">
        <v>0</v>
      </c>
      <c r="X104">
        <v>-784637506</v>
      </c>
      <c r="Y104">
        <v>50.094000000000001</v>
      </c>
      <c r="AA104">
        <v>0</v>
      </c>
      <c r="AB104">
        <v>0</v>
      </c>
      <c r="AC104">
        <v>0</v>
      </c>
      <c r="AD104">
        <v>53.14</v>
      </c>
      <c r="AE104">
        <v>0</v>
      </c>
      <c r="AF104">
        <v>0</v>
      </c>
      <c r="AG104">
        <v>0</v>
      </c>
      <c r="AH104">
        <v>8.74</v>
      </c>
      <c r="AI104">
        <v>1</v>
      </c>
      <c r="AJ104">
        <v>1</v>
      </c>
      <c r="AK104">
        <v>1</v>
      </c>
      <c r="AL104">
        <v>6.08</v>
      </c>
      <c r="AN104">
        <v>0</v>
      </c>
      <c r="AO104">
        <v>1</v>
      </c>
      <c r="AP104">
        <v>1</v>
      </c>
      <c r="AQ104">
        <v>0</v>
      </c>
      <c r="AR104">
        <v>0</v>
      </c>
      <c r="AS104" t="s">
        <v>4</v>
      </c>
      <c r="AT104">
        <v>43.56</v>
      </c>
      <c r="AU104" t="s">
        <v>30</v>
      </c>
      <c r="AV104">
        <v>1</v>
      </c>
      <c r="AW104">
        <v>2</v>
      </c>
      <c r="AX104">
        <v>16501437</v>
      </c>
      <c r="AY104">
        <v>1</v>
      </c>
      <c r="AZ104">
        <v>0</v>
      </c>
      <c r="BA104">
        <v>104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CX104">
        <f>Y104*Source!I65</f>
        <v>39.173508000000005</v>
      </c>
      <c r="CY104">
        <f>AD104</f>
        <v>53.14</v>
      </c>
      <c r="CZ104">
        <f>AH104</f>
        <v>8.74</v>
      </c>
      <c r="DA104">
        <f>AL104</f>
        <v>6.08</v>
      </c>
      <c r="DB104">
        <v>0</v>
      </c>
    </row>
    <row r="105" spans="1:106" x14ac:dyDescent="0.2">
      <c r="A105">
        <f>ROW(Source!A65)</f>
        <v>65</v>
      </c>
      <c r="B105">
        <v>16501255</v>
      </c>
      <c r="C105">
        <v>16501427</v>
      </c>
      <c r="D105">
        <v>15430395</v>
      </c>
      <c r="E105">
        <v>1</v>
      </c>
      <c r="F105">
        <v>1</v>
      </c>
      <c r="G105">
        <v>1</v>
      </c>
      <c r="H105">
        <v>1</v>
      </c>
      <c r="I105" t="s">
        <v>253</v>
      </c>
      <c r="J105" t="s">
        <v>4</v>
      </c>
      <c r="K105" t="s">
        <v>254</v>
      </c>
      <c r="L105">
        <v>1191</v>
      </c>
      <c r="N105">
        <v>1013</v>
      </c>
      <c r="O105" t="s">
        <v>252</v>
      </c>
      <c r="P105" t="s">
        <v>252</v>
      </c>
      <c r="Q105">
        <v>1</v>
      </c>
      <c r="W105">
        <v>0</v>
      </c>
      <c r="X105">
        <v>-1417349443</v>
      </c>
      <c r="Y105">
        <v>0.17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1</v>
      </c>
      <c r="AJ105">
        <v>1</v>
      </c>
      <c r="AK105">
        <v>6.08</v>
      </c>
      <c r="AL105">
        <v>1</v>
      </c>
      <c r="AN105">
        <v>0</v>
      </c>
      <c r="AO105">
        <v>1</v>
      </c>
      <c r="AP105">
        <v>0</v>
      </c>
      <c r="AQ105">
        <v>0</v>
      </c>
      <c r="AR105">
        <v>0</v>
      </c>
      <c r="AS105" t="s">
        <v>4</v>
      </c>
      <c r="AT105">
        <v>0.17</v>
      </c>
      <c r="AU105" t="s">
        <v>4</v>
      </c>
      <c r="AV105">
        <v>2</v>
      </c>
      <c r="AW105">
        <v>2</v>
      </c>
      <c r="AX105">
        <v>16501438</v>
      </c>
      <c r="AY105">
        <v>1</v>
      </c>
      <c r="AZ105">
        <v>2048</v>
      </c>
      <c r="BA105">
        <v>105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CX105">
        <f>Y105*Source!I65</f>
        <v>0.13294</v>
      </c>
      <c r="CY105">
        <f>AD105</f>
        <v>0</v>
      </c>
      <c r="CZ105">
        <f>AH105</f>
        <v>0</v>
      </c>
      <c r="DA105">
        <f>AL105</f>
        <v>1</v>
      </c>
      <c r="DB105">
        <v>0</v>
      </c>
    </row>
    <row r="106" spans="1:106" x14ac:dyDescent="0.2">
      <c r="A106">
        <f>ROW(Source!A65)</f>
        <v>65</v>
      </c>
      <c r="B106">
        <v>16501255</v>
      </c>
      <c r="C106">
        <v>16501427</v>
      </c>
      <c r="D106">
        <v>15247970</v>
      </c>
      <c r="E106">
        <v>1</v>
      </c>
      <c r="F106">
        <v>1</v>
      </c>
      <c r="G106">
        <v>1</v>
      </c>
      <c r="H106">
        <v>2</v>
      </c>
      <c r="I106" t="s">
        <v>261</v>
      </c>
      <c r="J106" t="s">
        <v>262</v>
      </c>
      <c r="K106" t="s">
        <v>263</v>
      </c>
      <c r="L106">
        <v>1368</v>
      </c>
      <c r="N106">
        <v>1011</v>
      </c>
      <c r="O106" t="s">
        <v>258</v>
      </c>
      <c r="P106" t="s">
        <v>258</v>
      </c>
      <c r="Q106">
        <v>1</v>
      </c>
      <c r="W106">
        <v>0</v>
      </c>
      <c r="X106">
        <v>368031958</v>
      </c>
      <c r="Y106">
        <v>2.5000000000000001E-2</v>
      </c>
      <c r="AA106">
        <v>0</v>
      </c>
      <c r="AB106">
        <v>168.17</v>
      </c>
      <c r="AC106">
        <v>11.6</v>
      </c>
      <c r="AD106">
        <v>0</v>
      </c>
      <c r="AE106">
        <v>0</v>
      </c>
      <c r="AF106">
        <v>27.66</v>
      </c>
      <c r="AG106">
        <v>11.6</v>
      </c>
      <c r="AH106">
        <v>0</v>
      </c>
      <c r="AI106">
        <v>1</v>
      </c>
      <c r="AJ106">
        <v>6.08</v>
      </c>
      <c r="AK106">
        <v>1</v>
      </c>
      <c r="AL106">
        <v>1</v>
      </c>
      <c r="AN106">
        <v>0</v>
      </c>
      <c r="AO106">
        <v>1</v>
      </c>
      <c r="AP106">
        <v>1</v>
      </c>
      <c r="AQ106">
        <v>0</v>
      </c>
      <c r="AR106">
        <v>0</v>
      </c>
      <c r="AS106" t="s">
        <v>4</v>
      </c>
      <c r="AT106">
        <v>0.02</v>
      </c>
      <c r="AU106" t="s">
        <v>29</v>
      </c>
      <c r="AV106">
        <v>0</v>
      </c>
      <c r="AW106">
        <v>2</v>
      </c>
      <c r="AX106">
        <v>16501439</v>
      </c>
      <c r="AY106">
        <v>1</v>
      </c>
      <c r="AZ106">
        <v>0</v>
      </c>
      <c r="BA106">
        <v>106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CX106">
        <f>Y106*Source!I65</f>
        <v>1.9550000000000001E-2</v>
      </c>
      <c r="CY106">
        <f>AB106</f>
        <v>168.17</v>
      </c>
      <c r="CZ106">
        <f>AF106</f>
        <v>27.66</v>
      </c>
      <c r="DA106">
        <f>AJ106</f>
        <v>6.08</v>
      </c>
      <c r="DB106">
        <v>0</v>
      </c>
    </row>
    <row r="107" spans="1:106" x14ac:dyDescent="0.2">
      <c r="A107">
        <f>ROW(Source!A65)</f>
        <v>65</v>
      </c>
      <c r="B107">
        <v>16501255</v>
      </c>
      <c r="C107">
        <v>16501427</v>
      </c>
      <c r="D107">
        <v>15249073</v>
      </c>
      <c r="E107">
        <v>1</v>
      </c>
      <c r="F107">
        <v>1</v>
      </c>
      <c r="G107">
        <v>1</v>
      </c>
      <c r="H107">
        <v>2</v>
      </c>
      <c r="I107" t="s">
        <v>264</v>
      </c>
      <c r="J107" t="s">
        <v>265</v>
      </c>
      <c r="K107" t="s">
        <v>266</v>
      </c>
      <c r="L107">
        <v>1368</v>
      </c>
      <c r="N107">
        <v>1011</v>
      </c>
      <c r="O107" t="s">
        <v>258</v>
      </c>
      <c r="P107" t="s">
        <v>258</v>
      </c>
      <c r="Q107">
        <v>1</v>
      </c>
      <c r="W107">
        <v>0</v>
      </c>
      <c r="X107">
        <v>1372534845</v>
      </c>
      <c r="Y107">
        <v>0.1875</v>
      </c>
      <c r="AA107">
        <v>0</v>
      </c>
      <c r="AB107">
        <v>399.52</v>
      </c>
      <c r="AC107">
        <v>11.6</v>
      </c>
      <c r="AD107">
        <v>0</v>
      </c>
      <c r="AE107">
        <v>0</v>
      </c>
      <c r="AF107">
        <v>65.709999999999994</v>
      </c>
      <c r="AG107">
        <v>11.6</v>
      </c>
      <c r="AH107">
        <v>0</v>
      </c>
      <c r="AI107">
        <v>1</v>
      </c>
      <c r="AJ107">
        <v>6.08</v>
      </c>
      <c r="AK107">
        <v>1</v>
      </c>
      <c r="AL107">
        <v>1</v>
      </c>
      <c r="AN107">
        <v>0</v>
      </c>
      <c r="AO107">
        <v>1</v>
      </c>
      <c r="AP107">
        <v>1</v>
      </c>
      <c r="AQ107">
        <v>0</v>
      </c>
      <c r="AR107">
        <v>0</v>
      </c>
      <c r="AS107" t="s">
        <v>4</v>
      </c>
      <c r="AT107">
        <v>0.15</v>
      </c>
      <c r="AU107" t="s">
        <v>29</v>
      </c>
      <c r="AV107">
        <v>0</v>
      </c>
      <c r="AW107">
        <v>2</v>
      </c>
      <c r="AX107">
        <v>16501440</v>
      </c>
      <c r="AY107">
        <v>1</v>
      </c>
      <c r="AZ107">
        <v>0</v>
      </c>
      <c r="BA107">
        <v>107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CX107">
        <f>Y107*Source!I65</f>
        <v>0.14662500000000001</v>
      </c>
      <c r="CY107">
        <f>AB107</f>
        <v>399.52</v>
      </c>
      <c r="CZ107">
        <f>AF107</f>
        <v>65.709999999999994</v>
      </c>
      <c r="DA107">
        <f>AJ107</f>
        <v>6.08</v>
      </c>
      <c r="DB107">
        <v>0</v>
      </c>
    </row>
    <row r="108" spans="1:106" x14ac:dyDescent="0.2">
      <c r="A108">
        <f>ROW(Source!A65)</f>
        <v>65</v>
      </c>
      <c r="B108">
        <v>16501255</v>
      </c>
      <c r="C108">
        <v>16501427</v>
      </c>
      <c r="D108">
        <v>15170682</v>
      </c>
      <c r="E108">
        <v>1</v>
      </c>
      <c r="F108">
        <v>1</v>
      </c>
      <c r="G108">
        <v>1</v>
      </c>
      <c r="H108">
        <v>3</v>
      </c>
      <c r="I108" t="s">
        <v>300</v>
      </c>
      <c r="J108" t="s">
        <v>301</v>
      </c>
      <c r="K108" t="s">
        <v>302</v>
      </c>
      <c r="L108">
        <v>1327</v>
      </c>
      <c r="N108">
        <v>1005</v>
      </c>
      <c r="O108" t="s">
        <v>50</v>
      </c>
      <c r="P108" t="s">
        <v>50</v>
      </c>
      <c r="Q108">
        <v>1</v>
      </c>
      <c r="W108">
        <v>0</v>
      </c>
      <c r="X108">
        <v>-1987926685</v>
      </c>
      <c r="Y108">
        <v>0.84</v>
      </c>
      <c r="AA108">
        <v>439.71</v>
      </c>
      <c r="AB108">
        <v>0</v>
      </c>
      <c r="AC108">
        <v>0</v>
      </c>
      <c r="AD108">
        <v>0</v>
      </c>
      <c r="AE108">
        <v>72.319999999999993</v>
      </c>
      <c r="AF108">
        <v>0</v>
      </c>
      <c r="AG108">
        <v>0</v>
      </c>
      <c r="AH108">
        <v>0</v>
      </c>
      <c r="AI108">
        <v>6.08</v>
      </c>
      <c r="AJ108">
        <v>1</v>
      </c>
      <c r="AK108">
        <v>1</v>
      </c>
      <c r="AL108">
        <v>1</v>
      </c>
      <c r="AN108">
        <v>0</v>
      </c>
      <c r="AO108">
        <v>1</v>
      </c>
      <c r="AP108">
        <v>0</v>
      </c>
      <c r="AQ108">
        <v>0</v>
      </c>
      <c r="AR108">
        <v>0</v>
      </c>
      <c r="AS108" t="s">
        <v>4</v>
      </c>
      <c r="AT108">
        <v>0.84</v>
      </c>
      <c r="AU108" t="s">
        <v>4</v>
      </c>
      <c r="AV108">
        <v>0</v>
      </c>
      <c r="AW108">
        <v>2</v>
      </c>
      <c r="AX108">
        <v>16501441</v>
      </c>
      <c r="AY108">
        <v>1</v>
      </c>
      <c r="AZ108">
        <v>0</v>
      </c>
      <c r="BA108">
        <v>108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CX108">
        <f>Y108*Source!I65</f>
        <v>0.65688000000000002</v>
      </c>
      <c r="CY108">
        <f>AA108</f>
        <v>439.71</v>
      </c>
      <c r="CZ108">
        <f>AE108</f>
        <v>72.319999999999993</v>
      </c>
      <c r="DA108">
        <f>AI108</f>
        <v>6.08</v>
      </c>
      <c r="DB108">
        <v>0</v>
      </c>
    </row>
    <row r="109" spans="1:106" x14ac:dyDescent="0.2">
      <c r="A109">
        <f>ROW(Source!A65)</f>
        <v>65</v>
      </c>
      <c r="B109">
        <v>16501255</v>
      </c>
      <c r="C109">
        <v>16501427</v>
      </c>
      <c r="D109">
        <v>15171018</v>
      </c>
      <c r="E109">
        <v>1</v>
      </c>
      <c r="F109">
        <v>1</v>
      </c>
      <c r="G109">
        <v>1</v>
      </c>
      <c r="H109">
        <v>3</v>
      </c>
      <c r="I109" t="s">
        <v>280</v>
      </c>
      <c r="J109" t="s">
        <v>281</v>
      </c>
      <c r="K109" t="s">
        <v>282</v>
      </c>
      <c r="L109">
        <v>1346</v>
      </c>
      <c r="N109">
        <v>1009</v>
      </c>
      <c r="O109" t="s">
        <v>277</v>
      </c>
      <c r="P109" t="s">
        <v>277</v>
      </c>
      <c r="Q109">
        <v>1</v>
      </c>
      <c r="W109">
        <v>0</v>
      </c>
      <c r="X109">
        <v>813963326</v>
      </c>
      <c r="Y109">
        <v>0.31</v>
      </c>
      <c r="AA109">
        <v>11.07</v>
      </c>
      <c r="AB109">
        <v>0</v>
      </c>
      <c r="AC109">
        <v>0</v>
      </c>
      <c r="AD109">
        <v>0</v>
      </c>
      <c r="AE109">
        <v>1.82</v>
      </c>
      <c r="AF109">
        <v>0</v>
      </c>
      <c r="AG109">
        <v>0</v>
      </c>
      <c r="AH109">
        <v>0</v>
      </c>
      <c r="AI109">
        <v>6.08</v>
      </c>
      <c r="AJ109">
        <v>1</v>
      </c>
      <c r="AK109">
        <v>1</v>
      </c>
      <c r="AL109">
        <v>1</v>
      </c>
      <c r="AN109">
        <v>0</v>
      </c>
      <c r="AO109">
        <v>1</v>
      </c>
      <c r="AP109">
        <v>0</v>
      </c>
      <c r="AQ109">
        <v>0</v>
      </c>
      <c r="AR109">
        <v>0</v>
      </c>
      <c r="AS109" t="s">
        <v>4</v>
      </c>
      <c r="AT109">
        <v>0.31</v>
      </c>
      <c r="AU109" t="s">
        <v>4</v>
      </c>
      <c r="AV109">
        <v>0</v>
      </c>
      <c r="AW109">
        <v>2</v>
      </c>
      <c r="AX109">
        <v>16501442</v>
      </c>
      <c r="AY109">
        <v>1</v>
      </c>
      <c r="AZ109">
        <v>0</v>
      </c>
      <c r="BA109">
        <v>109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CX109">
        <f>Y109*Source!I65</f>
        <v>0.24242</v>
      </c>
      <c r="CY109">
        <f>AA109</f>
        <v>11.07</v>
      </c>
      <c r="CZ109">
        <f>AE109</f>
        <v>1.82</v>
      </c>
      <c r="DA109">
        <f>AI109</f>
        <v>6.08</v>
      </c>
      <c r="DB109">
        <v>0</v>
      </c>
    </row>
    <row r="110" spans="1:106" x14ac:dyDescent="0.2">
      <c r="A110">
        <f>ROW(Source!A65)</f>
        <v>65</v>
      </c>
      <c r="B110">
        <v>16501255</v>
      </c>
      <c r="C110">
        <v>16501427</v>
      </c>
      <c r="D110">
        <v>15203233</v>
      </c>
      <c r="E110">
        <v>1</v>
      </c>
      <c r="F110">
        <v>1</v>
      </c>
      <c r="G110">
        <v>1</v>
      </c>
      <c r="H110">
        <v>3</v>
      </c>
      <c r="I110" t="s">
        <v>110</v>
      </c>
      <c r="J110" t="s">
        <v>112</v>
      </c>
      <c r="K110" t="s">
        <v>111</v>
      </c>
      <c r="L110">
        <v>1348</v>
      </c>
      <c r="N110">
        <v>1009</v>
      </c>
      <c r="O110" t="s">
        <v>58</v>
      </c>
      <c r="P110" t="s">
        <v>58</v>
      </c>
      <c r="Q110">
        <v>1000</v>
      </c>
      <c r="W110">
        <v>0</v>
      </c>
      <c r="X110">
        <v>-1919714308</v>
      </c>
      <c r="Y110">
        <v>0.02</v>
      </c>
      <c r="AA110">
        <v>111812.17</v>
      </c>
      <c r="AB110">
        <v>0</v>
      </c>
      <c r="AC110">
        <v>0</v>
      </c>
      <c r="AD110">
        <v>0</v>
      </c>
      <c r="AE110">
        <v>18390.16</v>
      </c>
      <c r="AF110">
        <v>0</v>
      </c>
      <c r="AG110">
        <v>0</v>
      </c>
      <c r="AH110">
        <v>0</v>
      </c>
      <c r="AI110">
        <v>6.08</v>
      </c>
      <c r="AJ110">
        <v>1</v>
      </c>
      <c r="AK110">
        <v>1</v>
      </c>
      <c r="AL110">
        <v>1</v>
      </c>
      <c r="AN110">
        <v>0</v>
      </c>
      <c r="AO110">
        <v>0</v>
      </c>
      <c r="AP110">
        <v>0</v>
      </c>
      <c r="AQ110">
        <v>0</v>
      </c>
      <c r="AR110">
        <v>0</v>
      </c>
      <c r="AS110" t="s">
        <v>4</v>
      </c>
      <c r="AT110">
        <v>0.02</v>
      </c>
      <c r="AU110" t="s">
        <v>4</v>
      </c>
      <c r="AV110">
        <v>0</v>
      </c>
      <c r="AW110">
        <v>1</v>
      </c>
      <c r="AX110">
        <v>-1</v>
      </c>
      <c r="AY110">
        <v>0</v>
      </c>
      <c r="AZ110">
        <v>0</v>
      </c>
      <c r="BA110" t="s">
        <v>4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CX110">
        <f>Y110*Source!I65</f>
        <v>1.5640000000000001E-2</v>
      </c>
      <c r="CY110">
        <f>AA110</f>
        <v>111812.17</v>
      </c>
      <c r="CZ110">
        <f>AE110</f>
        <v>18390.16</v>
      </c>
      <c r="DA110">
        <f>AI110</f>
        <v>6.08</v>
      </c>
      <c r="DB110">
        <v>0</v>
      </c>
    </row>
    <row r="111" spans="1:106" x14ac:dyDescent="0.2">
      <c r="A111">
        <f>ROW(Source!A65)</f>
        <v>65</v>
      </c>
      <c r="B111">
        <v>16501255</v>
      </c>
      <c r="C111">
        <v>16501427</v>
      </c>
      <c r="D111">
        <v>15203251</v>
      </c>
      <c r="E111">
        <v>1</v>
      </c>
      <c r="F111">
        <v>1</v>
      </c>
      <c r="G111">
        <v>1</v>
      </c>
      <c r="H111">
        <v>3</v>
      </c>
      <c r="I111" t="s">
        <v>118</v>
      </c>
      <c r="J111" t="s">
        <v>120</v>
      </c>
      <c r="K111" t="s">
        <v>119</v>
      </c>
      <c r="L111">
        <v>1348</v>
      </c>
      <c r="N111">
        <v>1009</v>
      </c>
      <c r="O111" t="s">
        <v>58</v>
      </c>
      <c r="P111" t="s">
        <v>58</v>
      </c>
      <c r="Q111">
        <v>1000</v>
      </c>
      <c r="W111">
        <v>0</v>
      </c>
      <c r="X111">
        <v>763838732</v>
      </c>
      <c r="Y111">
        <v>0.03</v>
      </c>
      <c r="AA111">
        <v>46374.41</v>
      </c>
      <c r="AB111">
        <v>0</v>
      </c>
      <c r="AC111">
        <v>0</v>
      </c>
      <c r="AD111">
        <v>0</v>
      </c>
      <c r="AE111">
        <v>7627.37</v>
      </c>
      <c r="AF111">
        <v>0</v>
      </c>
      <c r="AG111">
        <v>0</v>
      </c>
      <c r="AH111">
        <v>0</v>
      </c>
      <c r="AI111">
        <v>6.08</v>
      </c>
      <c r="AJ111">
        <v>1</v>
      </c>
      <c r="AK111">
        <v>1</v>
      </c>
      <c r="AL111">
        <v>1</v>
      </c>
      <c r="AN111">
        <v>0</v>
      </c>
      <c r="AO111">
        <v>0</v>
      </c>
      <c r="AP111">
        <v>0</v>
      </c>
      <c r="AQ111">
        <v>0</v>
      </c>
      <c r="AR111">
        <v>0</v>
      </c>
      <c r="AS111" t="s">
        <v>4</v>
      </c>
      <c r="AT111">
        <v>0.03</v>
      </c>
      <c r="AU111" t="s">
        <v>4</v>
      </c>
      <c r="AV111">
        <v>0</v>
      </c>
      <c r="AW111">
        <v>1</v>
      </c>
      <c r="AX111">
        <v>-1</v>
      </c>
      <c r="AY111">
        <v>0</v>
      </c>
      <c r="AZ111">
        <v>0</v>
      </c>
      <c r="BA111" t="s">
        <v>4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CX111">
        <f>Y111*Source!I65</f>
        <v>2.3460000000000002E-2</v>
      </c>
      <c r="CY111">
        <f>AA111</f>
        <v>46374.41</v>
      </c>
      <c r="CZ111">
        <f>AE111</f>
        <v>7627.37</v>
      </c>
      <c r="DA111">
        <f>AI111</f>
        <v>6.08</v>
      </c>
      <c r="DB111">
        <v>0</v>
      </c>
    </row>
    <row r="112" spans="1:106" x14ac:dyDescent="0.2">
      <c r="A112">
        <f>ROW(Source!A65)</f>
        <v>65</v>
      </c>
      <c r="B112">
        <v>16501255</v>
      </c>
      <c r="C112">
        <v>16501427</v>
      </c>
      <c r="D112">
        <v>15204737</v>
      </c>
      <c r="E112">
        <v>1</v>
      </c>
      <c r="F112">
        <v>1</v>
      </c>
      <c r="G112">
        <v>1</v>
      </c>
      <c r="H112">
        <v>3</v>
      </c>
      <c r="I112" t="s">
        <v>303</v>
      </c>
      <c r="J112" t="s">
        <v>304</v>
      </c>
      <c r="K112" t="s">
        <v>305</v>
      </c>
      <c r="L112">
        <v>1348</v>
      </c>
      <c r="N112">
        <v>1009</v>
      </c>
      <c r="O112" t="s">
        <v>58</v>
      </c>
      <c r="P112" t="s">
        <v>58</v>
      </c>
      <c r="Q112">
        <v>1000</v>
      </c>
      <c r="W112">
        <v>0</v>
      </c>
      <c r="X112">
        <v>181729109</v>
      </c>
      <c r="Y112">
        <v>5.0999999999999997E-2</v>
      </c>
      <c r="AA112">
        <v>69294.37</v>
      </c>
      <c r="AB112">
        <v>0</v>
      </c>
      <c r="AC112">
        <v>0</v>
      </c>
      <c r="AD112">
        <v>0</v>
      </c>
      <c r="AE112">
        <v>11397.1</v>
      </c>
      <c r="AF112">
        <v>0</v>
      </c>
      <c r="AG112">
        <v>0</v>
      </c>
      <c r="AH112">
        <v>0</v>
      </c>
      <c r="AI112">
        <v>6.08</v>
      </c>
      <c r="AJ112">
        <v>1</v>
      </c>
      <c r="AK112">
        <v>1</v>
      </c>
      <c r="AL112">
        <v>1</v>
      </c>
      <c r="AN112">
        <v>0</v>
      </c>
      <c r="AO112">
        <v>1</v>
      </c>
      <c r="AP112">
        <v>0</v>
      </c>
      <c r="AQ112">
        <v>0</v>
      </c>
      <c r="AR112">
        <v>0</v>
      </c>
      <c r="AS112" t="s">
        <v>4</v>
      </c>
      <c r="AT112">
        <v>5.0999999999999997E-2</v>
      </c>
      <c r="AU112" t="s">
        <v>4</v>
      </c>
      <c r="AV112">
        <v>0</v>
      </c>
      <c r="AW112">
        <v>2</v>
      </c>
      <c r="AX112">
        <v>16501445</v>
      </c>
      <c r="AY112">
        <v>1</v>
      </c>
      <c r="AZ112">
        <v>0</v>
      </c>
      <c r="BA112">
        <v>112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CX112">
        <f>Y112*Source!I65</f>
        <v>3.9882000000000001E-2</v>
      </c>
      <c r="CY112">
        <f>AA112</f>
        <v>69294.37</v>
      </c>
      <c r="CZ112">
        <f>AE112</f>
        <v>11397.1</v>
      </c>
      <c r="DA112">
        <f>AI112</f>
        <v>6.08</v>
      </c>
      <c r="DB112">
        <v>0</v>
      </c>
    </row>
    <row r="113" spans="1:106" x14ac:dyDescent="0.2">
      <c r="A113">
        <f>ROW(Source!A70)</f>
        <v>70</v>
      </c>
      <c r="B113">
        <v>16501254</v>
      </c>
      <c r="C113">
        <v>16501448</v>
      </c>
      <c r="D113">
        <v>15436014</v>
      </c>
      <c r="E113">
        <v>1</v>
      </c>
      <c r="F113">
        <v>1</v>
      </c>
      <c r="G113">
        <v>1</v>
      </c>
      <c r="H113">
        <v>1</v>
      </c>
      <c r="I113" t="s">
        <v>298</v>
      </c>
      <c r="J113" t="s">
        <v>4</v>
      </c>
      <c r="K113" t="s">
        <v>299</v>
      </c>
      <c r="L113">
        <v>1191</v>
      </c>
      <c r="N113">
        <v>1013</v>
      </c>
      <c r="O113" t="s">
        <v>252</v>
      </c>
      <c r="P113" t="s">
        <v>252</v>
      </c>
      <c r="Q113">
        <v>1</v>
      </c>
      <c r="W113">
        <v>0</v>
      </c>
      <c r="X113">
        <v>-784637506</v>
      </c>
      <c r="Y113">
        <v>72.449999999999989</v>
      </c>
      <c r="AA113">
        <v>0</v>
      </c>
      <c r="AB113">
        <v>0</v>
      </c>
      <c r="AC113">
        <v>0</v>
      </c>
      <c r="AD113">
        <v>8.74</v>
      </c>
      <c r="AE113">
        <v>0</v>
      </c>
      <c r="AF113">
        <v>0</v>
      </c>
      <c r="AG113">
        <v>0</v>
      </c>
      <c r="AH113">
        <v>8.74</v>
      </c>
      <c r="AI113">
        <v>1</v>
      </c>
      <c r="AJ113">
        <v>1</v>
      </c>
      <c r="AK113">
        <v>1</v>
      </c>
      <c r="AL113">
        <v>1</v>
      </c>
      <c r="AN113">
        <v>0</v>
      </c>
      <c r="AO113">
        <v>1</v>
      </c>
      <c r="AP113">
        <v>1</v>
      </c>
      <c r="AQ113">
        <v>0</v>
      </c>
      <c r="AR113">
        <v>0</v>
      </c>
      <c r="AS113" t="s">
        <v>4</v>
      </c>
      <c r="AT113">
        <v>63</v>
      </c>
      <c r="AU113" t="s">
        <v>30</v>
      </c>
      <c r="AV113">
        <v>1</v>
      </c>
      <c r="AW113">
        <v>2</v>
      </c>
      <c r="AX113">
        <v>16501458</v>
      </c>
      <c r="AY113">
        <v>1</v>
      </c>
      <c r="AZ113">
        <v>0</v>
      </c>
      <c r="BA113">
        <v>113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CX113">
        <f>Y113*Source!I70</f>
        <v>26.299349999999993</v>
      </c>
      <c r="CY113">
        <f>AD113</f>
        <v>8.74</v>
      </c>
      <c r="CZ113">
        <f>AH113</f>
        <v>8.74</v>
      </c>
      <c r="DA113">
        <f>AL113</f>
        <v>1</v>
      </c>
      <c r="DB113">
        <v>0</v>
      </c>
    </row>
    <row r="114" spans="1:106" x14ac:dyDescent="0.2">
      <c r="A114">
        <f>ROW(Source!A70)</f>
        <v>70</v>
      </c>
      <c r="B114">
        <v>16501254</v>
      </c>
      <c r="C114">
        <v>16501448</v>
      </c>
      <c r="D114">
        <v>15430395</v>
      </c>
      <c r="E114">
        <v>1</v>
      </c>
      <c r="F114">
        <v>1</v>
      </c>
      <c r="G114">
        <v>1</v>
      </c>
      <c r="H114">
        <v>1</v>
      </c>
      <c r="I114" t="s">
        <v>253</v>
      </c>
      <c r="J114" t="s">
        <v>4</v>
      </c>
      <c r="K114" t="s">
        <v>254</v>
      </c>
      <c r="L114">
        <v>1191</v>
      </c>
      <c r="N114">
        <v>1013</v>
      </c>
      <c r="O114" t="s">
        <v>252</v>
      </c>
      <c r="P114" t="s">
        <v>252</v>
      </c>
      <c r="Q114">
        <v>1</v>
      </c>
      <c r="W114">
        <v>0</v>
      </c>
      <c r="X114">
        <v>-1417349443</v>
      </c>
      <c r="Y114">
        <v>0.18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1</v>
      </c>
      <c r="AJ114">
        <v>1</v>
      </c>
      <c r="AK114">
        <v>1</v>
      </c>
      <c r="AL114">
        <v>1</v>
      </c>
      <c r="AN114">
        <v>0</v>
      </c>
      <c r="AO114">
        <v>1</v>
      </c>
      <c r="AP114">
        <v>0</v>
      </c>
      <c r="AQ114">
        <v>0</v>
      </c>
      <c r="AR114">
        <v>0</v>
      </c>
      <c r="AS114" t="s">
        <v>4</v>
      </c>
      <c r="AT114">
        <v>0.18</v>
      </c>
      <c r="AU114" t="s">
        <v>4</v>
      </c>
      <c r="AV114">
        <v>2</v>
      </c>
      <c r="AW114">
        <v>2</v>
      </c>
      <c r="AX114">
        <v>16501459</v>
      </c>
      <c r="AY114">
        <v>1</v>
      </c>
      <c r="AZ114">
        <v>2048</v>
      </c>
      <c r="BA114">
        <v>114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CX114">
        <f>Y114*Source!I70</f>
        <v>6.5339999999999995E-2</v>
      </c>
      <c r="CY114">
        <f>AD114</f>
        <v>0</v>
      </c>
      <c r="CZ114">
        <f>AH114</f>
        <v>0</v>
      </c>
      <c r="DA114">
        <f>AL114</f>
        <v>1</v>
      </c>
      <c r="DB114">
        <v>0</v>
      </c>
    </row>
    <row r="115" spans="1:106" x14ac:dyDescent="0.2">
      <c r="A115">
        <f>ROW(Source!A70)</f>
        <v>70</v>
      </c>
      <c r="B115">
        <v>16501254</v>
      </c>
      <c r="C115">
        <v>16501448</v>
      </c>
      <c r="D115">
        <v>15247970</v>
      </c>
      <c r="E115">
        <v>1</v>
      </c>
      <c r="F115">
        <v>1</v>
      </c>
      <c r="G115">
        <v>1</v>
      </c>
      <c r="H115">
        <v>2</v>
      </c>
      <c r="I115" t="s">
        <v>261</v>
      </c>
      <c r="J115" t="s">
        <v>262</v>
      </c>
      <c r="K115" t="s">
        <v>263</v>
      </c>
      <c r="L115">
        <v>1368</v>
      </c>
      <c r="N115">
        <v>1011</v>
      </c>
      <c r="O115" t="s">
        <v>258</v>
      </c>
      <c r="P115" t="s">
        <v>258</v>
      </c>
      <c r="Q115">
        <v>1</v>
      </c>
      <c r="W115">
        <v>0</v>
      </c>
      <c r="X115">
        <v>368031958</v>
      </c>
      <c r="Y115">
        <v>2.5000000000000001E-2</v>
      </c>
      <c r="AA115">
        <v>0</v>
      </c>
      <c r="AB115">
        <v>27.66</v>
      </c>
      <c r="AC115">
        <v>11.6</v>
      </c>
      <c r="AD115">
        <v>0</v>
      </c>
      <c r="AE115">
        <v>0</v>
      </c>
      <c r="AF115">
        <v>27.66</v>
      </c>
      <c r="AG115">
        <v>11.6</v>
      </c>
      <c r="AH115">
        <v>0</v>
      </c>
      <c r="AI115">
        <v>1</v>
      </c>
      <c r="AJ115">
        <v>1</v>
      </c>
      <c r="AK115">
        <v>1</v>
      </c>
      <c r="AL115">
        <v>1</v>
      </c>
      <c r="AN115">
        <v>0</v>
      </c>
      <c r="AO115">
        <v>1</v>
      </c>
      <c r="AP115">
        <v>1</v>
      </c>
      <c r="AQ115">
        <v>0</v>
      </c>
      <c r="AR115">
        <v>0</v>
      </c>
      <c r="AS115" t="s">
        <v>4</v>
      </c>
      <c r="AT115">
        <v>0.02</v>
      </c>
      <c r="AU115" t="s">
        <v>29</v>
      </c>
      <c r="AV115">
        <v>0</v>
      </c>
      <c r="AW115">
        <v>2</v>
      </c>
      <c r="AX115">
        <v>16501460</v>
      </c>
      <c r="AY115">
        <v>1</v>
      </c>
      <c r="AZ115">
        <v>0</v>
      </c>
      <c r="BA115">
        <v>115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CX115">
        <f>Y115*Source!I70</f>
        <v>9.0749999999999997E-3</v>
      </c>
      <c r="CY115">
        <f>AB115</f>
        <v>27.66</v>
      </c>
      <c r="CZ115">
        <f>AF115</f>
        <v>27.66</v>
      </c>
      <c r="DA115">
        <f>AJ115</f>
        <v>1</v>
      </c>
      <c r="DB115">
        <v>0</v>
      </c>
    </row>
    <row r="116" spans="1:106" x14ac:dyDescent="0.2">
      <c r="A116">
        <f>ROW(Source!A70)</f>
        <v>70</v>
      </c>
      <c r="B116">
        <v>16501254</v>
      </c>
      <c r="C116">
        <v>16501448</v>
      </c>
      <c r="D116">
        <v>15249073</v>
      </c>
      <c r="E116">
        <v>1</v>
      </c>
      <c r="F116">
        <v>1</v>
      </c>
      <c r="G116">
        <v>1</v>
      </c>
      <c r="H116">
        <v>2</v>
      </c>
      <c r="I116" t="s">
        <v>264</v>
      </c>
      <c r="J116" t="s">
        <v>265</v>
      </c>
      <c r="K116" t="s">
        <v>266</v>
      </c>
      <c r="L116">
        <v>1368</v>
      </c>
      <c r="N116">
        <v>1011</v>
      </c>
      <c r="O116" t="s">
        <v>258</v>
      </c>
      <c r="P116" t="s">
        <v>258</v>
      </c>
      <c r="Q116">
        <v>1</v>
      </c>
      <c r="W116">
        <v>0</v>
      </c>
      <c r="X116">
        <v>1372534845</v>
      </c>
      <c r="Y116">
        <v>0.2</v>
      </c>
      <c r="AA116">
        <v>0</v>
      </c>
      <c r="AB116">
        <v>65.709999999999994</v>
      </c>
      <c r="AC116">
        <v>11.6</v>
      </c>
      <c r="AD116">
        <v>0</v>
      </c>
      <c r="AE116">
        <v>0</v>
      </c>
      <c r="AF116">
        <v>65.709999999999994</v>
      </c>
      <c r="AG116">
        <v>11.6</v>
      </c>
      <c r="AH116">
        <v>0</v>
      </c>
      <c r="AI116">
        <v>1</v>
      </c>
      <c r="AJ116">
        <v>1</v>
      </c>
      <c r="AK116">
        <v>1</v>
      </c>
      <c r="AL116">
        <v>1</v>
      </c>
      <c r="AN116">
        <v>0</v>
      </c>
      <c r="AO116">
        <v>1</v>
      </c>
      <c r="AP116">
        <v>1</v>
      </c>
      <c r="AQ116">
        <v>0</v>
      </c>
      <c r="AR116">
        <v>0</v>
      </c>
      <c r="AS116" t="s">
        <v>4</v>
      </c>
      <c r="AT116">
        <v>0.16</v>
      </c>
      <c r="AU116" t="s">
        <v>29</v>
      </c>
      <c r="AV116">
        <v>0</v>
      </c>
      <c r="AW116">
        <v>2</v>
      </c>
      <c r="AX116">
        <v>16501461</v>
      </c>
      <c r="AY116">
        <v>1</v>
      </c>
      <c r="AZ116">
        <v>0</v>
      </c>
      <c r="BA116">
        <v>116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CX116">
        <f>Y116*Source!I70</f>
        <v>7.2599999999999998E-2</v>
      </c>
      <c r="CY116">
        <f>AB116</f>
        <v>65.709999999999994</v>
      </c>
      <c r="CZ116">
        <f>AF116</f>
        <v>65.709999999999994</v>
      </c>
      <c r="DA116">
        <f>AJ116</f>
        <v>1</v>
      </c>
      <c r="DB116">
        <v>0</v>
      </c>
    </row>
    <row r="117" spans="1:106" x14ac:dyDescent="0.2">
      <c r="A117">
        <f>ROW(Source!A70)</f>
        <v>70</v>
      </c>
      <c r="B117">
        <v>16501254</v>
      </c>
      <c r="C117">
        <v>16501448</v>
      </c>
      <c r="D117">
        <v>15170682</v>
      </c>
      <c r="E117">
        <v>1</v>
      </c>
      <c r="F117">
        <v>1</v>
      </c>
      <c r="G117">
        <v>1</v>
      </c>
      <c r="H117">
        <v>3</v>
      </c>
      <c r="I117" t="s">
        <v>300</v>
      </c>
      <c r="J117" t="s">
        <v>301</v>
      </c>
      <c r="K117" t="s">
        <v>302</v>
      </c>
      <c r="L117">
        <v>1327</v>
      </c>
      <c r="N117">
        <v>1005</v>
      </c>
      <c r="O117" t="s">
        <v>50</v>
      </c>
      <c r="P117" t="s">
        <v>50</v>
      </c>
      <c r="Q117">
        <v>1</v>
      </c>
      <c r="W117">
        <v>0</v>
      </c>
      <c r="X117">
        <v>-1987926685</v>
      </c>
      <c r="Y117">
        <v>0.84</v>
      </c>
      <c r="AA117">
        <v>72.319999999999993</v>
      </c>
      <c r="AB117">
        <v>0</v>
      </c>
      <c r="AC117">
        <v>0</v>
      </c>
      <c r="AD117">
        <v>0</v>
      </c>
      <c r="AE117">
        <v>72.319999999999993</v>
      </c>
      <c r="AF117">
        <v>0</v>
      </c>
      <c r="AG117">
        <v>0</v>
      </c>
      <c r="AH117">
        <v>0</v>
      </c>
      <c r="AI117">
        <v>1</v>
      </c>
      <c r="AJ117">
        <v>1</v>
      </c>
      <c r="AK117">
        <v>1</v>
      </c>
      <c r="AL117">
        <v>1</v>
      </c>
      <c r="AN117">
        <v>0</v>
      </c>
      <c r="AO117">
        <v>1</v>
      </c>
      <c r="AP117">
        <v>0</v>
      </c>
      <c r="AQ117">
        <v>0</v>
      </c>
      <c r="AR117">
        <v>0</v>
      </c>
      <c r="AS117" t="s">
        <v>4</v>
      </c>
      <c r="AT117">
        <v>0.84</v>
      </c>
      <c r="AU117" t="s">
        <v>4</v>
      </c>
      <c r="AV117">
        <v>0</v>
      </c>
      <c r="AW117">
        <v>2</v>
      </c>
      <c r="AX117">
        <v>16501462</v>
      </c>
      <c r="AY117">
        <v>1</v>
      </c>
      <c r="AZ117">
        <v>0</v>
      </c>
      <c r="BA117">
        <v>117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CX117">
        <f>Y117*Source!I70</f>
        <v>0.30491999999999997</v>
      </c>
      <c r="CY117">
        <f>AA117</f>
        <v>72.319999999999993</v>
      </c>
      <c r="CZ117">
        <f>AE117</f>
        <v>72.319999999999993</v>
      </c>
      <c r="DA117">
        <f>AI117</f>
        <v>1</v>
      </c>
      <c r="DB117">
        <v>0</v>
      </c>
    </row>
    <row r="118" spans="1:106" x14ac:dyDescent="0.2">
      <c r="A118">
        <f>ROW(Source!A70)</f>
        <v>70</v>
      </c>
      <c r="B118">
        <v>16501254</v>
      </c>
      <c r="C118">
        <v>16501448</v>
      </c>
      <c r="D118">
        <v>15171018</v>
      </c>
      <c r="E118">
        <v>1</v>
      </c>
      <c r="F118">
        <v>1</v>
      </c>
      <c r="G118">
        <v>1</v>
      </c>
      <c r="H118">
        <v>3</v>
      </c>
      <c r="I118" t="s">
        <v>280</v>
      </c>
      <c r="J118" t="s">
        <v>281</v>
      </c>
      <c r="K118" t="s">
        <v>282</v>
      </c>
      <c r="L118">
        <v>1346</v>
      </c>
      <c r="N118">
        <v>1009</v>
      </c>
      <c r="O118" t="s">
        <v>277</v>
      </c>
      <c r="P118" t="s">
        <v>277</v>
      </c>
      <c r="Q118">
        <v>1</v>
      </c>
      <c r="W118">
        <v>0</v>
      </c>
      <c r="X118">
        <v>813963326</v>
      </c>
      <c r="Y118">
        <v>0.31</v>
      </c>
      <c r="AA118">
        <v>1.82</v>
      </c>
      <c r="AB118">
        <v>0</v>
      </c>
      <c r="AC118">
        <v>0</v>
      </c>
      <c r="AD118">
        <v>0</v>
      </c>
      <c r="AE118">
        <v>1.82</v>
      </c>
      <c r="AF118">
        <v>0</v>
      </c>
      <c r="AG118">
        <v>0</v>
      </c>
      <c r="AH118">
        <v>0</v>
      </c>
      <c r="AI118">
        <v>1</v>
      </c>
      <c r="AJ118">
        <v>1</v>
      </c>
      <c r="AK118">
        <v>1</v>
      </c>
      <c r="AL118">
        <v>1</v>
      </c>
      <c r="AN118">
        <v>0</v>
      </c>
      <c r="AO118">
        <v>1</v>
      </c>
      <c r="AP118">
        <v>0</v>
      </c>
      <c r="AQ118">
        <v>0</v>
      </c>
      <c r="AR118">
        <v>0</v>
      </c>
      <c r="AS118" t="s">
        <v>4</v>
      </c>
      <c r="AT118">
        <v>0.31</v>
      </c>
      <c r="AU118" t="s">
        <v>4</v>
      </c>
      <c r="AV118">
        <v>0</v>
      </c>
      <c r="AW118">
        <v>2</v>
      </c>
      <c r="AX118">
        <v>16501463</v>
      </c>
      <c r="AY118">
        <v>1</v>
      </c>
      <c r="AZ118">
        <v>0</v>
      </c>
      <c r="BA118">
        <v>118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CX118">
        <f>Y118*Source!I70</f>
        <v>0.11252999999999999</v>
      </c>
      <c r="CY118">
        <f>AA118</f>
        <v>1.82</v>
      </c>
      <c r="CZ118">
        <f>AE118</f>
        <v>1.82</v>
      </c>
      <c r="DA118">
        <f>AI118</f>
        <v>1</v>
      </c>
      <c r="DB118">
        <v>0</v>
      </c>
    </row>
    <row r="119" spans="1:106" x14ac:dyDescent="0.2">
      <c r="A119">
        <f>ROW(Source!A70)</f>
        <v>70</v>
      </c>
      <c r="B119">
        <v>16501254</v>
      </c>
      <c r="C119">
        <v>16501448</v>
      </c>
      <c r="D119">
        <v>15203233</v>
      </c>
      <c r="E119">
        <v>1</v>
      </c>
      <c r="F119">
        <v>1</v>
      </c>
      <c r="G119">
        <v>1</v>
      </c>
      <c r="H119">
        <v>3</v>
      </c>
      <c r="I119" t="s">
        <v>110</v>
      </c>
      <c r="J119" t="s">
        <v>112</v>
      </c>
      <c r="K119" t="s">
        <v>111</v>
      </c>
      <c r="L119">
        <v>1348</v>
      </c>
      <c r="N119">
        <v>1009</v>
      </c>
      <c r="O119" t="s">
        <v>58</v>
      </c>
      <c r="P119" t="s">
        <v>58</v>
      </c>
      <c r="Q119">
        <v>1000</v>
      </c>
      <c r="W119">
        <v>0</v>
      </c>
      <c r="X119">
        <v>-1919714308</v>
      </c>
      <c r="Y119">
        <v>2.1999999999999999E-2</v>
      </c>
      <c r="AA119">
        <v>18390.16</v>
      </c>
      <c r="AB119">
        <v>0</v>
      </c>
      <c r="AC119">
        <v>0</v>
      </c>
      <c r="AD119">
        <v>0</v>
      </c>
      <c r="AE119">
        <v>18390.16</v>
      </c>
      <c r="AF119">
        <v>0</v>
      </c>
      <c r="AG119">
        <v>0</v>
      </c>
      <c r="AH119">
        <v>0</v>
      </c>
      <c r="AI119">
        <v>1</v>
      </c>
      <c r="AJ119">
        <v>1</v>
      </c>
      <c r="AK119">
        <v>1</v>
      </c>
      <c r="AL119">
        <v>1</v>
      </c>
      <c r="AN119">
        <v>0</v>
      </c>
      <c r="AO119">
        <v>0</v>
      </c>
      <c r="AP119">
        <v>0</v>
      </c>
      <c r="AQ119">
        <v>0</v>
      </c>
      <c r="AR119">
        <v>0</v>
      </c>
      <c r="AS119" t="s">
        <v>4</v>
      </c>
      <c r="AT119">
        <v>2.1999999999999999E-2</v>
      </c>
      <c r="AU119" t="s">
        <v>4</v>
      </c>
      <c r="AV119">
        <v>0</v>
      </c>
      <c r="AW119">
        <v>1</v>
      </c>
      <c r="AX119">
        <v>-1</v>
      </c>
      <c r="AY119">
        <v>0</v>
      </c>
      <c r="AZ119">
        <v>0</v>
      </c>
      <c r="BA119" t="s">
        <v>4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CX119">
        <f>Y119*Source!I70</f>
        <v>7.986E-3</v>
      </c>
      <c r="CY119">
        <f>AA119</f>
        <v>18390.16</v>
      </c>
      <c r="CZ119">
        <f>AE119</f>
        <v>18390.16</v>
      </c>
      <c r="DA119">
        <f>AI119</f>
        <v>1</v>
      </c>
      <c r="DB119">
        <v>0</v>
      </c>
    </row>
    <row r="120" spans="1:106" x14ac:dyDescent="0.2">
      <c r="A120">
        <f>ROW(Source!A70)</f>
        <v>70</v>
      </c>
      <c r="B120">
        <v>16501254</v>
      </c>
      <c r="C120">
        <v>16501448</v>
      </c>
      <c r="D120">
        <v>15203251</v>
      </c>
      <c r="E120">
        <v>1</v>
      </c>
      <c r="F120">
        <v>1</v>
      </c>
      <c r="G120">
        <v>1</v>
      </c>
      <c r="H120">
        <v>3</v>
      </c>
      <c r="I120" t="s">
        <v>118</v>
      </c>
      <c r="J120" t="s">
        <v>120</v>
      </c>
      <c r="K120" t="s">
        <v>119</v>
      </c>
      <c r="L120">
        <v>1348</v>
      </c>
      <c r="N120">
        <v>1009</v>
      </c>
      <c r="O120" t="s">
        <v>58</v>
      </c>
      <c r="P120" t="s">
        <v>58</v>
      </c>
      <c r="Q120">
        <v>1000</v>
      </c>
      <c r="W120">
        <v>0</v>
      </c>
      <c r="X120">
        <v>763838732</v>
      </c>
      <c r="Y120">
        <v>3.3000000000000002E-2</v>
      </c>
      <c r="AA120">
        <v>7627.37</v>
      </c>
      <c r="AB120">
        <v>0</v>
      </c>
      <c r="AC120">
        <v>0</v>
      </c>
      <c r="AD120">
        <v>0</v>
      </c>
      <c r="AE120">
        <v>7627.37</v>
      </c>
      <c r="AF120">
        <v>0</v>
      </c>
      <c r="AG120">
        <v>0</v>
      </c>
      <c r="AH120">
        <v>0</v>
      </c>
      <c r="AI120">
        <v>1</v>
      </c>
      <c r="AJ120">
        <v>1</v>
      </c>
      <c r="AK120">
        <v>1</v>
      </c>
      <c r="AL120">
        <v>1</v>
      </c>
      <c r="AN120">
        <v>0</v>
      </c>
      <c r="AO120">
        <v>0</v>
      </c>
      <c r="AP120">
        <v>0</v>
      </c>
      <c r="AQ120">
        <v>0</v>
      </c>
      <c r="AR120">
        <v>0</v>
      </c>
      <c r="AS120" t="s">
        <v>4</v>
      </c>
      <c r="AT120">
        <v>3.3000000000000002E-2</v>
      </c>
      <c r="AU120" t="s">
        <v>4</v>
      </c>
      <c r="AV120">
        <v>0</v>
      </c>
      <c r="AW120">
        <v>1</v>
      </c>
      <c r="AX120">
        <v>-1</v>
      </c>
      <c r="AY120">
        <v>0</v>
      </c>
      <c r="AZ120">
        <v>0</v>
      </c>
      <c r="BA120" t="s">
        <v>4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CX120">
        <f>Y120*Source!I70</f>
        <v>1.1979E-2</v>
      </c>
      <c r="CY120">
        <f>AA120</f>
        <v>7627.37</v>
      </c>
      <c r="CZ120">
        <f>AE120</f>
        <v>7627.37</v>
      </c>
      <c r="DA120">
        <f>AI120</f>
        <v>1</v>
      </c>
      <c r="DB120">
        <v>0</v>
      </c>
    </row>
    <row r="121" spans="1:106" x14ac:dyDescent="0.2">
      <c r="A121">
        <f>ROW(Source!A70)</f>
        <v>70</v>
      </c>
      <c r="B121">
        <v>16501254</v>
      </c>
      <c r="C121">
        <v>16501448</v>
      </c>
      <c r="D121">
        <v>15204737</v>
      </c>
      <c r="E121">
        <v>1</v>
      </c>
      <c r="F121">
        <v>1</v>
      </c>
      <c r="G121">
        <v>1</v>
      </c>
      <c r="H121">
        <v>3</v>
      </c>
      <c r="I121" t="s">
        <v>303</v>
      </c>
      <c r="J121" t="s">
        <v>304</v>
      </c>
      <c r="K121" t="s">
        <v>305</v>
      </c>
      <c r="L121">
        <v>1348</v>
      </c>
      <c r="N121">
        <v>1009</v>
      </c>
      <c r="O121" t="s">
        <v>58</v>
      </c>
      <c r="P121" t="s">
        <v>58</v>
      </c>
      <c r="Q121">
        <v>1000</v>
      </c>
      <c r="W121">
        <v>0</v>
      </c>
      <c r="X121">
        <v>181729109</v>
      </c>
      <c r="Y121">
        <v>5.5E-2</v>
      </c>
      <c r="AA121">
        <v>11397.1</v>
      </c>
      <c r="AB121">
        <v>0</v>
      </c>
      <c r="AC121">
        <v>0</v>
      </c>
      <c r="AD121">
        <v>0</v>
      </c>
      <c r="AE121">
        <v>11397.1</v>
      </c>
      <c r="AF121">
        <v>0</v>
      </c>
      <c r="AG121">
        <v>0</v>
      </c>
      <c r="AH121">
        <v>0</v>
      </c>
      <c r="AI121">
        <v>1</v>
      </c>
      <c r="AJ121">
        <v>1</v>
      </c>
      <c r="AK121">
        <v>1</v>
      </c>
      <c r="AL121">
        <v>1</v>
      </c>
      <c r="AN121">
        <v>0</v>
      </c>
      <c r="AO121">
        <v>1</v>
      </c>
      <c r="AP121">
        <v>0</v>
      </c>
      <c r="AQ121">
        <v>0</v>
      </c>
      <c r="AR121">
        <v>0</v>
      </c>
      <c r="AS121" t="s">
        <v>4</v>
      </c>
      <c r="AT121">
        <v>5.5E-2</v>
      </c>
      <c r="AU121" t="s">
        <v>4</v>
      </c>
      <c r="AV121">
        <v>0</v>
      </c>
      <c r="AW121">
        <v>2</v>
      </c>
      <c r="AX121">
        <v>16501466</v>
      </c>
      <c r="AY121">
        <v>1</v>
      </c>
      <c r="AZ121">
        <v>0</v>
      </c>
      <c r="BA121">
        <v>121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CX121">
        <f>Y121*Source!I70</f>
        <v>1.9965E-2</v>
      </c>
      <c r="CY121">
        <f>AA121</f>
        <v>11397.1</v>
      </c>
      <c r="CZ121">
        <f>AE121</f>
        <v>11397.1</v>
      </c>
      <c r="DA121">
        <f>AI121</f>
        <v>1</v>
      </c>
      <c r="DB121">
        <v>0</v>
      </c>
    </row>
    <row r="122" spans="1:106" x14ac:dyDescent="0.2">
      <c r="A122">
        <f>ROW(Source!A71)</f>
        <v>71</v>
      </c>
      <c r="B122">
        <v>16501255</v>
      </c>
      <c r="C122">
        <v>16501448</v>
      </c>
      <c r="D122">
        <v>15436014</v>
      </c>
      <c r="E122">
        <v>1</v>
      </c>
      <c r="F122">
        <v>1</v>
      </c>
      <c r="G122">
        <v>1</v>
      </c>
      <c r="H122">
        <v>1</v>
      </c>
      <c r="I122" t="s">
        <v>298</v>
      </c>
      <c r="J122" t="s">
        <v>4</v>
      </c>
      <c r="K122" t="s">
        <v>299</v>
      </c>
      <c r="L122">
        <v>1191</v>
      </c>
      <c r="N122">
        <v>1013</v>
      </c>
      <c r="O122" t="s">
        <v>252</v>
      </c>
      <c r="P122" t="s">
        <v>252</v>
      </c>
      <c r="Q122">
        <v>1</v>
      </c>
      <c r="W122">
        <v>0</v>
      </c>
      <c r="X122">
        <v>-784637506</v>
      </c>
      <c r="Y122">
        <v>72.449999999999989</v>
      </c>
      <c r="AA122">
        <v>0</v>
      </c>
      <c r="AB122">
        <v>0</v>
      </c>
      <c r="AC122">
        <v>0</v>
      </c>
      <c r="AD122">
        <v>53.14</v>
      </c>
      <c r="AE122">
        <v>0</v>
      </c>
      <c r="AF122">
        <v>0</v>
      </c>
      <c r="AG122">
        <v>0</v>
      </c>
      <c r="AH122">
        <v>8.74</v>
      </c>
      <c r="AI122">
        <v>1</v>
      </c>
      <c r="AJ122">
        <v>1</v>
      </c>
      <c r="AK122">
        <v>1</v>
      </c>
      <c r="AL122">
        <v>6.08</v>
      </c>
      <c r="AN122">
        <v>0</v>
      </c>
      <c r="AO122">
        <v>1</v>
      </c>
      <c r="AP122">
        <v>1</v>
      </c>
      <c r="AQ122">
        <v>0</v>
      </c>
      <c r="AR122">
        <v>0</v>
      </c>
      <c r="AS122" t="s">
        <v>4</v>
      </c>
      <c r="AT122">
        <v>63</v>
      </c>
      <c r="AU122" t="s">
        <v>30</v>
      </c>
      <c r="AV122">
        <v>1</v>
      </c>
      <c r="AW122">
        <v>2</v>
      </c>
      <c r="AX122">
        <v>16501458</v>
      </c>
      <c r="AY122">
        <v>1</v>
      </c>
      <c r="AZ122">
        <v>0</v>
      </c>
      <c r="BA122">
        <v>122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CX122">
        <f>Y122*Source!I71</f>
        <v>26.299349999999993</v>
      </c>
      <c r="CY122">
        <f>AD122</f>
        <v>53.14</v>
      </c>
      <c r="CZ122">
        <f>AH122</f>
        <v>8.74</v>
      </c>
      <c r="DA122">
        <f>AL122</f>
        <v>6.08</v>
      </c>
      <c r="DB122">
        <v>0</v>
      </c>
    </row>
    <row r="123" spans="1:106" x14ac:dyDescent="0.2">
      <c r="A123">
        <f>ROW(Source!A71)</f>
        <v>71</v>
      </c>
      <c r="B123">
        <v>16501255</v>
      </c>
      <c r="C123">
        <v>16501448</v>
      </c>
      <c r="D123">
        <v>15430395</v>
      </c>
      <c r="E123">
        <v>1</v>
      </c>
      <c r="F123">
        <v>1</v>
      </c>
      <c r="G123">
        <v>1</v>
      </c>
      <c r="H123">
        <v>1</v>
      </c>
      <c r="I123" t="s">
        <v>253</v>
      </c>
      <c r="J123" t="s">
        <v>4</v>
      </c>
      <c r="K123" t="s">
        <v>254</v>
      </c>
      <c r="L123">
        <v>1191</v>
      </c>
      <c r="N123">
        <v>1013</v>
      </c>
      <c r="O123" t="s">
        <v>252</v>
      </c>
      <c r="P123" t="s">
        <v>252</v>
      </c>
      <c r="Q123">
        <v>1</v>
      </c>
      <c r="W123">
        <v>0</v>
      </c>
      <c r="X123">
        <v>-1417349443</v>
      </c>
      <c r="Y123">
        <v>0.18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1</v>
      </c>
      <c r="AJ123">
        <v>1</v>
      </c>
      <c r="AK123">
        <v>6.08</v>
      </c>
      <c r="AL123">
        <v>1</v>
      </c>
      <c r="AN123">
        <v>0</v>
      </c>
      <c r="AO123">
        <v>1</v>
      </c>
      <c r="AP123">
        <v>0</v>
      </c>
      <c r="AQ123">
        <v>0</v>
      </c>
      <c r="AR123">
        <v>0</v>
      </c>
      <c r="AS123" t="s">
        <v>4</v>
      </c>
      <c r="AT123">
        <v>0.18</v>
      </c>
      <c r="AU123" t="s">
        <v>4</v>
      </c>
      <c r="AV123">
        <v>2</v>
      </c>
      <c r="AW123">
        <v>2</v>
      </c>
      <c r="AX123">
        <v>16501459</v>
      </c>
      <c r="AY123">
        <v>1</v>
      </c>
      <c r="AZ123">
        <v>2048</v>
      </c>
      <c r="BA123">
        <v>123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CX123">
        <f>Y123*Source!I71</f>
        <v>6.5339999999999995E-2</v>
      </c>
      <c r="CY123">
        <f>AD123</f>
        <v>0</v>
      </c>
      <c r="CZ123">
        <f>AH123</f>
        <v>0</v>
      </c>
      <c r="DA123">
        <f>AL123</f>
        <v>1</v>
      </c>
      <c r="DB123">
        <v>0</v>
      </c>
    </row>
    <row r="124" spans="1:106" x14ac:dyDescent="0.2">
      <c r="A124">
        <f>ROW(Source!A71)</f>
        <v>71</v>
      </c>
      <c r="B124">
        <v>16501255</v>
      </c>
      <c r="C124">
        <v>16501448</v>
      </c>
      <c r="D124">
        <v>15247970</v>
      </c>
      <c r="E124">
        <v>1</v>
      </c>
      <c r="F124">
        <v>1</v>
      </c>
      <c r="G124">
        <v>1</v>
      </c>
      <c r="H124">
        <v>2</v>
      </c>
      <c r="I124" t="s">
        <v>261</v>
      </c>
      <c r="J124" t="s">
        <v>262</v>
      </c>
      <c r="K124" t="s">
        <v>263</v>
      </c>
      <c r="L124">
        <v>1368</v>
      </c>
      <c r="N124">
        <v>1011</v>
      </c>
      <c r="O124" t="s">
        <v>258</v>
      </c>
      <c r="P124" t="s">
        <v>258</v>
      </c>
      <c r="Q124">
        <v>1</v>
      </c>
      <c r="W124">
        <v>0</v>
      </c>
      <c r="X124">
        <v>368031958</v>
      </c>
      <c r="Y124">
        <v>2.5000000000000001E-2</v>
      </c>
      <c r="AA124">
        <v>0</v>
      </c>
      <c r="AB124">
        <v>168.17</v>
      </c>
      <c r="AC124">
        <v>11.6</v>
      </c>
      <c r="AD124">
        <v>0</v>
      </c>
      <c r="AE124">
        <v>0</v>
      </c>
      <c r="AF124">
        <v>27.66</v>
      </c>
      <c r="AG124">
        <v>11.6</v>
      </c>
      <c r="AH124">
        <v>0</v>
      </c>
      <c r="AI124">
        <v>1</v>
      </c>
      <c r="AJ124">
        <v>6.08</v>
      </c>
      <c r="AK124">
        <v>1</v>
      </c>
      <c r="AL124">
        <v>1</v>
      </c>
      <c r="AN124">
        <v>0</v>
      </c>
      <c r="AO124">
        <v>1</v>
      </c>
      <c r="AP124">
        <v>1</v>
      </c>
      <c r="AQ124">
        <v>0</v>
      </c>
      <c r="AR124">
        <v>0</v>
      </c>
      <c r="AS124" t="s">
        <v>4</v>
      </c>
      <c r="AT124">
        <v>0.02</v>
      </c>
      <c r="AU124" t="s">
        <v>29</v>
      </c>
      <c r="AV124">
        <v>0</v>
      </c>
      <c r="AW124">
        <v>2</v>
      </c>
      <c r="AX124">
        <v>16501460</v>
      </c>
      <c r="AY124">
        <v>1</v>
      </c>
      <c r="AZ124">
        <v>0</v>
      </c>
      <c r="BA124">
        <v>124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CX124">
        <f>Y124*Source!I71</f>
        <v>9.0749999999999997E-3</v>
      </c>
      <c r="CY124">
        <f>AB124</f>
        <v>168.17</v>
      </c>
      <c r="CZ124">
        <f>AF124</f>
        <v>27.66</v>
      </c>
      <c r="DA124">
        <f>AJ124</f>
        <v>6.08</v>
      </c>
      <c r="DB124">
        <v>0</v>
      </c>
    </row>
    <row r="125" spans="1:106" x14ac:dyDescent="0.2">
      <c r="A125">
        <f>ROW(Source!A71)</f>
        <v>71</v>
      </c>
      <c r="B125">
        <v>16501255</v>
      </c>
      <c r="C125">
        <v>16501448</v>
      </c>
      <c r="D125">
        <v>15249073</v>
      </c>
      <c r="E125">
        <v>1</v>
      </c>
      <c r="F125">
        <v>1</v>
      </c>
      <c r="G125">
        <v>1</v>
      </c>
      <c r="H125">
        <v>2</v>
      </c>
      <c r="I125" t="s">
        <v>264</v>
      </c>
      <c r="J125" t="s">
        <v>265</v>
      </c>
      <c r="K125" t="s">
        <v>266</v>
      </c>
      <c r="L125">
        <v>1368</v>
      </c>
      <c r="N125">
        <v>1011</v>
      </c>
      <c r="O125" t="s">
        <v>258</v>
      </c>
      <c r="P125" t="s">
        <v>258</v>
      </c>
      <c r="Q125">
        <v>1</v>
      </c>
      <c r="W125">
        <v>0</v>
      </c>
      <c r="X125">
        <v>1372534845</v>
      </c>
      <c r="Y125">
        <v>0.2</v>
      </c>
      <c r="AA125">
        <v>0</v>
      </c>
      <c r="AB125">
        <v>399.52</v>
      </c>
      <c r="AC125">
        <v>11.6</v>
      </c>
      <c r="AD125">
        <v>0</v>
      </c>
      <c r="AE125">
        <v>0</v>
      </c>
      <c r="AF125">
        <v>65.709999999999994</v>
      </c>
      <c r="AG125">
        <v>11.6</v>
      </c>
      <c r="AH125">
        <v>0</v>
      </c>
      <c r="AI125">
        <v>1</v>
      </c>
      <c r="AJ125">
        <v>6.08</v>
      </c>
      <c r="AK125">
        <v>1</v>
      </c>
      <c r="AL125">
        <v>1</v>
      </c>
      <c r="AN125">
        <v>0</v>
      </c>
      <c r="AO125">
        <v>1</v>
      </c>
      <c r="AP125">
        <v>1</v>
      </c>
      <c r="AQ125">
        <v>0</v>
      </c>
      <c r="AR125">
        <v>0</v>
      </c>
      <c r="AS125" t="s">
        <v>4</v>
      </c>
      <c r="AT125">
        <v>0.16</v>
      </c>
      <c r="AU125" t="s">
        <v>29</v>
      </c>
      <c r="AV125">
        <v>0</v>
      </c>
      <c r="AW125">
        <v>2</v>
      </c>
      <c r="AX125">
        <v>16501461</v>
      </c>
      <c r="AY125">
        <v>1</v>
      </c>
      <c r="AZ125">
        <v>0</v>
      </c>
      <c r="BA125">
        <v>125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CX125">
        <f>Y125*Source!I71</f>
        <v>7.2599999999999998E-2</v>
      </c>
      <c r="CY125">
        <f>AB125</f>
        <v>399.52</v>
      </c>
      <c r="CZ125">
        <f>AF125</f>
        <v>65.709999999999994</v>
      </c>
      <c r="DA125">
        <f>AJ125</f>
        <v>6.08</v>
      </c>
      <c r="DB125">
        <v>0</v>
      </c>
    </row>
    <row r="126" spans="1:106" x14ac:dyDescent="0.2">
      <c r="A126">
        <f>ROW(Source!A71)</f>
        <v>71</v>
      </c>
      <c r="B126">
        <v>16501255</v>
      </c>
      <c r="C126">
        <v>16501448</v>
      </c>
      <c r="D126">
        <v>15170682</v>
      </c>
      <c r="E126">
        <v>1</v>
      </c>
      <c r="F126">
        <v>1</v>
      </c>
      <c r="G126">
        <v>1</v>
      </c>
      <c r="H126">
        <v>3</v>
      </c>
      <c r="I126" t="s">
        <v>300</v>
      </c>
      <c r="J126" t="s">
        <v>301</v>
      </c>
      <c r="K126" t="s">
        <v>302</v>
      </c>
      <c r="L126">
        <v>1327</v>
      </c>
      <c r="N126">
        <v>1005</v>
      </c>
      <c r="O126" t="s">
        <v>50</v>
      </c>
      <c r="P126" t="s">
        <v>50</v>
      </c>
      <c r="Q126">
        <v>1</v>
      </c>
      <c r="W126">
        <v>0</v>
      </c>
      <c r="X126">
        <v>-1987926685</v>
      </c>
      <c r="Y126">
        <v>0.84</v>
      </c>
      <c r="AA126">
        <v>439.71</v>
      </c>
      <c r="AB126">
        <v>0</v>
      </c>
      <c r="AC126">
        <v>0</v>
      </c>
      <c r="AD126">
        <v>0</v>
      </c>
      <c r="AE126">
        <v>72.319999999999993</v>
      </c>
      <c r="AF126">
        <v>0</v>
      </c>
      <c r="AG126">
        <v>0</v>
      </c>
      <c r="AH126">
        <v>0</v>
      </c>
      <c r="AI126">
        <v>6.08</v>
      </c>
      <c r="AJ126">
        <v>1</v>
      </c>
      <c r="AK126">
        <v>1</v>
      </c>
      <c r="AL126">
        <v>1</v>
      </c>
      <c r="AN126">
        <v>0</v>
      </c>
      <c r="AO126">
        <v>1</v>
      </c>
      <c r="AP126">
        <v>0</v>
      </c>
      <c r="AQ126">
        <v>0</v>
      </c>
      <c r="AR126">
        <v>0</v>
      </c>
      <c r="AS126" t="s">
        <v>4</v>
      </c>
      <c r="AT126">
        <v>0.84</v>
      </c>
      <c r="AU126" t="s">
        <v>4</v>
      </c>
      <c r="AV126">
        <v>0</v>
      </c>
      <c r="AW126">
        <v>2</v>
      </c>
      <c r="AX126">
        <v>16501462</v>
      </c>
      <c r="AY126">
        <v>1</v>
      </c>
      <c r="AZ126">
        <v>0</v>
      </c>
      <c r="BA126">
        <v>126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CX126">
        <f>Y126*Source!I71</f>
        <v>0.30491999999999997</v>
      </c>
      <c r="CY126">
        <f>AA126</f>
        <v>439.71</v>
      </c>
      <c r="CZ126">
        <f>AE126</f>
        <v>72.319999999999993</v>
      </c>
      <c r="DA126">
        <f>AI126</f>
        <v>6.08</v>
      </c>
      <c r="DB126">
        <v>0</v>
      </c>
    </row>
    <row r="127" spans="1:106" x14ac:dyDescent="0.2">
      <c r="A127">
        <f>ROW(Source!A71)</f>
        <v>71</v>
      </c>
      <c r="B127">
        <v>16501255</v>
      </c>
      <c r="C127">
        <v>16501448</v>
      </c>
      <c r="D127">
        <v>15171018</v>
      </c>
      <c r="E127">
        <v>1</v>
      </c>
      <c r="F127">
        <v>1</v>
      </c>
      <c r="G127">
        <v>1</v>
      </c>
      <c r="H127">
        <v>3</v>
      </c>
      <c r="I127" t="s">
        <v>280</v>
      </c>
      <c r="J127" t="s">
        <v>281</v>
      </c>
      <c r="K127" t="s">
        <v>282</v>
      </c>
      <c r="L127">
        <v>1346</v>
      </c>
      <c r="N127">
        <v>1009</v>
      </c>
      <c r="O127" t="s">
        <v>277</v>
      </c>
      <c r="P127" t="s">
        <v>277</v>
      </c>
      <c r="Q127">
        <v>1</v>
      </c>
      <c r="W127">
        <v>0</v>
      </c>
      <c r="X127">
        <v>813963326</v>
      </c>
      <c r="Y127">
        <v>0.31</v>
      </c>
      <c r="AA127">
        <v>11.07</v>
      </c>
      <c r="AB127">
        <v>0</v>
      </c>
      <c r="AC127">
        <v>0</v>
      </c>
      <c r="AD127">
        <v>0</v>
      </c>
      <c r="AE127">
        <v>1.82</v>
      </c>
      <c r="AF127">
        <v>0</v>
      </c>
      <c r="AG127">
        <v>0</v>
      </c>
      <c r="AH127">
        <v>0</v>
      </c>
      <c r="AI127">
        <v>6.08</v>
      </c>
      <c r="AJ127">
        <v>1</v>
      </c>
      <c r="AK127">
        <v>1</v>
      </c>
      <c r="AL127">
        <v>1</v>
      </c>
      <c r="AN127">
        <v>0</v>
      </c>
      <c r="AO127">
        <v>1</v>
      </c>
      <c r="AP127">
        <v>0</v>
      </c>
      <c r="AQ127">
        <v>0</v>
      </c>
      <c r="AR127">
        <v>0</v>
      </c>
      <c r="AS127" t="s">
        <v>4</v>
      </c>
      <c r="AT127">
        <v>0.31</v>
      </c>
      <c r="AU127" t="s">
        <v>4</v>
      </c>
      <c r="AV127">
        <v>0</v>
      </c>
      <c r="AW127">
        <v>2</v>
      </c>
      <c r="AX127">
        <v>16501463</v>
      </c>
      <c r="AY127">
        <v>1</v>
      </c>
      <c r="AZ127">
        <v>0</v>
      </c>
      <c r="BA127">
        <v>127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CX127">
        <f>Y127*Source!I71</f>
        <v>0.11252999999999999</v>
      </c>
      <c r="CY127">
        <f>AA127</f>
        <v>11.07</v>
      </c>
      <c r="CZ127">
        <f>AE127</f>
        <v>1.82</v>
      </c>
      <c r="DA127">
        <f>AI127</f>
        <v>6.08</v>
      </c>
      <c r="DB127">
        <v>0</v>
      </c>
    </row>
    <row r="128" spans="1:106" x14ac:dyDescent="0.2">
      <c r="A128">
        <f>ROW(Source!A71)</f>
        <v>71</v>
      </c>
      <c r="B128">
        <v>16501255</v>
      </c>
      <c r="C128">
        <v>16501448</v>
      </c>
      <c r="D128">
        <v>15203233</v>
      </c>
      <c r="E128">
        <v>1</v>
      </c>
      <c r="F128">
        <v>1</v>
      </c>
      <c r="G128">
        <v>1</v>
      </c>
      <c r="H128">
        <v>3</v>
      </c>
      <c r="I128" t="s">
        <v>110</v>
      </c>
      <c r="J128" t="s">
        <v>112</v>
      </c>
      <c r="K128" t="s">
        <v>111</v>
      </c>
      <c r="L128">
        <v>1348</v>
      </c>
      <c r="N128">
        <v>1009</v>
      </c>
      <c r="O128" t="s">
        <v>58</v>
      </c>
      <c r="P128" t="s">
        <v>58</v>
      </c>
      <c r="Q128">
        <v>1000</v>
      </c>
      <c r="W128">
        <v>0</v>
      </c>
      <c r="X128">
        <v>-1919714308</v>
      </c>
      <c r="Y128">
        <v>2.1999999999999999E-2</v>
      </c>
      <c r="AA128">
        <v>111812.17</v>
      </c>
      <c r="AB128">
        <v>0</v>
      </c>
      <c r="AC128">
        <v>0</v>
      </c>
      <c r="AD128">
        <v>0</v>
      </c>
      <c r="AE128">
        <v>18390.16</v>
      </c>
      <c r="AF128">
        <v>0</v>
      </c>
      <c r="AG128">
        <v>0</v>
      </c>
      <c r="AH128">
        <v>0</v>
      </c>
      <c r="AI128">
        <v>6.08</v>
      </c>
      <c r="AJ128">
        <v>1</v>
      </c>
      <c r="AK128">
        <v>1</v>
      </c>
      <c r="AL128">
        <v>1</v>
      </c>
      <c r="AN128">
        <v>0</v>
      </c>
      <c r="AO128">
        <v>0</v>
      </c>
      <c r="AP128">
        <v>0</v>
      </c>
      <c r="AQ128">
        <v>0</v>
      </c>
      <c r="AR128">
        <v>0</v>
      </c>
      <c r="AS128" t="s">
        <v>4</v>
      </c>
      <c r="AT128">
        <v>2.1999999999999999E-2</v>
      </c>
      <c r="AU128" t="s">
        <v>4</v>
      </c>
      <c r="AV128">
        <v>0</v>
      </c>
      <c r="AW128">
        <v>1</v>
      </c>
      <c r="AX128">
        <v>-1</v>
      </c>
      <c r="AY128">
        <v>0</v>
      </c>
      <c r="AZ128">
        <v>0</v>
      </c>
      <c r="BA128" t="s">
        <v>4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CX128">
        <f>Y128*Source!I71</f>
        <v>7.986E-3</v>
      </c>
      <c r="CY128">
        <f>AA128</f>
        <v>111812.17</v>
      </c>
      <c r="CZ128">
        <f>AE128</f>
        <v>18390.16</v>
      </c>
      <c r="DA128">
        <f>AI128</f>
        <v>6.08</v>
      </c>
      <c r="DB128">
        <v>0</v>
      </c>
    </row>
    <row r="129" spans="1:106" x14ac:dyDescent="0.2">
      <c r="A129">
        <f>ROW(Source!A71)</f>
        <v>71</v>
      </c>
      <c r="B129">
        <v>16501255</v>
      </c>
      <c r="C129">
        <v>16501448</v>
      </c>
      <c r="D129">
        <v>15203251</v>
      </c>
      <c r="E129">
        <v>1</v>
      </c>
      <c r="F129">
        <v>1</v>
      </c>
      <c r="G129">
        <v>1</v>
      </c>
      <c r="H129">
        <v>3</v>
      </c>
      <c r="I129" t="s">
        <v>118</v>
      </c>
      <c r="J129" t="s">
        <v>120</v>
      </c>
      <c r="K129" t="s">
        <v>119</v>
      </c>
      <c r="L129">
        <v>1348</v>
      </c>
      <c r="N129">
        <v>1009</v>
      </c>
      <c r="O129" t="s">
        <v>58</v>
      </c>
      <c r="P129" t="s">
        <v>58</v>
      </c>
      <c r="Q129">
        <v>1000</v>
      </c>
      <c r="W129">
        <v>0</v>
      </c>
      <c r="X129">
        <v>763838732</v>
      </c>
      <c r="Y129">
        <v>3.3000000000000002E-2</v>
      </c>
      <c r="AA129">
        <v>46374.41</v>
      </c>
      <c r="AB129">
        <v>0</v>
      </c>
      <c r="AC129">
        <v>0</v>
      </c>
      <c r="AD129">
        <v>0</v>
      </c>
      <c r="AE129">
        <v>7627.37</v>
      </c>
      <c r="AF129">
        <v>0</v>
      </c>
      <c r="AG129">
        <v>0</v>
      </c>
      <c r="AH129">
        <v>0</v>
      </c>
      <c r="AI129">
        <v>6.08</v>
      </c>
      <c r="AJ129">
        <v>1</v>
      </c>
      <c r="AK129">
        <v>1</v>
      </c>
      <c r="AL129">
        <v>1</v>
      </c>
      <c r="AN129">
        <v>0</v>
      </c>
      <c r="AO129">
        <v>0</v>
      </c>
      <c r="AP129">
        <v>0</v>
      </c>
      <c r="AQ129">
        <v>0</v>
      </c>
      <c r="AR129">
        <v>0</v>
      </c>
      <c r="AS129" t="s">
        <v>4</v>
      </c>
      <c r="AT129">
        <v>3.3000000000000002E-2</v>
      </c>
      <c r="AU129" t="s">
        <v>4</v>
      </c>
      <c r="AV129">
        <v>0</v>
      </c>
      <c r="AW129">
        <v>1</v>
      </c>
      <c r="AX129">
        <v>-1</v>
      </c>
      <c r="AY129">
        <v>0</v>
      </c>
      <c r="AZ129">
        <v>0</v>
      </c>
      <c r="BA129" t="s">
        <v>4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CX129">
        <f>Y129*Source!I71</f>
        <v>1.1979E-2</v>
      </c>
      <c r="CY129">
        <f>AA129</f>
        <v>46374.41</v>
      </c>
      <c r="CZ129">
        <f>AE129</f>
        <v>7627.37</v>
      </c>
      <c r="DA129">
        <f>AI129</f>
        <v>6.08</v>
      </c>
      <c r="DB129">
        <v>0</v>
      </c>
    </row>
    <row r="130" spans="1:106" x14ac:dyDescent="0.2">
      <c r="A130">
        <f>ROW(Source!A71)</f>
        <v>71</v>
      </c>
      <c r="B130">
        <v>16501255</v>
      </c>
      <c r="C130">
        <v>16501448</v>
      </c>
      <c r="D130">
        <v>15204737</v>
      </c>
      <c r="E130">
        <v>1</v>
      </c>
      <c r="F130">
        <v>1</v>
      </c>
      <c r="G130">
        <v>1</v>
      </c>
      <c r="H130">
        <v>3</v>
      </c>
      <c r="I130" t="s">
        <v>303</v>
      </c>
      <c r="J130" t="s">
        <v>304</v>
      </c>
      <c r="K130" t="s">
        <v>305</v>
      </c>
      <c r="L130">
        <v>1348</v>
      </c>
      <c r="N130">
        <v>1009</v>
      </c>
      <c r="O130" t="s">
        <v>58</v>
      </c>
      <c r="P130" t="s">
        <v>58</v>
      </c>
      <c r="Q130">
        <v>1000</v>
      </c>
      <c r="W130">
        <v>0</v>
      </c>
      <c r="X130">
        <v>181729109</v>
      </c>
      <c r="Y130">
        <v>5.5E-2</v>
      </c>
      <c r="AA130">
        <v>69294.37</v>
      </c>
      <c r="AB130">
        <v>0</v>
      </c>
      <c r="AC130">
        <v>0</v>
      </c>
      <c r="AD130">
        <v>0</v>
      </c>
      <c r="AE130">
        <v>11397.1</v>
      </c>
      <c r="AF130">
        <v>0</v>
      </c>
      <c r="AG130">
        <v>0</v>
      </c>
      <c r="AH130">
        <v>0</v>
      </c>
      <c r="AI130">
        <v>6.08</v>
      </c>
      <c r="AJ130">
        <v>1</v>
      </c>
      <c r="AK130">
        <v>1</v>
      </c>
      <c r="AL130">
        <v>1</v>
      </c>
      <c r="AN130">
        <v>0</v>
      </c>
      <c r="AO130">
        <v>1</v>
      </c>
      <c r="AP130">
        <v>0</v>
      </c>
      <c r="AQ130">
        <v>0</v>
      </c>
      <c r="AR130">
        <v>0</v>
      </c>
      <c r="AS130" t="s">
        <v>4</v>
      </c>
      <c r="AT130">
        <v>5.5E-2</v>
      </c>
      <c r="AU130" t="s">
        <v>4</v>
      </c>
      <c r="AV130">
        <v>0</v>
      </c>
      <c r="AW130">
        <v>2</v>
      </c>
      <c r="AX130">
        <v>16501466</v>
      </c>
      <c r="AY130">
        <v>1</v>
      </c>
      <c r="AZ130">
        <v>0</v>
      </c>
      <c r="BA130">
        <v>130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CX130">
        <f>Y130*Source!I71</f>
        <v>1.9965E-2</v>
      </c>
      <c r="CY130">
        <f>AA130</f>
        <v>69294.37</v>
      </c>
      <c r="CZ130">
        <f>AE130</f>
        <v>11397.1</v>
      </c>
      <c r="DA130">
        <f>AI130</f>
        <v>6.08</v>
      </c>
      <c r="DB130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30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44" x14ac:dyDescent="0.2">
      <c r="A1">
        <f>ROW(Source!A24)</f>
        <v>24</v>
      </c>
      <c r="B1">
        <v>16501319</v>
      </c>
      <c r="C1">
        <v>16501317</v>
      </c>
      <c r="D1">
        <v>15430517</v>
      </c>
      <c r="E1">
        <v>1</v>
      </c>
      <c r="F1">
        <v>1</v>
      </c>
      <c r="G1">
        <v>1</v>
      </c>
      <c r="H1">
        <v>1</v>
      </c>
      <c r="I1" t="s">
        <v>250</v>
      </c>
      <c r="J1" t="s">
        <v>4</v>
      </c>
      <c r="K1" t="s">
        <v>251</v>
      </c>
      <c r="L1">
        <v>1191</v>
      </c>
      <c r="N1">
        <v>1013</v>
      </c>
      <c r="O1" t="s">
        <v>252</v>
      </c>
      <c r="P1" t="s">
        <v>252</v>
      </c>
      <c r="Q1">
        <v>1</v>
      </c>
      <c r="X1">
        <v>3.77</v>
      </c>
      <c r="Y1">
        <v>0</v>
      </c>
      <c r="Z1">
        <v>0</v>
      </c>
      <c r="AA1">
        <v>0</v>
      </c>
      <c r="AB1">
        <v>7.8</v>
      </c>
      <c r="AC1">
        <v>0</v>
      </c>
      <c r="AD1">
        <v>1</v>
      </c>
      <c r="AE1">
        <v>1</v>
      </c>
      <c r="AF1" t="s">
        <v>4</v>
      </c>
      <c r="AG1">
        <v>3.77</v>
      </c>
      <c r="AH1">
        <v>2</v>
      </c>
      <c r="AI1">
        <v>16501318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ROW(Source!A24)</f>
        <v>24</v>
      </c>
      <c r="B2">
        <v>16501320</v>
      </c>
      <c r="C2">
        <v>16501317</v>
      </c>
      <c r="D2">
        <v>15164566</v>
      </c>
      <c r="E2">
        <v>17</v>
      </c>
      <c r="F2">
        <v>1</v>
      </c>
      <c r="G2">
        <v>1</v>
      </c>
      <c r="H2">
        <v>3</v>
      </c>
      <c r="I2" t="s">
        <v>306</v>
      </c>
      <c r="J2" t="s">
        <v>4</v>
      </c>
      <c r="K2" t="s">
        <v>307</v>
      </c>
      <c r="L2">
        <v>1348</v>
      </c>
      <c r="N2">
        <v>1009</v>
      </c>
      <c r="O2" t="s">
        <v>58</v>
      </c>
      <c r="P2" t="s">
        <v>58</v>
      </c>
      <c r="Q2">
        <v>1000</v>
      </c>
      <c r="X2">
        <v>0.11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 t="s">
        <v>4</v>
      </c>
      <c r="AG2">
        <v>0.11</v>
      </c>
      <c r="AH2">
        <v>3</v>
      </c>
      <c r="AI2">
        <v>-1</v>
      </c>
      <c r="AJ2" t="s">
        <v>4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ROW(Source!A25)</f>
        <v>25</v>
      </c>
      <c r="B3">
        <v>16501319</v>
      </c>
      <c r="C3">
        <v>16501317</v>
      </c>
      <c r="D3">
        <v>15430517</v>
      </c>
      <c r="E3">
        <v>1</v>
      </c>
      <c r="F3">
        <v>1</v>
      </c>
      <c r="G3">
        <v>1</v>
      </c>
      <c r="H3">
        <v>1</v>
      </c>
      <c r="I3" t="s">
        <v>250</v>
      </c>
      <c r="J3" t="s">
        <v>4</v>
      </c>
      <c r="K3" t="s">
        <v>251</v>
      </c>
      <c r="L3">
        <v>1191</v>
      </c>
      <c r="N3">
        <v>1013</v>
      </c>
      <c r="O3" t="s">
        <v>252</v>
      </c>
      <c r="P3" t="s">
        <v>252</v>
      </c>
      <c r="Q3">
        <v>1</v>
      </c>
      <c r="X3">
        <v>3.77</v>
      </c>
      <c r="Y3">
        <v>0</v>
      </c>
      <c r="Z3">
        <v>0</v>
      </c>
      <c r="AA3">
        <v>0</v>
      </c>
      <c r="AB3">
        <v>7.8</v>
      </c>
      <c r="AC3">
        <v>0</v>
      </c>
      <c r="AD3">
        <v>1</v>
      </c>
      <c r="AE3">
        <v>1</v>
      </c>
      <c r="AF3" t="s">
        <v>4</v>
      </c>
      <c r="AG3">
        <v>3.77</v>
      </c>
      <c r="AH3">
        <v>2</v>
      </c>
      <c r="AI3">
        <v>16501318</v>
      </c>
      <c r="AJ3">
        <v>2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ROW(Source!A25)</f>
        <v>25</v>
      </c>
      <c r="B4">
        <v>16501320</v>
      </c>
      <c r="C4">
        <v>16501317</v>
      </c>
      <c r="D4">
        <v>15164566</v>
      </c>
      <c r="E4">
        <v>17</v>
      </c>
      <c r="F4">
        <v>1</v>
      </c>
      <c r="G4">
        <v>1</v>
      </c>
      <c r="H4">
        <v>3</v>
      </c>
      <c r="I4" t="s">
        <v>306</v>
      </c>
      <c r="J4" t="s">
        <v>4</v>
      </c>
      <c r="K4" t="s">
        <v>307</v>
      </c>
      <c r="L4">
        <v>1348</v>
      </c>
      <c r="N4">
        <v>1009</v>
      </c>
      <c r="O4" t="s">
        <v>58</v>
      </c>
      <c r="P4" t="s">
        <v>58</v>
      </c>
      <c r="Q4">
        <v>1000</v>
      </c>
      <c r="X4">
        <v>0.11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 t="s">
        <v>4</v>
      </c>
      <c r="AG4">
        <v>0.11</v>
      </c>
      <c r="AH4">
        <v>3</v>
      </c>
      <c r="AI4">
        <v>-1</v>
      </c>
      <c r="AJ4" t="s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ROW(Source!A26)</f>
        <v>26</v>
      </c>
      <c r="B5">
        <v>16501325</v>
      </c>
      <c r="C5">
        <v>16501321</v>
      </c>
      <c r="D5">
        <v>15430517</v>
      </c>
      <c r="E5">
        <v>1</v>
      </c>
      <c r="F5">
        <v>1</v>
      </c>
      <c r="G5">
        <v>1</v>
      </c>
      <c r="H5">
        <v>1</v>
      </c>
      <c r="I5" t="s">
        <v>250</v>
      </c>
      <c r="J5" t="s">
        <v>4</v>
      </c>
      <c r="K5" t="s">
        <v>251</v>
      </c>
      <c r="L5">
        <v>1191</v>
      </c>
      <c r="N5">
        <v>1013</v>
      </c>
      <c r="O5" t="s">
        <v>252</v>
      </c>
      <c r="P5" t="s">
        <v>252</v>
      </c>
      <c r="Q5">
        <v>1</v>
      </c>
      <c r="X5">
        <v>11.39</v>
      </c>
      <c r="Y5">
        <v>0</v>
      </c>
      <c r="Z5">
        <v>0</v>
      </c>
      <c r="AA5">
        <v>0</v>
      </c>
      <c r="AB5">
        <v>7.8</v>
      </c>
      <c r="AC5">
        <v>0</v>
      </c>
      <c r="AD5">
        <v>1</v>
      </c>
      <c r="AE5">
        <v>1</v>
      </c>
      <c r="AF5" t="s">
        <v>4</v>
      </c>
      <c r="AG5">
        <v>11.39</v>
      </c>
      <c r="AH5">
        <v>2</v>
      </c>
      <c r="AI5">
        <v>16501322</v>
      </c>
      <c r="AJ5">
        <v>3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ROW(Source!A26)</f>
        <v>26</v>
      </c>
      <c r="B6">
        <v>16501326</v>
      </c>
      <c r="C6">
        <v>16501321</v>
      </c>
      <c r="D6">
        <v>15430395</v>
      </c>
      <c r="E6">
        <v>1</v>
      </c>
      <c r="F6">
        <v>1</v>
      </c>
      <c r="G6">
        <v>1</v>
      </c>
      <c r="H6">
        <v>1</v>
      </c>
      <c r="I6" t="s">
        <v>253</v>
      </c>
      <c r="J6" t="s">
        <v>4</v>
      </c>
      <c r="K6" t="s">
        <v>254</v>
      </c>
      <c r="L6">
        <v>1191</v>
      </c>
      <c r="N6">
        <v>1013</v>
      </c>
      <c r="O6" t="s">
        <v>252</v>
      </c>
      <c r="P6" t="s">
        <v>252</v>
      </c>
      <c r="Q6">
        <v>1</v>
      </c>
      <c r="X6">
        <v>0.13</v>
      </c>
      <c r="Y6">
        <v>0</v>
      </c>
      <c r="Z6">
        <v>0</v>
      </c>
      <c r="AA6">
        <v>0</v>
      </c>
      <c r="AB6">
        <v>0</v>
      </c>
      <c r="AC6">
        <v>0</v>
      </c>
      <c r="AD6">
        <v>1</v>
      </c>
      <c r="AE6">
        <v>2</v>
      </c>
      <c r="AF6" t="s">
        <v>4</v>
      </c>
      <c r="AG6">
        <v>0.13</v>
      </c>
      <c r="AH6">
        <v>2</v>
      </c>
      <c r="AI6">
        <v>16501323</v>
      </c>
      <c r="AJ6">
        <v>4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ROW(Source!A26)</f>
        <v>26</v>
      </c>
      <c r="B7">
        <v>16501327</v>
      </c>
      <c r="C7">
        <v>16501321</v>
      </c>
      <c r="D7">
        <v>15247974</v>
      </c>
      <c r="E7">
        <v>1</v>
      </c>
      <c r="F7">
        <v>1</v>
      </c>
      <c r="G7">
        <v>1</v>
      </c>
      <c r="H7">
        <v>2</v>
      </c>
      <c r="I7" t="s">
        <v>255</v>
      </c>
      <c r="J7" t="s">
        <v>256</v>
      </c>
      <c r="K7" t="s">
        <v>257</v>
      </c>
      <c r="L7">
        <v>1368</v>
      </c>
      <c r="N7">
        <v>1011</v>
      </c>
      <c r="O7" t="s">
        <v>258</v>
      </c>
      <c r="P7" t="s">
        <v>258</v>
      </c>
      <c r="Q7">
        <v>1</v>
      </c>
      <c r="X7">
        <v>0.13</v>
      </c>
      <c r="Y7">
        <v>0</v>
      </c>
      <c r="Z7">
        <v>31.26</v>
      </c>
      <c r="AA7">
        <v>13.5</v>
      </c>
      <c r="AB7">
        <v>0</v>
      </c>
      <c r="AC7">
        <v>0</v>
      </c>
      <c r="AD7">
        <v>1</v>
      </c>
      <c r="AE7">
        <v>0</v>
      </c>
      <c r="AF7" t="s">
        <v>4</v>
      </c>
      <c r="AG7">
        <v>0.13</v>
      </c>
      <c r="AH7">
        <v>2</v>
      </c>
      <c r="AI7">
        <v>16501324</v>
      </c>
      <c r="AJ7">
        <v>5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ROW(Source!A26)</f>
        <v>26</v>
      </c>
      <c r="B8">
        <v>16501328</v>
      </c>
      <c r="C8">
        <v>16501321</v>
      </c>
      <c r="D8">
        <v>15164566</v>
      </c>
      <c r="E8">
        <v>17</v>
      </c>
      <c r="F8">
        <v>1</v>
      </c>
      <c r="G8">
        <v>1</v>
      </c>
      <c r="H8">
        <v>3</v>
      </c>
      <c r="I8" t="s">
        <v>306</v>
      </c>
      <c r="J8" t="s">
        <v>4</v>
      </c>
      <c r="K8" t="s">
        <v>307</v>
      </c>
      <c r="L8">
        <v>1348</v>
      </c>
      <c r="N8">
        <v>1009</v>
      </c>
      <c r="O8" t="s">
        <v>58</v>
      </c>
      <c r="P8" t="s">
        <v>58</v>
      </c>
      <c r="Q8">
        <v>1000</v>
      </c>
      <c r="X8">
        <v>0.47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 t="s">
        <v>4</v>
      </c>
      <c r="AG8">
        <v>0.47</v>
      </c>
      <c r="AH8">
        <v>3</v>
      </c>
      <c r="AI8">
        <v>-1</v>
      </c>
      <c r="AJ8" t="s">
        <v>4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ROW(Source!A27)</f>
        <v>27</v>
      </c>
      <c r="B9">
        <v>16501325</v>
      </c>
      <c r="C9">
        <v>16501321</v>
      </c>
      <c r="D9">
        <v>15430517</v>
      </c>
      <c r="E9">
        <v>1</v>
      </c>
      <c r="F9">
        <v>1</v>
      </c>
      <c r="G9">
        <v>1</v>
      </c>
      <c r="H9">
        <v>1</v>
      </c>
      <c r="I9" t="s">
        <v>250</v>
      </c>
      <c r="J9" t="s">
        <v>4</v>
      </c>
      <c r="K9" t="s">
        <v>251</v>
      </c>
      <c r="L9">
        <v>1191</v>
      </c>
      <c r="N9">
        <v>1013</v>
      </c>
      <c r="O9" t="s">
        <v>252</v>
      </c>
      <c r="P9" t="s">
        <v>252</v>
      </c>
      <c r="Q9">
        <v>1</v>
      </c>
      <c r="X9">
        <v>11.39</v>
      </c>
      <c r="Y9">
        <v>0</v>
      </c>
      <c r="Z9">
        <v>0</v>
      </c>
      <c r="AA9">
        <v>0</v>
      </c>
      <c r="AB9">
        <v>7.8</v>
      </c>
      <c r="AC9">
        <v>0</v>
      </c>
      <c r="AD9">
        <v>1</v>
      </c>
      <c r="AE9">
        <v>1</v>
      </c>
      <c r="AF9" t="s">
        <v>4</v>
      </c>
      <c r="AG9">
        <v>11.39</v>
      </c>
      <c r="AH9">
        <v>2</v>
      </c>
      <c r="AI9">
        <v>16501322</v>
      </c>
      <c r="AJ9">
        <v>6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ROW(Source!A27)</f>
        <v>27</v>
      </c>
      <c r="B10">
        <v>16501326</v>
      </c>
      <c r="C10">
        <v>16501321</v>
      </c>
      <c r="D10">
        <v>15430395</v>
      </c>
      <c r="E10">
        <v>1</v>
      </c>
      <c r="F10">
        <v>1</v>
      </c>
      <c r="G10">
        <v>1</v>
      </c>
      <c r="H10">
        <v>1</v>
      </c>
      <c r="I10" t="s">
        <v>253</v>
      </c>
      <c r="J10" t="s">
        <v>4</v>
      </c>
      <c r="K10" t="s">
        <v>254</v>
      </c>
      <c r="L10">
        <v>1191</v>
      </c>
      <c r="N10">
        <v>1013</v>
      </c>
      <c r="O10" t="s">
        <v>252</v>
      </c>
      <c r="P10" t="s">
        <v>252</v>
      </c>
      <c r="Q10">
        <v>1</v>
      </c>
      <c r="X10">
        <v>0.13</v>
      </c>
      <c r="Y10">
        <v>0</v>
      </c>
      <c r="Z10">
        <v>0</v>
      </c>
      <c r="AA10">
        <v>0</v>
      </c>
      <c r="AB10">
        <v>0</v>
      </c>
      <c r="AC10">
        <v>0</v>
      </c>
      <c r="AD10">
        <v>1</v>
      </c>
      <c r="AE10">
        <v>2</v>
      </c>
      <c r="AF10" t="s">
        <v>4</v>
      </c>
      <c r="AG10">
        <v>0.13</v>
      </c>
      <c r="AH10">
        <v>2</v>
      </c>
      <c r="AI10">
        <v>16501323</v>
      </c>
      <c r="AJ10">
        <v>7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">
      <c r="A11">
        <f>ROW(Source!A27)</f>
        <v>27</v>
      </c>
      <c r="B11">
        <v>16501327</v>
      </c>
      <c r="C11">
        <v>16501321</v>
      </c>
      <c r="D11">
        <v>15247974</v>
      </c>
      <c r="E11">
        <v>1</v>
      </c>
      <c r="F11">
        <v>1</v>
      </c>
      <c r="G11">
        <v>1</v>
      </c>
      <c r="H11">
        <v>2</v>
      </c>
      <c r="I11" t="s">
        <v>255</v>
      </c>
      <c r="J11" t="s">
        <v>256</v>
      </c>
      <c r="K11" t="s">
        <v>257</v>
      </c>
      <c r="L11">
        <v>1368</v>
      </c>
      <c r="N11">
        <v>1011</v>
      </c>
      <c r="O11" t="s">
        <v>258</v>
      </c>
      <c r="P11" t="s">
        <v>258</v>
      </c>
      <c r="Q11">
        <v>1</v>
      </c>
      <c r="X11">
        <v>0.13</v>
      </c>
      <c r="Y11">
        <v>0</v>
      </c>
      <c r="Z11">
        <v>31.26</v>
      </c>
      <c r="AA11">
        <v>13.5</v>
      </c>
      <c r="AB11">
        <v>0</v>
      </c>
      <c r="AC11">
        <v>0</v>
      </c>
      <c r="AD11">
        <v>1</v>
      </c>
      <c r="AE11">
        <v>0</v>
      </c>
      <c r="AF11" t="s">
        <v>4</v>
      </c>
      <c r="AG11">
        <v>0.13</v>
      </c>
      <c r="AH11">
        <v>2</v>
      </c>
      <c r="AI11">
        <v>16501324</v>
      </c>
      <c r="AJ11">
        <v>8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">
      <c r="A12">
        <f>ROW(Source!A27)</f>
        <v>27</v>
      </c>
      <c r="B12">
        <v>16501328</v>
      </c>
      <c r="C12">
        <v>16501321</v>
      </c>
      <c r="D12">
        <v>15164566</v>
      </c>
      <c r="E12">
        <v>17</v>
      </c>
      <c r="F12">
        <v>1</v>
      </c>
      <c r="G12">
        <v>1</v>
      </c>
      <c r="H12">
        <v>3</v>
      </c>
      <c r="I12" t="s">
        <v>306</v>
      </c>
      <c r="J12" t="s">
        <v>4</v>
      </c>
      <c r="K12" t="s">
        <v>307</v>
      </c>
      <c r="L12">
        <v>1348</v>
      </c>
      <c r="N12">
        <v>1009</v>
      </c>
      <c r="O12" t="s">
        <v>58</v>
      </c>
      <c r="P12" t="s">
        <v>58</v>
      </c>
      <c r="Q12">
        <v>1000</v>
      </c>
      <c r="X12">
        <v>0.47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 t="s">
        <v>4</v>
      </c>
      <c r="AG12">
        <v>0.47</v>
      </c>
      <c r="AH12">
        <v>3</v>
      </c>
      <c r="AI12">
        <v>-1</v>
      </c>
      <c r="AJ12" t="s">
        <v>4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">
      <c r="A13">
        <f>ROW(Source!A28)</f>
        <v>28</v>
      </c>
      <c r="B13">
        <v>16501337</v>
      </c>
      <c r="C13">
        <v>16501329</v>
      </c>
      <c r="D13">
        <v>15430767</v>
      </c>
      <c r="E13">
        <v>1</v>
      </c>
      <c r="F13">
        <v>1</v>
      </c>
      <c r="G13">
        <v>1</v>
      </c>
      <c r="H13">
        <v>1</v>
      </c>
      <c r="I13" t="s">
        <v>259</v>
      </c>
      <c r="J13" t="s">
        <v>4</v>
      </c>
      <c r="K13" t="s">
        <v>260</v>
      </c>
      <c r="L13">
        <v>1191</v>
      </c>
      <c r="N13">
        <v>1013</v>
      </c>
      <c r="O13" t="s">
        <v>252</v>
      </c>
      <c r="P13" t="s">
        <v>252</v>
      </c>
      <c r="Q13">
        <v>1</v>
      </c>
      <c r="X13">
        <v>37.67</v>
      </c>
      <c r="Y13">
        <v>0</v>
      </c>
      <c r="Z13">
        <v>0</v>
      </c>
      <c r="AA13">
        <v>0</v>
      </c>
      <c r="AB13">
        <v>8.5299999999999994</v>
      </c>
      <c r="AC13">
        <v>0</v>
      </c>
      <c r="AD13">
        <v>1</v>
      </c>
      <c r="AE13">
        <v>1</v>
      </c>
      <c r="AF13" t="s">
        <v>30</v>
      </c>
      <c r="AG13">
        <v>43.320499999999996</v>
      </c>
      <c r="AH13">
        <v>2</v>
      </c>
      <c r="AI13">
        <v>16501330</v>
      </c>
      <c r="AJ13">
        <v>9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">
      <c r="A14">
        <f>ROW(Source!A28)</f>
        <v>28</v>
      </c>
      <c r="B14">
        <v>16501338</v>
      </c>
      <c r="C14">
        <v>16501329</v>
      </c>
      <c r="D14">
        <v>15430395</v>
      </c>
      <c r="E14">
        <v>1</v>
      </c>
      <c r="F14">
        <v>1</v>
      </c>
      <c r="G14">
        <v>1</v>
      </c>
      <c r="H14">
        <v>1</v>
      </c>
      <c r="I14" t="s">
        <v>253</v>
      </c>
      <c r="J14" t="s">
        <v>4</v>
      </c>
      <c r="K14" t="s">
        <v>254</v>
      </c>
      <c r="L14">
        <v>1191</v>
      </c>
      <c r="N14">
        <v>1013</v>
      </c>
      <c r="O14" t="s">
        <v>252</v>
      </c>
      <c r="P14" t="s">
        <v>252</v>
      </c>
      <c r="Q14">
        <v>1</v>
      </c>
      <c r="X14">
        <v>0.17</v>
      </c>
      <c r="Y14">
        <v>0</v>
      </c>
      <c r="Z14">
        <v>0</v>
      </c>
      <c r="AA14">
        <v>0</v>
      </c>
      <c r="AB14">
        <v>0</v>
      </c>
      <c r="AC14">
        <v>0</v>
      </c>
      <c r="AD14">
        <v>1</v>
      </c>
      <c r="AE14">
        <v>2</v>
      </c>
      <c r="AF14" t="s">
        <v>29</v>
      </c>
      <c r="AG14">
        <v>0.21250000000000002</v>
      </c>
      <c r="AH14">
        <v>2</v>
      </c>
      <c r="AI14">
        <v>16501331</v>
      </c>
      <c r="AJ14">
        <v>10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">
      <c r="A15">
        <f>ROW(Source!A28)</f>
        <v>28</v>
      </c>
      <c r="B15">
        <v>16501339</v>
      </c>
      <c r="C15">
        <v>16501329</v>
      </c>
      <c r="D15">
        <v>15247970</v>
      </c>
      <c r="E15">
        <v>1</v>
      </c>
      <c r="F15">
        <v>1</v>
      </c>
      <c r="G15">
        <v>1</v>
      </c>
      <c r="H15">
        <v>2</v>
      </c>
      <c r="I15" t="s">
        <v>261</v>
      </c>
      <c r="J15" t="s">
        <v>262</v>
      </c>
      <c r="K15" t="s">
        <v>263</v>
      </c>
      <c r="L15">
        <v>1368</v>
      </c>
      <c r="N15">
        <v>1011</v>
      </c>
      <c r="O15" t="s">
        <v>258</v>
      </c>
      <c r="P15" t="s">
        <v>258</v>
      </c>
      <c r="Q15">
        <v>1</v>
      </c>
      <c r="X15">
        <v>0.13</v>
      </c>
      <c r="Y15">
        <v>0</v>
      </c>
      <c r="Z15">
        <v>27.66</v>
      </c>
      <c r="AA15">
        <v>11.6</v>
      </c>
      <c r="AB15">
        <v>0</v>
      </c>
      <c r="AC15">
        <v>0</v>
      </c>
      <c r="AD15">
        <v>1</v>
      </c>
      <c r="AE15">
        <v>0</v>
      </c>
      <c r="AF15" t="s">
        <v>29</v>
      </c>
      <c r="AG15">
        <v>0.16250000000000001</v>
      </c>
      <c r="AH15">
        <v>2</v>
      </c>
      <c r="AI15">
        <v>16501332</v>
      </c>
      <c r="AJ15">
        <v>11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">
      <c r="A16">
        <f>ROW(Source!A28)</f>
        <v>28</v>
      </c>
      <c r="B16">
        <v>16501340</v>
      </c>
      <c r="C16">
        <v>16501329</v>
      </c>
      <c r="D16">
        <v>15249073</v>
      </c>
      <c r="E16">
        <v>1</v>
      </c>
      <c r="F16">
        <v>1</v>
      </c>
      <c r="G16">
        <v>1</v>
      </c>
      <c r="H16">
        <v>2</v>
      </c>
      <c r="I16" t="s">
        <v>264</v>
      </c>
      <c r="J16" t="s">
        <v>265</v>
      </c>
      <c r="K16" t="s">
        <v>266</v>
      </c>
      <c r="L16">
        <v>1368</v>
      </c>
      <c r="N16">
        <v>1011</v>
      </c>
      <c r="O16" t="s">
        <v>258</v>
      </c>
      <c r="P16" t="s">
        <v>258</v>
      </c>
      <c r="Q16">
        <v>1</v>
      </c>
      <c r="X16">
        <v>0.04</v>
      </c>
      <c r="Y16">
        <v>0</v>
      </c>
      <c r="Z16">
        <v>65.709999999999994</v>
      </c>
      <c r="AA16">
        <v>11.6</v>
      </c>
      <c r="AB16">
        <v>0</v>
      </c>
      <c r="AC16">
        <v>0</v>
      </c>
      <c r="AD16">
        <v>1</v>
      </c>
      <c r="AE16">
        <v>0</v>
      </c>
      <c r="AF16" t="s">
        <v>29</v>
      </c>
      <c r="AG16">
        <v>0.05</v>
      </c>
      <c r="AH16">
        <v>2</v>
      </c>
      <c r="AI16">
        <v>16501333</v>
      </c>
      <c r="AJ16">
        <v>12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">
      <c r="A17">
        <f>ROW(Source!A28)</f>
        <v>28</v>
      </c>
      <c r="B17">
        <v>16501341</v>
      </c>
      <c r="C17">
        <v>16501329</v>
      </c>
      <c r="D17">
        <v>15167286</v>
      </c>
      <c r="E17">
        <v>1</v>
      </c>
      <c r="F17">
        <v>1</v>
      </c>
      <c r="G17">
        <v>1</v>
      </c>
      <c r="H17">
        <v>3</v>
      </c>
      <c r="I17" t="s">
        <v>267</v>
      </c>
      <c r="J17" t="s">
        <v>268</v>
      </c>
      <c r="K17" t="s">
        <v>269</v>
      </c>
      <c r="L17">
        <v>1339</v>
      </c>
      <c r="N17">
        <v>1007</v>
      </c>
      <c r="O17" t="s">
        <v>270</v>
      </c>
      <c r="P17" t="s">
        <v>270</v>
      </c>
      <c r="Q17">
        <v>1</v>
      </c>
      <c r="X17">
        <v>0.17399999999999999</v>
      </c>
      <c r="Y17">
        <v>2.44</v>
      </c>
      <c r="Z17">
        <v>0</v>
      </c>
      <c r="AA17">
        <v>0</v>
      </c>
      <c r="AB17">
        <v>0</v>
      </c>
      <c r="AC17">
        <v>0</v>
      </c>
      <c r="AD17">
        <v>1</v>
      </c>
      <c r="AE17">
        <v>0</v>
      </c>
      <c r="AF17" t="s">
        <v>4</v>
      </c>
      <c r="AG17">
        <v>0.17399999999999999</v>
      </c>
      <c r="AH17">
        <v>2</v>
      </c>
      <c r="AI17">
        <v>16501334</v>
      </c>
      <c r="AJ17">
        <v>13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">
      <c r="A18">
        <f>ROW(Source!A28)</f>
        <v>28</v>
      </c>
      <c r="B18">
        <v>16501342</v>
      </c>
      <c r="C18">
        <v>16501329</v>
      </c>
      <c r="D18">
        <v>15172906</v>
      </c>
      <c r="E18">
        <v>1</v>
      </c>
      <c r="F18">
        <v>1</v>
      </c>
      <c r="G18">
        <v>1</v>
      </c>
      <c r="H18">
        <v>3</v>
      </c>
      <c r="I18" t="s">
        <v>271</v>
      </c>
      <c r="J18" t="s">
        <v>272</v>
      </c>
      <c r="K18" t="s">
        <v>273</v>
      </c>
      <c r="L18">
        <v>1348</v>
      </c>
      <c r="N18">
        <v>1009</v>
      </c>
      <c r="O18" t="s">
        <v>58</v>
      </c>
      <c r="P18" t="s">
        <v>58</v>
      </c>
      <c r="Q18">
        <v>1000</v>
      </c>
      <c r="X18">
        <v>0.9</v>
      </c>
      <c r="Y18">
        <v>11381.57</v>
      </c>
      <c r="Z18">
        <v>0</v>
      </c>
      <c r="AA18">
        <v>0</v>
      </c>
      <c r="AB18">
        <v>0</v>
      </c>
      <c r="AC18">
        <v>0</v>
      </c>
      <c r="AD18">
        <v>1</v>
      </c>
      <c r="AE18">
        <v>0</v>
      </c>
      <c r="AF18" t="s">
        <v>4</v>
      </c>
      <c r="AG18">
        <v>0.9</v>
      </c>
      <c r="AH18">
        <v>2</v>
      </c>
      <c r="AI18">
        <v>16501335</v>
      </c>
      <c r="AJ18">
        <v>14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">
      <c r="A19">
        <f>ROW(Source!A28)</f>
        <v>28</v>
      </c>
      <c r="B19">
        <v>16501343</v>
      </c>
      <c r="C19">
        <v>16501329</v>
      </c>
      <c r="D19">
        <v>15203485</v>
      </c>
      <c r="E19">
        <v>1</v>
      </c>
      <c r="F19">
        <v>1</v>
      </c>
      <c r="G19">
        <v>1</v>
      </c>
      <c r="H19">
        <v>3</v>
      </c>
      <c r="I19" t="s">
        <v>274</v>
      </c>
      <c r="J19" t="s">
        <v>275</v>
      </c>
      <c r="K19" t="s">
        <v>276</v>
      </c>
      <c r="L19">
        <v>1346</v>
      </c>
      <c r="N19">
        <v>1009</v>
      </c>
      <c r="O19" t="s">
        <v>277</v>
      </c>
      <c r="P19" t="s">
        <v>277</v>
      </c>
      <c r="Q19">
        <v>1</v>
      </c>
      <c r="X19">
        <v>30</v>
      </c>
      <c r="Y19">
        <v>15.25</v>
      </c>
      <c r="Z19">
        <v>0</v>
      </c>
      <c r="AA19">
        <v>0</v>
      </c>
      <c r="AB19">
        <v>0</v>
      </c>
      <c r="AC19">
        <v>0</v>
      </c>
      <c r="AD19">
        <v>1</v>
      </c>
      <c r="AE19">
        <v>0</v>
      </c>
      <c r="AF19" t="s">
        <v>4</v>
      </c>
      <c r="AG19">
        <v>30</v>
      </c>
      <c r="AH19">
        <v>2</v>
      </c>
      <c r="AI19">
        <v>16501336</v>
      </c>
      <c r="AJ19">
        <v>15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">
      <c r="A20">
        <f>ROW(Source!A29)</f>
        <v>29</v>
      </c>
      <c r="B20">
        <v>16501337</v>
      </c>
      <c r="C20">
        <v>16501329</v>
      </c>
      <c r="D20">
        <v>15430767</v>
      </c>
      <c r="E20">
        <v>1</v>
      </c>
      <c r="F20">
        <v>1</v>
      </c>
      <c r="G20">
        <v>1</v>
      </c>
      <c r="H20">
        <v>1</v>
      </c>
      <c r="I20" t="s">
        <v>259</v>
      </c>
      <c r="J20" t="s">
        <v>4</v>
      </c>
      <c r="K20" t="s">
        <v>260</v>
      </c>
      <c r="L20">
        <v>1191</v>
      </c>
      <c r="N20">
        <v>1013</v>
      </c>
      <c r="O20" t="s">
        <v>252</v>
      </c>
      <c r="P20" t="s">
        <v>252</v>
      </c>
      <c r="Q20">
        <v>1</v>
      </c>
      <c r="X20">
        <v>37.67</v>
      </c>
      <c r="Y20">
        <v>0</v>
      </c>
      <c r="Z20">
        <v>0</v>
      </c>
      <c r="AA20">
        <v>0</v>
      </c>
      <c r="AB20">
        <v>8.5299999999999994</v>
      </c>
      <c r="AC20">
        <v>0</v>
      </c>
      <c r="AD20">
        <v>1</v>
      </c>
      <c r="AE20">
        <v>1</v>
      </c>
      <c r="AF20" t="s">
        <v>30</v>
      </c>
      <c r="AG20">
        <v>43.320499999999996</v>
      </c>
      <c r="AH20">
        <v>2</v>
      </c>
      <c r="AI20">
        <v>16501330</v>
      </c>
      <c r="AJ20">
        <v>16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">
      <c r="A21">
        <f>ROW(Source!A29)</f>
        <v>29</v>
      </c>
      <c r="B21">
        <v>16501338</v>
      </c>
      <c r="C21">
        <v>16501329</v>
      </c>
      <c r="D21">
        <v>15430395</v>
      </c>
      <c r="E21">
        <v>1</v>
      </c>
      <c r="F21">
        <v>1</v>
      </c>
      <c r="G21">
        <v>1</v>
      </c>
      <c r="H21">
        <v>1</v>
      </c>
      <c r="I21" t="s">
        <v>253</v>
      </c>
      <c r="J21" t="s">
        <v>4</v>
      </c>
      <c r="K21" t="s">
        <v>254</v>
      </c>
      <c r="L21">
        <v>1191</v>
      </c>
      <c r="N21">
        <v>1013</v>
      </c>
      <c r="O21" t="s">
        <v>252</v>
      </c>
      <c r="P21" t="s">
        <v>252</v>
      </c>
      <c r="Q21">
        <v>1</v>
      </c>
      <c r="X21">
        <v>0.17</v>
      </c>
      <c r="Y21">
        <v>0</v>
      </c>
      <c r="Z21">
        <v>0</v>
      </c>
      <c r="AA21">
        <v>0</v>
      </c>
      <c r="AB21">
        <v>0</v>
      </c>
      <c r="AC21">
        <v>0</v>
      </c>
      <c r="AD21">
        <v>1</v>
      </c>
      <c r="AE21">
        <v>2</v>
      </c>
      <c r="AF21" t="s">
        <v>29</v>
      </c>
      <c r="AG21">
        <v>0.21250000000000002</v>
      </c>
      <c r="AH21">
        <v>2</v>
      </c>
      <c r="AI21">
        <v>16501331</v>
      </c>
      <c r="AJ21">
        <v>17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">
      <c r="A22">
        <f>ROW(Source!A29)</f>
        <v>29</v>
      </c>
      <c r="B22">
        <v>16501339</v>
      </c>
      <c r="C22">
        <v>16501329</v>
      </c>
      <c r="D22">
        <v>15247970</v>
      </c>
      <c r="E22">
        <v>1</v>
      </c>
      <c r="F22">
        <v>1</v>
      </c>
      <c r="G22">
        <v>1</v>
      </c>
      <c r="H22">
        <v>2</v>
      </c>
      <c r="I22" t="s">
        <v>261</v>
      </c>
      <c r="J22" t="s">
        <v>262</v>
      </c>
      <c r="K22" t="s">
        <v>263</v>
      </c>
      <c r="L22">
        <v>1368</v>
      </c>
      <c r="N22">
        <v>1011</v>
      </c>
      <c r="O22" t="s">
        <v>258</v>
      </c>
      <c r="P22" t="s">
        <v>258</v>
      </c>
      <c r="Q22">
        <v>1</v>
      </c>
      <c r="X22">
        <v>0.13</v>
      </c>
      <c r="Y22">
        <v>0</v>
      </c>
      <c r="Z22">
        <v>27.66</v>
      </c>
      <c r="AA22">
        <v>11.6</v>
      </c>
      <c r="AB22">
        <v>0</v>
      </c>
      <c r="AC22">
        <v>0</v>
      </c>
      <c r="AD22">
        <v>1</v>
      </c>
      <c r="AE22">
        <v>0</v>
      </c>
      <c r="AF22" t="s">
        <v>29</v>
      </c>
      <c r="AG22">
        <v>0.16250000000000001</v>
      </c>
      <c r="AH22">
        <v>2</v>
      </c>
      <c r="AI22">
        <v>16501332</v>
      </c>
      <c r="AJ22">
        <v>18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">
      <c r="A23">
        <f>ROW(Source!A29)</f>
        <v>29</v>
      </c>
      <c r="B23">
        <v>16501340</v>
      </c>
      <c r="C23">
        <v>16501329</v>
      </c>
      <c r="D23">
        <v>15249073</v>
      </c>
      <c r="E23">
        <v>1</v>
      </c>
      <c r="F23">
        <v>1</v>
      </c>
      <c r="G23">
        <v>1</v>
      </c>
      <c r="H23">
        <v>2</v>
      </c>
      <c r="I23" t="s">
        <v>264</v>
      </c>
      <c r="J23" t="s">
        <v>265</v>
      </c>
      <c r="K23" t="s">
        <v>266</v>
      </c>
      <c r="L23">
        <v>1368</v>
      </c>
      <c r="N23">
        <v>1011</v>
      </c>
      <c r="O23" t="s">
        <v>258</v>
      </c>
      <c r="P23" t="s">
        <v>258</v>
      </c>
      <c r="Q23">
        <v>1</v>
      </c>
      <c r="X23">
        <v>0.04</v>
      </c>
      <c r="Y23">
        <v>0</v>
      </c>
      <c r="Z23">
        <v>65.709999999999994</v>
      </c>
      <c r="AA23">
        <v>11.6</v>
      </c>
      <c r="AB23">
        <v>0</v>
      </c>
      <c r="AC23">
        <v>0</v>
      </c>
      <c r="AD23">
        <v>1</v>
      </c>
      <c r="AE23">
        <v>0</v>
      </c>
      <c r="AF23" t="s">
        <v>29</v>
      </c>
      <c r="AG23">
        <v>0.05</v>
      </c>
      <c r="AH23">
        <v>2</v>
      </c>
      <c r="AI23">
        <v>16501333</v>
      </c>
      <c r="AJ23">
        <v>19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">
      <c r="A24">
        <f>ROW(Source!A29)</f>
        <v>29</v>
      </c>
      <c r="B24">
        <v>16501341</v>
      </c>
      <c r="C24">
        <v>16501329</v>
      </c>
      <c r="D24">
        <v>15167286</v>
      </c>
      <c r="E24">
        <v>1</v>
      </c>
      <c r="F24">
        <v>1</v>
      </c>
      <c r="G24">
        <v>1</v>
      </c>
      <c r="H24">
        <v>3</v>
      </c>
      <c r="I24" t="s">
        <v>267</v>
      </c>
      <c r="J24" t="s">
        <v>268</v>
      </c>
      <c r="K24" t="s">
        <v>269</v>
      </c>
      <c r="L24">
        <v>1339</v>
      </c>
      <c r="N24">
        <v>1007</v>
      </c>
      <c r="O24" t="s">
        <v>270</v>
      </c>
      <c r="P24" t="s">
        <v>270</v>
      </c>
      <c r="Q24">
        <v>1</v>
      </c>
      <c r="X24">
        <v>0.17399999999999999</v>
      </c>
      <c r="Y24">
        <v>2.44</v>
      </c>
      <c r="Z24">
        <v>0</v>
      </c>
      <c r="AA24">
        <v>0</v>
      </c>
      <c r="AB24">
        <v>0</v>
      </c>
      <c r="AC24">
        <v>0</v>
      </c>
      <c r="AD24">
        <v>1</v>
      </c>
      <c r="AE24">
        <v>0</v>
      </c>
      <c r="AF24" t="s">
        <v>4</v>
      </c>
      <c r="AG24">
        <v>0.17399999999999999</v>
      </c>
      <c r="AH24">
        <v>2</v>
      </c>
      <c r="AI24">
        <v>16501334</v>
      </c>
      <c r="AJ24">
        <v>20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">
      <c r="A25">
        <f>ROW(Source!A29)</f>
        <v>29</v>
      </c>
      <c r="B25">
        <v>16501342</v>
      </c>
      <c r="C25">
        <v>16501329</v>
      </c>
      <c r="D25">
        <v>15172906</v>
      </c>
      <c r="E25">
        <v>1</v>
      </c>
      <c r="F25">
        <v>1</v>
      </c>
      <c r="G25">
        <v>1</v>
      </c>
      <c r="H25">
        <v>3</v>
      </c>
      <c r="I25" t="s">
        <v>271</v>
      </c>
      <c r="J25" t="s">
        <v>272</v>
      </c>
      <c r="K25" t="s">
        <v>273</v>
      </c>
      <c r="L25">
        <v>1348</v>
      </c>
      <c r="N25">
        <v>1009</v>
      </c>
      <c r="O25" t="s">
        <v>58</v>
      </c>
      <c r="P25" t="s">
        <v>58</v>
      </c>
      <c r="Q25">
        <v>1000</v>
      </c>
      <c r="X25">
        <v>0.9</v>
      </c>
      <c r="Y25">
        <v>11381.57</v>
      </c>
      <c r="Z25">
        <v>0</v>
      </c>
      <c r="AA25">
        <v>0</v>
      </c>
      <c r="AB25">
        <v>0</v>
      </c>
      <c r="AC25">
        <v>0</v>
      </c>
      <c r="AD25">
        <v>1</v>
      </c>
      <c r="AE25">
        <v>0</v>
      </c>
      <c r="AF25" t="s">
        <v>4</v>
      </c>
      <c r="AG25">
        <v>0.9</v>
      </c>
      <c r="AH25">
        <v>2</v>
      </c>
      <c r="AI25">
        <v>16501335</v>
      </c>
      <c r="AJ25">
        <v>21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">
      <c r="A26">
        <f>ROW(Source!A29)</f>
        <v>29</v>
      </c>
      <c r="B26">
        <v>16501343</v>
      </c>
      <c r="C26">
        <v>16501329</v>
      </c>
      <c r="D26">
        <v>15203485</v>
      </c>
      <c r="E26">
        <v>1</v>
      </c>
      <c r="F26">
        <v>1</v>
      </c>
      <c r="G26">
        <v>1</v>
      </c>
      <c r="H26">
        <v>3</v>
      </c>
      <c r="I26" t="s">
        <v>274</v>
      </c>
      <c r="J26" t="s">
        <v>275</v>
      </c>
      <c r="K26" t="s">
        <v>276</v>
      </c>
      <c r="L26">
        <v>1346</v>
      </c>
      <c r="N26">
        <v>1009</v>
      </c>
      <c r="O26" t="s">
        <v>277</v>
      </c>
      <c r="P26" t="s">
        <v>277</v>
      </c>
      <c r="Q26">
        <v>1</v>
      </c>
      <c r="X26">
        <v>30</v>
      </c>
      <c r="Y26">
        <v>15.25</v>
      </c>
      <c r="Z26">
        <v>0</v>
      </c>
      <c r="AA26">
        <v>0</v>
      </c>
      <c r="AB26">
        <v>0</v>
      </c>
      <c r="AC26">
        <v>0</v>
      </c>
      <c r="AD26">
        <v>1</v>
      </c>
      <c r="AE26">
        <v>0</v>
      </c>
      <c r="AF26" t="s">
        <v>4</v>
      </c>
      <c r="AG26">
        <v>30</v>
      </c>
      <c r="AH26">
        <v>2</v>
      </c>
      <c r="AI26">
        <v>16501336</v>
      </c>
      <c r="AJ26">
        <v>22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">
      <c r="A27">
        <f>ROW(Source!A30)</f>
        <v>30</v>
      </c>
      <c r="B27">
        <v>16501351</v>
      </c>
      <c r="C27">
        <v>16501344</v>
      </c>
      <c r="D27">
        <v>15430767</v>
      </c>
      <c r="E27">
        <v>1</v>
      </c>
      <c r="F27">
        <v>1</v>
      </c>
      <c r="G27">
        <v>1</v>
      </c>
      <c r="H27">
        <v>1</v>
      </c>
      <c r="I27" t="s">
        <v>259</v>
      </c>
      <c r="J27" t="s">
        <v>4</v>
      </c>
      <c r="K27" t="s">
        <v>260</v>
      </c>
      <c r="L27">
        <v>1191</v>
      </c>
      <c r="N27">
        <v>1013</v>
      </c>
      <c r="O27" t="s">
        <v>252</v>
      </c>
      <c r="P27" t="s">
        <v>252</v>
      </c>
      <c r="Q27">
        <v>1</v>
      </c>
      <c r="X27">
        <v>2.42</v>
      </c>
      <c r="Y27">
        <v>0</v>
      </c>
      <c r="Z27">
        <v>0</v>
      </c>
      <c r="AA27">
        <v>0</v>
      </c>
      <c r="AB27">
        <v>8.5299999999999994</v>
      </c>
      <c r="AC27">
        <v>0</v>
      </c>
      <c r="AD27">
        <v>1</v>
      </c>
      <c r="AE27">
        <v>1</v>
      </c>
      <c r="AF27" t="s">
        <v>42</v>
      </c>
      <c r="AG27">
        <v>13.914999999999999</v>
      </c>
      <c r="AH27">
        <v>2</v>
      </c>
      <c r="AI27">
        <v>16501345</v>
      </c>
      <c r="AJ27">
        <v>23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">
      <c r="A28">
        <f>ROW(Source!A30)</f>
        <v>30</v>
      </c>
      <c r="B28">
        <v>16501352</v>
      </c>
      <c r="C28">
        <v>16501344</v>
      </c>
      <c r="D28">
        <v>15430395</v>
      </c>
      <c r="E28">
        <v>1</v>
      </c>
      <c r="F28">
        <v>1</v>
      </c>
      <c r="G28">
        <v>1</v>
      </c>
      <c r="H28">
        <v>1</v>
      </c>
      <c r="I28" t="s">
        <v>253</v>
      </c>
      <c r="J28" t="s">
        <v>4</v>
      </c>
      <c r="K28" t="s">
        <v>254</v>
      </c>
      <c r="L28">
        <v>1191</v>
      </c>
      <c r="N28">
        <v>1013</v>
      </c>
      <c r="O28" t="s">
        <v>252</v>
      </c>
      <c r="P28" t="s">
        <v>252</v>
      </c>
      <c r="Q28">
        <v>1</v>
      </c>
      <c r="X28">
        <v>0.03</v>
      </c>
      <c r="Y28">
        <v>0</v>
      </c>
      <c r="Z28">
        <v>0</v>
      </c>
      <c r="AA28">
        <v>0</v>
      </c>
      <c r="AB28">
        <v>0</v>
      </c>
      <c r="AC28">
        <v>0</v>
      </c>
      <c r="AD28">
        <v>1</v>
      </c>
      <c r="AE28">
        <v>2</v>
      </c>
      <c r="AF28" t="s">
        <v>41</v>
      </c>
      <c r="AG28">
        <v>0.1875</v>
      </c>
      <c r="AH28">
        <v>2</v>
      </c>
      <c r="AI28">
        <v>16501346</v>
      </c>
      <c r="AJ28">
        <v>24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">
      <c r="A29">
        <f>ROW(Source!A30)</f>
        <v>30</v>
      </c>
      <c r="B29">
        <v>16501353</v>
      </c>
      <c r="C29">
        <v>16501344</v>
      </c>
      <c r="D29">
        <v>15247970</v>
      </c>
      <c r="E29">
        <v>1</v>
      </c>
      <c r="F29">
        <v>1</v>
      </c>
      <c r="G29">
        <v>1</v>
      </c>
      <c r="H29">
        <v>2</v>
      </c>
      <c r="I29" t="s">
        <v>261</v>
      </c>
      <c r="J29" t="s">
        <v>262</v>
      </c>
      <c r="K29" t="s">
        <v>263</v>
      </c>
      <c r="L29">
        <v>1368</v>
      </c>
      <c r="N29">
        <v>1011</v>
      </c>
      <c r="O29" t="s">
        <v>258</v>
      </c>
      <c r="P29" t="s">
        <v>258</v>
      </c>
      <c r="Q29">
        <v>1</v>
      </c>
      <c r="X29">
        <v>0.02</v>
      </c>
      <c r="Y29">
        <v>0</v>
      </c>
      <c r="Z29">
        <v>27.66</v>
      </c>
      <c r="AA29">
        <v>11.6</v>
      </c>
      <c r="AB29">
        <v>0</v>
      </c>
      <c r="AC29">
        <v>0</v>
      </c>
      <c r="AD29">
        <v>1</v>
      </c>
      <c r="AE29">
        <v>0</v>
      </c>
      <c r="AF29" t="s">
        <v>41</v>
      </c>
      <c r="AG29">
        <v>0.125</v>
      </c>
      <c r="AH29">
        <v>2</v>
      </c>
      <c r="AI29">
        <v>16501347</v>
      </c>
      <c r="AJ29">
        <v>25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 x14ac:dyDescent="0.2">
      <c r="A30">
        <f>ROW(Source!A30)</f>
        <v>30</v>
      </c>
      <c r="B30">
        <v>16501354</v>
      </c>
      <c r="C30">
        <v>16501344</v>
      </c>
      <c r="D30">
        <v>15249073</v>
      </c>
      <c r="E30">
        <v>1</v>
      </c>
      <c r="F30">
        <v>1</v>
      </c>
      <c r="G30">
        <v>1</v>
      </c>
      <c r="H30">
        <v>2</v>
      </c>
      <c r="I30" t="s">
        <v>264</v>
      </c>
      <c r="J30" t="s">
        <v>265</v>
      </c>
      <c r="K30" t="s">
        <v>266</v>
      </c>
      <c r="L30">
        <v>1368</v>
      </c>
      <c r="N30">
        <v>1011</v>
      </c>
      <c r="O30" t="s">
        <v>258</v>
      </c>
      <c r="P30" t="s">
        <v>258</v>
      </c>
      <c r="Q30">
        <v>1</v>
      </c>
      <c r="X30">
        <v>0.01</v>
      </c>
      <c r="Y30">
        <v>0</v>
      </c>
      <c r="Z30">
        <v>65.709999999999994</v>
      </c>
      <c r="AA30">
        <v>11.6</v>
      </c>
      <c r="AB30">
        <v>0</v>
      </c>
      <c r="AC30">
        <v>0</v>
      </c>
      <c r="AD30">
        <v>1</v>
      </c>
      <c r="AE30">
        <v>0</v>
      </c>
      <c r="AF30" t="s">
        <v>41</v>
      </c>
      <c r="AG30">
        <v>6.25E-2</v>
      </c>
      <c r="AH30">
        <v>2</v>
      </c>
      <c r="AI30">
        <v>16501348</v>
      </c>
      <c r="AJ30">
        <v>26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 x14ac:dyDescent="0.2">
      <c r="A31">
        <f>ROW(Source!A30)</f>
        <v>30</v>
      </c>
      <c r="B31">
        <v>16501355</v>
      </c>
      <c r="C31">
        <v>16501344</v>
      </c>
      <c r="D31">
        <v>15167286</v>
      </c>
      <c r="E31">
        <v>1</v>
      </c>
      <c r="F31">
        <v>1</v>
      </c>
      <c r="G31">
        <v>1</v>
      </c>
      <c r="H31">
        <v>3</v>
      </c>
      <c r="I31" t="s">
        <v>267</v>
      </c>
      <c r="J31" t="s">
        <v>268</v>
      </c>
      <c r="K31" t="s">
        <v>269</v>
      </c>
      <c r="L31">
        <v>1339</v>
      </c>
      <c r="N31">
        <v>1007</v>
      </c>
      <c r="O31" t="s">
        <v>270</v>
      </c>
      <c r="P31" t="s">
        <v>270</v>
      </c>
      <c r="Q31">
        <v>1</v>
      </c>
      <c r="X31">
        <v>0.03</v>
      </c>
      <c r="Y31">
        <v>2.44</v>
      </c>
      <c r="Z31">
        <v>0</v>
      </c>
      <c r="AA31">
        <v>0</v>
      </c>
      <c r="AB31">
        <v>0</v>
      </c>
      <c r="AC31">
        <v>0</v>
      </c>
      <c r="AD31">
        <v>1</v>
      </c>
      <c r="AE31">
        <v>0</v>
      </c>
      <c r="AF31" t="s">
        <v>40</v>
      </c>
      <c r="AG31">
        <v>0.15</v>
      </c>
      <c r="AH31">
        <v>2</v>
      </c>
      <c r="AI31">
        <v>16501349</v>
      </c>
      <c r="AJ31">
        <v>27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 x14ac:dyDescent="0.2">
      <c r="A32">
        <f>ROW(Source!A30)</f>
        <v>30</v>
      </c>
      <c r="B32">
        <v>16501356</v>
      </c>
      <c r="C32">
        <v>16501344</v>
      </c>
      <c r="D32">
        <v>15172906</v>
      </c>
      <c r="E32">
        <v>1</v>
      </c>
      <c r="F32">
        <v>1</v>
      </c>
      <c r="G32">
        <v>1</v>
      </c>
      <c r="H32">
        <v>3</v>
      </c>
      <c r="I32" t="s">
        <v>271</v>
      </c>
      <c r="J32" t="s">
        <v>272</v>
      </c>
      <c r="K32" t="s">
        <v>273</v>
      </c>
      <c r="L32">
        <v>1348</v>
      </c>
      <c r="N32">
        <v>1009</v>
      </c>
      <c r="O32" t="s">
        <v>58</v>
      </c>
      <c r="P32" t="s">
        <v>58</v>
      </c>
      <c r="Q32">
        <v>1000</v>
      </c>
      <c r="X32">
        <v>0.18</v>
      </c>
      <c r="Y32">
        <v>11381.57</v>
      </c>
      <c r="Z32">
        <v>0</v>
      </c>
      <c r="AA32">
        <v>0</v>
      </c>
      <c r="AB32">
        <v>0</v>
      </c>
      <c r="AC32">
        <v>0</v>
      </c>
      <c r="AD32">
        <v>1</v>
      </c>
      <c r="AE32">
        <v>0</v>
      </c>
      <c r="AF32" t="s">
        <v>40</v>
      </c>
      <c r="AG32">
        <v>0.89999999999999991</v>
      </c>
      <c r="AH32">
        <v>2</v>
      </c>
      <c r="AI32">
        <v>16501350</v>
      </c>
      <c r="AJ32">
        <v>28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 x14ac:dyDescent="0.2">
      <c r="A33">
        <f>ROW(Source!A31)</f>
        <v>31</v>
      </c>
      <c r="B33">
        <v>16501351</v>
      </c>
      <c r="C33">
        <v>16501344</v>
      </c>
      <c r="D33">
        <v>15430767</v>
      </c>
      <c r="E33">
        <v>1</v>
      </c>
      <c r="F33">
        <v>1</v>
      </c>
      <c r="G33">
        <v>1</v>
      </c>
      <c r="H33">
        <v>1</v>
      </c>
      <c r="I33" t="s">
        <v>259</v>
      </c>
      <c r="J33" t="s">
        <v>4</v>
      </c>
      <c r="K33" t="s">
        <v>260</v>
      </c>
      <c r="L33">
        <v>1191</v>
      </c>
      <c r="N33">
        <v>1013</v>
      </c>
      <c r="O33" t="s">
        <v>252</v>
      </c>
      <c r="P33" t="s">
        <v>252</v>
      </c>
      <c r="Q33">
        <v>1</v>
      </c>
      <c r="X33">
        <v>2.42</v>
      </c>
      <c r="Y33">
        <v>0</v>
      </c>
      <c r="Z33">
        <v>0</v>
      </c>
      <c r="AA33">
        <v>0</v>
      </c>
      <c r="AB33">
        <v>8.5299999999999994</v>
      </c>
      <c r="AC33">
        <v>0</v>
      </c>
      <c r="AD33">
        <v>1</v>
      </c>
      <c r="AE33">
        <v>1</v>
      </c>
      <c r="AF33" t="s">
        <v>42</v>
      </c>
      <c r="AG33">
        <v>13.914999999999999</v>
      </c>
      <c r="AH33">
        <v>2</v>
      </c>
      <c r="AI33">
        <v>16501345</v>
      </c>
      <c r="AJ33">
        <v>29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 x14ac:dyDescent="0.2">
      <c r="A34">
        <f>ROW(Source!A31)</f>
        <v>31</v>
      </c>
      <c r="B34">
        <v>16501352</v>
      </c>
      <c r="C34">
        <v>16501344</v>
      </c>
      <c r="D34">
        <v>15430395</v>
      </c>
      <c r="E34">
        <v>1</v>
      </c>
      <c r="F34">
        <v>1</v>
      </c>
      <c r="G34">
        <v>1</v>
      </c>
      <c r="H34">
        <v>1</v>
      </c>
      <c r="I34" t="s">
        <v>253</v>
      </c>
      <c r="J34" t="s">
        <v>4</v>
      </c>
      <c r="K34" t="s">
        <v>254</v>
      </c>
      <c r="L34">
        <v>1191</v>
      </c>
      <c r="N34">
        <v>1013</v>
      </c>
      <c r="O34" t="s">
        <v>252</v>
      </c>
      <c r="P34" t="s">
        <v>252</v>
      </c>
      <c r="Q34">
        <v>1</v>
      </c>
      <c r="X34">
        <v>0.03</v>
      </c>
      <c r="Y34">
        <v>0</v>
      </c>
      <c r="Z34">
        <v>0</v>
      </c>
      <c r="AA34">
        <v>0</v>
      </c>
      <c r="AB34">
        <v>0</v>
      </c>
      <c r="AC34">
        <v>0</v>
      </c>
      <c r="AD34">
        <v>1</v>
      </c>
      <c r="AE34">
        <v>2</v>
      </c>
      <c r="AF34" t="s">
        <v>41</v>
      </c>
      <c r="AG34">
        <v>0.1875</v>
      </c>
      <c r="AH34">
        <v>2</v>
      </c>
      <c r="AI34">
        <v>16501346</v>
      </c>
      <c r="AJ34">
        <v>30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 x14ac:dyDescent="0.2">
      <c r="A35">
        <f>ROW(Source!A31)</f>
        <v>31</v>
      </c>
      <c r="B35">
        <v>16501353</v>
      </c>
      <c r="C35">
        <v>16501344</v>
      </c>
      <c r="D35">
        <v>15247970</v>
      </c>
      <c r="E35">
        <v>1</v>
      </c>
      <c r="F35">
        <v>1</v>
      </c>
      <c r="G35">
        <v>1</v>
      </c>
      <c r="H35">
        <v>2</v>
      </c>
      <c r="I35" t="s">
        <v>261</v>
      </c>
      <c r="J35" t="s">
        <v>262</v>
      </c>
      <c r="K35" t="s">
        <v>263</v>
      </c>
      <c r="L35">
        <v>1368</v>
      </c>
      <c r="N35">
        <v>1011</v>
      </c>
      <c r="O35" t="s">
        <v>258</v>
      </c>
      <c r="P35" t="s">
        <v>258</v>
      </c>
      <c r="Q35">
        <v>1</v>
      </c>
      <c r="X35">
        <v>0.02</v>
      </c>
      <c r="Y35">
        <v>0</v>
      </c>
      <c r="Z35">
        <v>27.66</v>
      </c>
      <c r="AA35">
        <v>11.6</v>
      </c>
      <c r="AB35">
        <v>0</v>
      </c>
      <c r="AC35">
        <v>0</v>
      </c>
      <c r="AD35">
        <v>1</v>
      </c>
      <c r="AE35">
        <v>0</v>
      </c>
      <c r="AF35" t="s">
        <v>41</v>
      </c>
      <c r="AG35">
        <v>0.125</v>
      </c>
      <c r="AH35">
        <v>2</v>
      </c>
      <c r="AI35">
        <v>16501347</v>
      </c>
      <c r="AJ35">
        <v>31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 x14ac:dyDescent="0.2">
      <c r="A36">
        <f>ROW(Source!A31)</f>
        <v>31</v>
      </c>
      <c r="B36">
        <v>16501354</v>
      </c>
      <c r="C36">
        <v>16501344</v>
      </c>
      <c r="D36">
        <v>15249073</v>
      </c>
      <c r="E36">
        <v>1</v>
      </c>
      <c r="F36">
        <v>1</v>
      </c>
      <c r="G36">
        <v>1</v>
      </c>
      <c r="H36">
        <v>2</v>
      </c>
      <c r="I36" t="s">
        <v>264</v>
      </c>
      <c r="J36" t="s">
        <v>265</v>
      </c>
      <c r="K36" t="s">
        <v>266</v>
      </c>
      <c r="L36">
        <v>1368</v>
      </c>
      <c r="N36">
        <v>1011</v>
      </c>
      <c r="O36" t="s">
        <v>258</v>
      </c>
      <c r="P36" t="s">
        <v>258</v>
      </c>
      <c r="Q36">
        <v>1</v>
      </c>
      <c r="X36">
        <v>0.01</v>
      </c>
      <c r="Y36">
        <v>0</v>
      </c>
      <c r="Z36">
        <v>65.709999999999994</v>
      </c>
      <c r="AA36">
        <v>11.6</v>
      </c>
      <c r="AB36">
        <v>0</v>
      </c>
      <c r="AC36">
        <v>0</v>
      </c>
      <c r="AD36">
        <v>1</v>
      </c>
      <c r="AE36">
        <v>0</v>
      </c>
      <c r="AF36" t="s">
        <v>41</v>
      </c>
      <c r="AG36">
        <v>6.25E-2</v>
      </c>
      <c r="AH36">
        <v>2</v>
      </c>
      <c r="AI36">
        <v>16501348</v>
      </c>
      <c r="AJ36">
        <v>32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 x14ac:dyDescent="0.2">
      <c r="A37">
        <f>ROW(Source!A31)</f>
        <v>31</v>
      </c>
      <c r="B37">
        <v>16501355</v>
      </c>
      <c r="C37">
        <v>16501344</v>
      </c>
      <c r="D37">
        <v>15167286</v>
      </c>
      <c r="E37">
        <v>1</v>
      </c>
      <c r="F37">
        <v>1</v>
      </c>
      <c r="G37">
        <v>1</v>
      </c>
      <c r="H37">
        <v>3</v>
      </c>
      <c r="I37" t="s">
        <v>267</v>
      </c>
      <c r="J37" t="s">
        <v>268</v>
      </c>
      <c r="K37" t="s">
        <v>269</v>
      </c>
      <c r="L37">
        <v>1339</v>
      </c>
      <c r="N37">
        <v>1007</v>
      </c>
      <c r="O37" t="s">
        <v>270</v>
      </c>
      <c r="P37" t="s">
        <v>270</v>
      </c>
      <c r="Q37">
        <v>1</v>
      </c>
      <c r="X37">
        <v>0.03</v>
      </c>
      <c r="Y37">
        <v>2.44</v>
      </c>
      <c r="Z37">
        <v>0</v>
      </c>
      <c r="AA37">
        <v>0</v>
      </c>
      <c r="AB37">
        <v>0</v>
      </c>
      <c r="AC37">
        <v>0</v>
      </c>
      <c r="AD37">
        <v>1</v>
      </c>
      <c r="AE37">
        <v>0</v>
      </c>
      <c r="AF37" t="s">
        <v>40</v>
      </c>
      <c r="AG37">
        <v>0.15</v>
      </c>
      <c r="AH37">
        <v>2</v>
      </c>
      <c r="AI37">
        <v>16501349</v>
      </c>
      <c r="AJ37">
        <v>33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 x14ac:dyDescent="0.2">
      <c r="A38">
        <f>ROW(Source!A31)</f>
        <v>31</v>
      </c>
      <c r="B38">
        <v>16501356</v>
      </c>
      <c r="C38">
        <v>16501344</v>
      </c>
      <c r="D38">
        <v>15172906</v>
      </c>
      <c r="E38">
        <v>1</v>
      </c>
      <c r="F38">
        <v>1</v>
      </c>
      <c r="G38">
        <v>1</v>
      </c>
      <c r="H38">
        <v>3</v>
      </c>
      <c r="I38" t="s">
        <v>271</v>
      </c>
      <c r="J38" t="s">
        <v>272</v>
      </c>
      <c r="K38" t="s">
        <v>273</v>
      </c>
      <c r="L38">
        <v>1348</v>
      </c>
      <c r="N38">
        <v>1009</v>
      </c>
      <c r="O38" t="s">
        <v>58</v>
      </c>
      <c r="P38" t="s">
        <v>58</v>
      </c>
      <c r="Q38">
        <v>1000</v>
      </c>
      <c r="X38">
        <v>0.18</v>
      </c>
      <c r="Y38">
        <v>11381.57</v>
      </c>
      <c r="Z38">
        <v>0</v>
      </c>
      <c r="AA38">
        <v>0</v>
      </c>
      <c r="AB38">
        <v>0</v>
      </c>
      <c r="AC38">
        <v>0</v>
      </c>
      <c r="AD38">
        <v>1</v>
      </c>
      <c r="AE38">
        <v>0</v>
      </c>
      <c r="AF38" t="s">
        <v>40</v>
      </c>
      <c r="AG38">
        <v>0.89999999999999991</v>
      </c>
      <c r="AH38">
        <v>2</v>
      </c>
      <c r="AI38">
        <v>16501350</v>
      </c>
      <c r="AJ38">
        <v>34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 x14ac:dyDescent="0.2">
      <c r="A39">
        <f>ROW(Source!A32)</f>
        <v>32</v>
      </c>
      <c r="B39">
        <v>16501366</v>
      </c>
      <c r="C39">
        <v>16501357</v>
      </c>
      <c r="D39">
        <v>15432356</v>
      </c>
      <c r="E39">
        <v>1</v>
      </c>
      <c r="F39">
        <v>1</v>
      </c>
      <c r="G39">
        <v>1</v>
      </c>
      <c r="H39">
        <v>1</v>
      </c>
      <c r="I39" t="s">
        <v>278</v>
      </c>
      <c r="J39" t="s">
        <v>4</v>
      </c>
      <c r="K39" t="s">
        <v>279</v>
      </c>
      <c r="L39">
        <v>1191</v>
      </c>
      <c r="N39">
        <v>1013</v>
      </c>
      <c r="O39" t="s">
        <v>252</v>
      </c>
      <c r="P39" t="s">
        <v>252</v>
      </c>
      <c r="Q39">
        <v>1</v>
      </c>
      <c r="X39">
        <v>42.4</v>
      </c>
      <c r="Y39">
        <v>0</v>
      </c>
      <c r="Z39">
        <v>0</v>
      </c>
      <c r="AA39">
        <v>0</v>
      </c>
      <c r="AB39">
        <v>8.31</v>
      </c>
      <c r="AC39">
        <v>0</v>
      </c>
      <c r="AD39">
        <v>1</v>
      </c>
      <c r="AE39">
        <v>1</v>
      </c>
      <c r="AF39" t="s">
        <v>30</v>
      </c>
      <c r="AG39">
        <v>48.76</v>
      </c>
      <c r="AH39">
        <v>2</v>
      </c>
      <c r="AI39">
        <v>16501358</v>
      </c>
      <c r="AJ39">
        <v>35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 x14ac:dyDescent="0.2">
      <c r="A40">
        <f>ROW(Source!A32)</f>
        <v>32</v>
      </c>
      <c r="B40">
        <v>16501367</v>
      </c>
      <c r="C40">
        <v>16501357</v>
      </c>
      <c r="D40">
        <v>15430395</v>
      </c>
      <c r="E40">
        <v>1</v>
      </c>
      <c r="F40">
        <v>1</v>
      </c>
      <c r="G40">
        <v>1</v>
      </c>
      <c r="H40">
        <v>1</v>
      </c>
      <c r="I40" t="s">
        <v>253</v>
      </c>
      <c r="J40" t="s">
        <v>4</v>
      </c>
      <c r="K40" t="s">
        <v>254</v>
      </c>
      <c r="L40">
        <v>1191</v>
      </c>
      <c r="N40">
        <v>1013</v>
      </c>
      <c r="O40" t="s">
        <v>252</v>
      </c>
      <c r="P40" t="s">
        <v>252</v>
      </c>
      <c r="Q40">
        <v>1</v>
      </c>
      <c r="X40">
        <v>0.85</v>
      </c>
      <c r="Y40">
        <v>0</v>
      </c>
      <c r="Z40">
        <v>0</v>
      </c>
      <c r="AA40">
        <v>0</v>
      </c>
      <c r="AB40">
        <v>0</v>
      </c>
      <c r="AC40">
        <v>0</v>
      </c>
      <c r="AD40">
        <v>1</v>
      </c>
      <c r="AE40">
        <v>2</v>
      </c>
      <c r="AF40" t="s">
        <v>29</v>
      </c>
      <c r="AG40">
        <v>1.0625</v>
      </c>
      <c r="AH40">
        <v>2</v>
      </c>
      <c r="AI40">
        <v>16501359</v>
      </c>
      <c r="AJ40">
        <v>36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 x14ac:dyDescent="0.2">
      <c r="A41">
        <f>ROW(Source!A32)</f>
        <v>32</v>
      </c>
      <c r="B41">
        <v>16501368</v>
      </c>
      <c r="C41">
        <v>16501357</v>
      </c>
      <c r="D41">
        <v>15247974</v>
      </c>
      <c r="E41">
        <v>1</v>
      </c>
      <c r="F41">
        <v>1</v>
      </c>
      <c r="G41">
        <v>1</v>
      </c>
      <c r="H41">
        <v>2</v>
      </c>
      <c r="I41" t="s">
        <v>255</v>
      </c>
      <c r="J41" t="s">
        <v>256</v>
      </c>
      <c r="K41" t="s">
        <v>257</v>
      </c>
      <c r="L41">
        <v>1368</v>
      </c>
      <c r="N41">
        <v>1011</v>
      </c>
      <c r="O41" t="s">
        <v>258</v>
      </c>
      <c r="P41" t="s">
        <v>258</v>
      </c>
      <c r="Q41">
        <v>1</v>
      </c>
      <c r="X41">
        <v>0.35</v>
      </c>
      <c r="Y41">
        <v>0</v>
      </c>
      <c r="Z41">
        <v>31.26</v>
      </c>
      <c r="AA41">
        <v>13.5</v>
      </c>
      <c r="AB41">
        <v>0</v>
      </c>
      <c r="AC41">
        <v>0</v>
      </c>
      <c r="AD41">
        <v>1</v>
      </c>
      <c r="AE41">
        <v>0</v>
      </c>
      <c r="AF41" t="s">
        <v>29</v>
      </c>
      <c r="AG41">
        <v>0.4375</v>
      </c>
      <c r="AH41">
        <v>2</v>
      </c>
      <c r="AI41">
        <v>16501360</v>
      </c>
      <c r="AJ41">
        <v>37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 x14ac:dyDescent="0.2">
      <c r="A42">
        <f>ROW(Source!A32)</f>
        <v>32</v>
      </c>
      <c r="B42">
        <v>16501369</v>
      </c>
      <c r="C42">
        <v>16501357</v>
      </c>
      <c r="D42">
        <v>15249073</v>
      </c>
      <c r="E42">
        <v>1</v>
      </c>
      <c r="F42">
        <v>1</v>
      </c>
      <c r="G42">
        <v>1</v>
      </c>
      <c r="H42">
        <v>2</v>
      </c>
      <c r="I42" t="s">
        <v>264</v>
      </c>
      <c r="J42" t="s">
        <v>265</v>
      </c>
      <c r="K42" t="s">
        <v>266</v>
      </c>
      <c r="L42">
        <v>1368</v>
      </c>
      <c r="N42">
        <v>1011</v>
      </c>
      <c r="O42" t="s">
        <v>258</v>
      </c>
      <c r="P42" t="s">
        <v>258</v>
      </c>
      <c r="Q42">
        <v>1</v>
      </c>
      <c r="X42">
        <v>0.5</v>
      </c>
      <c r="Y42">
        <v>0</v>
      </c>
      <c r="Z42">
        <v>65.709999999999994</v>
      </c>
      <c r="AA42">
        <v>11.6</v>
      </c>
      <c r="AB42">
        <v>0</v>
      </c>
      <c r="AC42">
        <v>0</v>
      </c>
      <c r="AD42">
        <v>1</v>
      </c>
      <c r="AE42">
        <v>0</v>
      </c>
      <c r="AF42" t="s">
        <v>29</v>
      </c>
      <c r="AG42">
        <v>0.625</v>
      </c>
      <c r="AH42">
        <v>2</v>
      </c>
      <c r="AI42">
        <v>16501361</v>
      </c>
      <c r="AJ42">
        <v>38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 x14ac:dyDescent="0.2">
      <c r="A43">
        <f>ROW(Source!A32)</f>
        <v>32</v>
      </c>
      <c r="B43">
        <v>16501370</v>
      </c>
      <c r="C43">
        <v>16501357</v>
      </c>
      <c r="D43">
        <v>15162736</v>
      </c>
      <c r="E43">
        <v>17</v>
      </c>
      <c r="F43">
        <v>1</v>
      </c>
      <c r="G43">
        <v>1</v>
      </c>
      <c r="H43">
        <v>3</v>
      </c>
      <c r="I43" t="s">
        <v>48</v>
      </c>
      <c r="J43" t="s">
        <v>4</v>
      </c>
      <c r="K43" t="s">
        <v>49</v>
      </c>
      <c r="L43">
        <v>1327</v>
      </c>
      <c r="N43">
        <v>1005</v>
      </c>
      <c r="O43" t="s">
        <v>50</v>
      </c>
      <c r="P43" t="s">
        <v>50</v>
      </c>
      <c r="Q43">
        <v>1</v>
      </c>
      <c r="X43">
        <v>102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 t="s">
        <v>4</v>
      </c>
      <c r="AG43">
        <v>102</v>
      </c>
      <c r="AH43">
        <v>2</v>
      </c>
      <c r="AI43">
        <v>16501362</v>
      </c>
      <c r="AJ43">
        <v>39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 x14ac:dyDescent="0.2">
      <c r="A44">
        <f>ROW(Source!A32)</f>
        <v>32</v>
      </c>
      <c r="B44">
        <v>16501371</v>
      </c>
      <c r="C44">
        <v>16501357</v>
      </c>
      <c r="D44">
        <v>15171018</v>
      </c>
      <c r="E44">
        <v>1</v>
      </c>
      <c r="F44">
        <v>1</v>
      </c>
      <c r="G44">
        <v>1</v>
      </c>
      <c r="H44">
        <v>3</v>
      </c>
      <c r="I44" t="s">
        <v>280</v>
      </c>
      <c r="J44" t="s">
        <v>281</v>
      </c>
      <c r="K44" t="s">
        <v>282</v>
      </c>
      <c r="L44">
        <v>1346</v>
      </c>
      <c r="N44">
        <v>1009</v>
      </c>
      <c r="O44" t="s">
        <v>277</v>
      </c>
      <c r="P44" t="s">
        <v>277</v>
      </c>
      <c r="Q44">
        <v>1</v>
      </c>
      <c r="X44">
        <v>0.5</v>
      </c>
      <c r="Y44">
        <v>1.82</v>
      </c>
      <c r="Z44">
        <v>0</v>
      </c>
      <c r="AA44">
        <v>0</v>
      </c>
      <c r="AB44">
        <v>0</v>
      </c>
      <c r="AC44">
        <v>0</v>
      </c>
      <c r="AD44">
        <v>1</v>
      </c>
      <c r="AE44">
        <v>0</v>
      </c>
      <c r="AF44" t="s">
        <v>4</v>
      </c>
      <c r="AG44">
        <v>0.5</v>
      </c>
      <c r="AH44">
        <v>2</v>
      </c>
      <c r="AI44">
        <v>16501363</v>
      </c>
      <c r="AJ44">
        <v>41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 x14ac:dyDescent="0.2">
      <c r="A45">
        <f>ROW(Source!A32)</f>
        <v>32</v>
      </c>
      <c r="B45">
        <v>16501372</v>
      </c>
      <c r="C45">
        <v>16501357</v>
      </c>
      <c r="D45">
        <v>15162257</v>
      </c>
      <c r="E45">
        <v>17</v>
      </c>
      <c r="F45">
        <v>1</v>
      </c>
      <c r="G45">
        <v>1</v>
      </c>
      <c r="H45">
        <v>3</v>
      </c>
      <c r="I45" t="s">
        <v>308</v>
      </c>
      <c r="J45" t="s">
        <v>4</v>
      </c>
      <c r="K45" t="s">
        <v>309</v>
      </c>
      <c r="L45">
        <v>1346</v>
      </c>
      <c r="N45">
        <v>1009</v>
      </c>
      <c r="O45" t="s">
        <v>277</v>
      </c>
      <c r="P45" t="s">
        <v>277</v>
      </c>
      <c r="Q45">
        <v>1</v>
      </c>
      <c r="X45">
        <v>50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 t="s">
        <v>4</v>
      </c>
      <c r="AG45">
        <v>50</v>
      </c>
      <c r="AH45">
        <v>3</v>
      </c>
      <c r="AI45">
        <v>-1</v>
      </c>
      <c r="AJ45" t="s">
        <v>4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 x14ac:dyDescent="0.2">
      <c r="A46">
        <f>ROW(Source!A33)</f>
        <v>33</v>
      </c>
      <c r="B46">
        <v>16501366</v>
      </c>
      <c r="C46">
        <v>16501357</v>
      </c>
      <c r="D46">
        <v>15432356</v>
      </c>
      <c r="E46">
        <v>1</v>
      </c>
      <c r="F46">
        <v>1</v>
      </c>
      <c r="G46">
        <v>1</v>
      </c>
      <c r="H46">
        <v>1</v>
      </c>
      <c r="I46" t="s">
        <v>278</v>
      </c>
      <c r="J46" t="s">
        <v>4</v>
      </c>
      <c r="K46" t="s">
        <v>279</v>
      </c>
      <c r="L46">
        <v>1191</v>
      </c>
      <c r="N46">
        <v>1013</v>
      </c>
      <c r="O46" t="s">
        <v>252</v>
      </c>
      <c r="P46" t="s">
        <v>252</v>
      </c>
      <c r="Q46">
        <v>1</v>
      </c>
      <c r="X46">
        <v>42.4</v>
      </c>
      <c r="Y46">
        <v>0</v>
      </c>
      <c r="Z46">
        <v>0</v>
      </c>
      <c r="AA46">
        <v>0</v>
      </c>
      <c r="AB46">
        <v>8.31</v>
      </c>
      <c r="AC46">
        <v>0</v>
      </c>
      <c r="AD46">
        <v>1</v>
      </c>
      <c r="AE46">
        <v>1</v>
      </c>
      <c r="AF46" t="s">
        <v>30</v>
      </c>
      <c r="AG46">
        <v>48.76</v>
      </c>
      <c r="AH46">
        <v>2</v>
      </c>
      <c r="AI46">
        <v>16501358</v>
      </c>
      <c r="AJ46">
        <v>43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 x14ac:dyDescent="0.2">
      <c r="A47">
        <f>ROW(Source!A33)</f>
        <v>33</v>
      </c>
      <c r="B47">
        <v>16501367</v>
      </c>
      <c r="C47">
        <v>16501357</v>
      </c>
      <c r="D47">
        <v>15430395</v>
      </c>
      <c r="E47">
        <v>1</v>
      </c>
      <c r="F47">
        <v>1</v>
      </c>
      <c r="G47">
        <v>1</v>
      </c>
      <c r="H47">
        <v>1</v>
      </c>
      <c r="I47" t="s">
        <v>253</v>
      </c>
      <c r="J47" t="s">
        <v>4</v>
      </c>
      <c r="K47" t="s">
        <v>254</v>
      </c>
      <c r="L47">
        <v>1191</v>
      </c>
      <c r="N47">
        <v>1013</v>
      </c>
      <c r="O47" t="s">
        <v>252</v>
      </c>
      <c r="P47" t="s">
        <v>252</v>
      </c>
      <c r="Q47">
        <v>1</v>
      </c>
      <c r="X47">
        <v>0.85</v>
      </c>
      <c r="Y47">
        <v>0</v>
      </c>
      <c r="Z47">
        <v>0</v>
      </c>
      <c r="AA47">
        <v>0</v>
      </c>
      <c r="AB47">
        <v>0</v>
      </c>
      <c r="AC47">
        <v>0</v>
      </c>
      <c r="AD47">
        <v>1</v>
      </c>
      <c r="AE47">
        <v>2</v>
      </c>
      <c r="AF47" t="s">
        <v>29</v>
      </c>
      <c r="AG47">
        <v>1.0625</v>
      </c>
      <c r="AH47">
        <v>2</v>
      </c>
      <c r="AI47">
        <v>16501359</v>
      </c>
      <c r="AJ47">
        <v>44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 x14ac:dyDescent="0.2">
      <c r="A48">
        <f>ROW(Source!A33)</f>
        <v>33</v>
      </c>
      <c r="B48">
        <v>16501368</v>
      </c>
      <c r="C48">
        <v>16501357</v>
      </c>
      <c r="D48">
        <v>15247974</v>
      </c>
      <c r="E48">
        <v>1</v>
      </c>
      <c r="F48">
        <v>1</v>
      </c>
      <c r="G48">
        <v>1</v>
      </c>
      <c r="H48">
        <v>2</v>
      </c>
      <c r="I48" t="s">
        <v>255</v>
      </c>
      <c r="J48" t="s">
        <v>256</v>
      </c>
      <c r="K48" t="s">
        <v>257</v>
      </c>
      <c r="L48">
        <v>1368</v>
      </c>
      <c r="N48">
        <v>1011</v>
      </c>
      <c r="O48" t="s">
        <v>258</v>
      </c>
      <c r="P48" t="s">
        <v>258</v>
      </c>
      <c r="Q48">
        <v>1</v>
      </c>
      <c r="X48">
        <v>0.35</v>
      </c>
      <c r="Y48">
        <v>0</v>
      </c>
      <c r="Z48">
        <v>31.26</v>
      </c>
      <c r="AA48">
        <v>13.5</v>
      </c>
      <c r="AB48">
        <v>0</v>
      </c>
      <c r="AC48">
        <v>0</v>
      </c>
      <c r="AD48">
        <v>1</v>
      </c>
      <c r="AE48">
        <v>0</v>
      </c>
      <c r="AF48" t="s">
        <v>29</v>
      </c>
      <c r="AG48">
        <v>0.4375</v>
      </c>
      <c r="AH48">
        <v>2</v>
      </c>
      <c r="AI48">
        <v>16501360</v>
      </c>
      <c r="AJ48">
        <v>45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 x14ac:dyDescent="0.2">
      <c r="A49">
        <f>ROW(Source!A33)</f>
        <v>33</v>
      </c>
      <c r="B49">
        <v>16501369</v>
      </c>
      <c r="C49">
        <v>16501357</v>
      </c>
      <c r="D49">
        <v>15249073</v>
      </c>
      <c r="E49">
        <v>1</v>
      </c>
      <c r="F49">
        <v>1</v>
      </c>
      <c r="G49">
        <v>1</v>
      </c>
      <c r="H49">
        <v>2</v>
      </c>
      <c r="I49" t="s">
        <v>264</v>
      </c>
      <c r="J49" t="s">
        <v>265</v>
      </c>
      <c r="K49" t="s">
        <v>266</v>
      </c>
      <c r="L49">
        <v>1368</v>
      </c>
      <c r="N49">
        <v>1011</v>
      </c>
      <c r="O49" t="s">
        <v>258</v>
      </c>
      <c r="P49" t="s">
        <v>258</v>
      </c>
      <c r="Q49">
        <v>1</v>
      </c>
      <c r="X49">
        <v>0.5</v>
      </c>
      <c r="Y49">
        <v>0</v>
      </c>
      <c r="Z49">
        <v>65.709999999999994</v>
      </c>
      <c r="AA49">
        <v>11.6</v>
      </c>
      <c r="AB49">
        <v>0</v>
      </c>
      <c r="AC49">
        <v>0</v>
      </c>
      <c r="AD49">
        <v>1</v>
      </c>
      <c r="AE49">
        <v>0</v>
      </c>
      <c r="AF49" t="s">
        <v>29</v>
      </c>
      <c r="AG49">
        <v>0.625</v>
      </c>
      <c r="AH49">
        <v>2</v>
      </c>
      <c r="AI49">
        <v>16501361</v>
      </c>
      <c r="AJ49">
        <v>46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 x14ac:dyDescent="0.2">
      <c r="A50">
        <f>ROW(Source!A33)</f>
        <v>33</v>
      </c>
      <c r="B50">
        <v>16501370</v>
      </c>
      <c r="C50">
        <v>16501357</v>
      </c>
      <c r="D50">
        <v>15162736</v>
      </c>
      <c r="E50">
        <v>17</v>
      </c>
      <c r="F50">
        <v>1</v>
      </c>
      <c r="G50">
        <v>1</v>
      </c>
      <c r="H50">
        <v>3</v>
      </c>
      <c r="I50" t="s">
        <v>48</v>
      </c>
      <c r="J50" t="s">
        <v>4</v>
      </c>
      <c r="K50" t="s">
        <v>49</v>
      </c>
      <c r="L50">
        <v>1327</v>
      </c>
      <c r="N50">
        <v>1005</v>
      </c>
      <c r="O50" t="s">
        <v>50</v>
      </c>
      <c r="P50" t="s">
        <v>50</v>
      </c>
      <c r="Q50">
        <v>1</v>
      </c>
      <c r="X50">
        <v>102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 t="s">
        <v>4</v>
      </c>
      <c r="AG50">
        <v>102</v>
      </c>
      <c r="AH50">
        <v>2</v>
      </c>
      <c r="AI50">
        <v>16501362</v>
      </c>
      <c r="AJ50">
        <v>47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 x14ac:dyDescent="0.2">
      <c r="A51">
        <f>ROW(Source!A33)</f>
        <v>33</v>
      </c>
      <c r="B51">
        <v>16501371</v>
      </c>
      <c r="C51">
        <v>16501357</v>
      </c>
      <c r="D51">
        <v>15171018</v>
      </c>
      <c r="E51">
        <v>1</v>
      </c>
      <c r="F51">
        <v>1</v>
      </c>
      <c r="G51">
        <v>1</v>
      </c>
      <c r="H51">
        <v>3</v>
      </c>
      <c r="I51" t="s">
        <v>280</v>
      </c>
      <c r="J51" t="s">
        <v>281</v>
      </c>
      <c r="K51" t="s">
        <v>282</v>
      </c>
      <c r="L51">
        <v>1346</v>
      </c>
      <c r="N51">
        <v>1009</v>
      </c>
      <c r="O51" t="s">
        <v>277</v>
      </c>
      <c r="P51" t="s">
        <v>277</v>
      </c>
      <c r="Q51">
        <v>1</v>
      </c>
      <c r="X51">
        <v>0.5</v>
      </c>
      <c r="Y51">
        <v>1.82</v>
      </c>
      <c r="Z51">
        <v>0</v>
      </c>
      <c r="AA51">
        <v>0</v>
      </c>
      <c r="AB51">
        <v>0</v>
      </c>
      <c r="AC51">
        <v>0</v>
      </c>
      <c r="AD51">
        <v>1</v>
      </c>
      <c r="AE51">
        <v>0</v>
      </c>
      <c r="AF51" t="s">
        <v>4</v>
      </c>
      <c r="AG51">
        <v>0.5</v>
      </c>
      <c r="AH51">
        <v>2</v>
      </c>
      <c r="AI51">
        <v>16501363</v>
      </c>
      <c r="AJ51">
        <v>49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 x14ac:dyDescent="0.2">
      <c r="A52">
        <f>ROW(Source!A33)</f>
        <v>33</v>
      </c>
      <c r="B52">
        <v>16501372</v>
      </c>
      <c r="C52">
        <v>16501357</v>
      </c>
      <c r="D52">
        <v>15162257</v>
      </c>
      <c r="E52">
        <v>17</v>
      </c>
      <c r="F52">
        <v>1</v>
      </c>
      <c r="G52">
        <v>1</v>
      </c>
      <c r="H52">
        <v>3</v>
      </c>
      <c r="I52" t="s">
        <v>308</v>
      </c>
      <c r="J52" t="s">
        <v>4</v>
      </c>
      <c r="K52" t="s">
        <v>309</v>
      </c>
      <c r="L52">
        <v>1346</v>
      </c>
      <c r="N52">
        <v>1009</v>
      </c>
      <c r="O52" t="s">
        <v>277</v>
      </c>
      <c r="P52" t="s">
        <v>277</v>
      </c>
      <c r="Q52">
        <v>1</v>
      </c>
      <c r="X52">
        <v>50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 t="s">
        <v>4</v>
      </c>
      <c r="AG52">
        <v>50</v>
      </c>
      <c r="AH52">
        <v>3</v>
      </c>
      <c r="AI52">
        <v>-1</v>
      </c>
      <c r="AJ52" t="s">
        <v>4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 x14ac:dyDescent="0.2">
      <c r="A53">
        <f>ROW(Source!A40)</f>
        <v>40</v>
      </c>
      <c r="B53">
        <v>16501389</v>
      </c>
      <c r="C53">
        <v>16501376</v>
      </c>
      <c r="D53">
        <v>15438286</v>
      </c>
      <c r="E53">
        <v>1</v>
      </c>
      <c r="F53">
        <v>1</v>
      </c>
      <c r="G53">
        <v>1</v>
      </c>
      <c r="H53">
        <v>1</v>
      </c>
      <c r="I53" t="s">
        <v>283</v>
      </c>
      <c r="J53" t="s">
        <v>4</v>
      </c>
      <c r="K53" t="s">
        <v>284</v>
      </c>
      <c r="L53">
        <v>1191</v>
      </c>
      <c r="N53">
        <v>1013</v>
      </c>
      <c r="O53" t="s">
        <v>252</v>
      </c>
      <c r="P53" t="s">
        <v>252</v>
      </c>
      <c r="Q53">
        <v>1</v>
      </c>
      <c r="X53">
        <v>6.68</v>
      </c>
      <c r="Y53">
        <v>0</v>
      </c>
      <c r="Z53">
        <v>0</v>
      </c>
      <c r="AA53">
        <v>0</v>
      </c>
      <c r="AB53">
        <v>9.18</v>
      </c>
      <c r="AC53">
        <v>0</v>
      </c>
      <c r="AD53">
        <v>1</v>
      </c>
      <c r="AE53">
        <v>1</v>
      </c>
      <c r="AF53" t="s">
        <v>30</v>
      </c>
      <c r="AG53">
        <v>7.6819999999999995</v>
      </c>
      <c r="AH53">
        <v>2</v>
      </c>
      <c r="AI53">
        <v>16501377</v>
      </c>
      <c r="AJ53">
        <v>51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 x14ac:dyDescent="0.2">
      <c r="A54">
        <f>ROW(Source!A40)</f>
        <v>40</v>
      </c>
      <c r="B54">
        <v>16501390</v>
      </c>
      <c r="C54">
        <v>16501376</v>
      </c>
      <c r="D54">
        <v>15430395</v>
      </c>
      <c r="E54">
        <v>1</v>
      </c>
      <c r="F54">
        <v>1</v>
      </c>
      <c r="G54">
        <v>1</v>
      </c>
      <c r="H54">
        <v>1</v>
      </c>
      <c r="I54" t="s">
        <v>253</v>
      </c>
      <c r="J54" t="s">
        <v>4</v>
      </c>
      <c r="K54" t="s">
        <v>254</v>
      </c>
      <c r="L54">
        <v>1191</v>
      </c>
      <c r="N54">
        <v>1013</v>
      </c>
      <c r="O54" t="s">
        <v>252</v>
      </c>
      <c r="P54" t="s">
        <v>252</v>
      </c>
      <c r="Q54">
        <v>1</v>
      </c>
      <c r="X54">
        <v>0.04</v>
      </c>
      <c r="Y54">
        <v>0</v>
      </c>
      <c r="Z54">
        <v>0</v>
      </c>
      <c r="AA54">
        <v>0</v>
      </c>
      <c r="AB54">
        <v>0</v>
      </c>
      <c r="AC54">
        <v>0</v>
      </c>
      <c r="AD54">
        <v>1</v>
      </c>
      <c r="AE54">
        <v>2</v>
      </c>
      <c r="AF54" t="s">
        <v>29</v>
      </c>
      <c r="AG54">
        <v>0.05</v>
      </c>
      <c r="AH54">
        <v>2</v>
      </c>
      <c r="AI54">
        <v>16501378</v>
      </c>
      <c r="AJ54">
        <v>52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 x14ac:dyDescent="0.2">
      <c r="A55">
        <f>ROW(Source!A40)</f>
        <v>40</v>
      </c>
      <c r="B55">
        <v>16501391</v>
      </c>
      <c r="C55">
        <v>16501376</v>
      </c>
      <c r="D55">
        <v>15247974</v>
      </c>
      <c r="E55">
        <v>1</v>
      </c>
      <c r="F55">
        <v>1</v>
      </c>
      <c r="G55">
        <v>1</v>
      </c>
      <c r="H55">
        <v>2</v>
      </c>
      <c r="I55" t="s">
        <v>255</v>
      </c>
      <c r="J55" t="s">
        <v>256</v>
      </c>
      <c r="K55" t="s">
        <v>257</v>
      </c>
      <c r="L55">
        <v>1368</v>
      </c>
      <c r="N55">
        <v>1011</v>
      </c>
      <c r="O55" t="s">
        <v>258</v>
      </c>
      <c r="P55" t="s">
        <v>258</v>
      </c>
      <c r="Q55">
        <v>1</v>
      </c>
      <c r="X55">
        <v>5.0000000000000001E-3</v>
      </c>
      <c r="Y55">
        <v>0</v>
      </c>
      <c r="Z55">
        <v>31.26</v>
      </c>
      <c r="AA55">
        <v>13.5</v>
      </c>
      <c r="AB55">
        <v>0</v>
      </c>
      <c r="AC55">
        <v>0</v>
      </c>
      <c r="AD55">
        <v>1</v>
      </c>
      <c r="AE55">
        <v>0</v>
      </c>
      <c r="AF55" t="s">
        <v>29</v>
      </c>
      <c r="AG55">
        <v>6.2500000000000003E-3</v>
      </c>
      <c r="AH55">
        <v>2</v>
      </c>
      <c r="AI55">
        <v>16501379</v>
      </c>
      <c r="AJ55">
        <v>53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 x14ac:dyDescent="0.2">
      <c r="A56">
        <f>ROW(Source!A40)</f>
        <v>40</v>
      </c>
      <c r="B56">
        <v>16501392</v>
      </c>
      <c r="C56">
        <v>16501376</v>
      </c>
      <c r="D56">
        <v>15249073</v>
      </c>
      <c r="E56">
        <v>1</v>
      </c>
      <c r="F56">
        <v>1</v>
      </c>
      <c r="G56">
        <v>1</v>
      </c>
      <c r="H56">
        <v>2</v>
      </c>
      <c r="I56" t="s">
        <v>264</v>
      </c>
      <c r="J56" t="s">
        <v>265</v>
      </c>
      <c r="K56" t="s">
        <v>266</v>
      </c>
      <c r="L56">
        <v>1368</v>
      </c>
      <c r="N56">
        <v>1011</v>
      </c>
      <c r="O56" t="s">
        <v>258</v>
      </c>
      <c r="P56" t="s">
        <v>258</v>
      </c>
      <c r="Q56">
        <v>1</v>
      </c>
      <c r="X56">
        <v>0.03</v>
      </c>
      <c r="Y56">
        <v>0</v>
      </c>
      <c r="Z56">
        <v>65.709999999999994</v>
      </c>
      <c r="AA56">
        <v>11.6</v>
      </c>
      <c r="AB56">
        <v>0</v>
      </c>
      <c r="AC56">
        <v>0</v>
      </c>
      <c r="AD56">
        <v>1</v>
      </c>
      <c r="AE56">
        <v>0</v>
      </c>
      <c r="AF56" t="s">
        <v>29</v>
      </c>
      <c r="AG56">
        <v>3.7499999999999999E-2</v>
      </c>
      <c r="AH56">
        <v>2</v>
      </c>
      <c r="AI56">
        <v>16501380</v>
      </c>
      <c r="AJ56">
        <v>54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 x14ac:dyDescent="0.2">
      <c r="A57">
        <f>ROW(Source!A40)</f>
        <v>40</v>
      </c>
      <c r="B57">
        <v>16501393</v>
      </c>
      <c r="C57">
        <v>16501376</v>
      </c>
      <c r="D57">
        <v>15169972</v>
      </c>
      <c r="E57">
        <v>1</v>
      </c>
      <c r="F57">
        <v>1</v>
      </c>
      <c r="G57">
        <v>1</v>
      </c>
      <c r="H57">
        <v>3</v>
      </c>
      <c r="I57" t="s">
        <v>285</v>
      </c>
      <c r="J57" t="s">
        <v>286</v>
      </c>
      <c r="K57" t="s">
        <v>287</v>
      </c>
      <c r="L57">
        <v>1355</v>
      </c>
      <c r="N57">
        <v>1010</v>
      </c>
      <c r="O57" t="s">
        <v>67</v>
      </c>
      <c r="P57" t="s">
        <v>67</v>
      </c>
      <c r="Q57">
        <v>100</v>
      </c>
      <c r="X57">
        <v>2.63</v>
      </c>
      <c r="Y57">
        <v>12</v>
      </c>
      <c r="Z57">
        <v>0</v>
      </c>
      <c r="AA57">
        <v>0</v>
      </c>
      <c r="AB57">
        <v>0</v>
      </c>
      <c r="AC57">
        <v>0</v>
      </c>
      <c r="AD57">
        <v>1</v>
      </c>
      <c r="AE57">
        <v>0</v>
      </c>
      <c r="AF57" t="s">
        <v>4</v>
      </c>
      <c r="AG57">
        <v>2.63</v>
      </c>
      <c r="AH57">
        <v>2</v>
      </c>
      <c r="AI57">
        <v>16501381</v>
      </c>
      <c r="AJ57">
        <v>55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 x14ac:dyDescent="0.2">
      <c r="A58">
        <f>ROW(Source!A40)</f>
        <v>40</v>
      </c>
      <c r="B58">
        <v>16501394</v>
      </c>
      <c r="C58">
        <v>16501376</v>
      </c>
      <c r="D58">
        <v>15170075</v>
      </c>
      <c r="E58">
        <v>1</v>
      </c>
      <c r="F58">
        <v>1</v>
      </c>
      <c r="G58">
        <v>1</v>
      </c>
      <c r="H58">
        <v>3</v>
      </c>
      <c r="I58" t="s">
        <v>288</v>
      </c>
      <c r="J58" t="s">
        <v>289</v>
      </c>
      <c r="K58" t="s">
        <v>290</v>
      </c>
      <c r="L58">
        <v>1356</v>
      </c>
      <c r="N58">
        <v>1010</v>
      </c>
      <c r="O58" t="s">
        <v>291</v>
      </c>
      <c r="P58" t="s">
        <v>291</v>
      </c>
      <c r="Q58">
        <v>1000</v>
      </c>
      <c r="X58">
        <v>0.26300000000000001</v>
      </c>
      <c r="Y58">
        <v>160</v>
      </c>
      <c r="Z58">
        <v>0</v>
      </c>
      <c r="AA58">
        <v>0</v>
      </c>
      <c r="AB58">
        <v>0</v>
      </c>
      <c r="AC58">
        <v>0</v>
      </c>
      <c r="AD58">
        <v>1</v>
      </c>
      <c r="AE58">
        <v>0</v>
      </c>
      <c r="AF58" t="s">
        <v>4</v>
      </c>
      <c r="AG58">
        <v>0.26300000000000001</v>
      </c>
      <c r="AH58">
        <v>2</v>
      </c>
      <c r="AI58">
        <v>16501382</v>
      </c>
      <c r="AJ58">
        <v>56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 x14ac:dyDescent="0.2">
      <c r="A59">
        <f>ROW(Source!A40)</f>
        <v>40</v>
      </c>
      <c r="B59">
        <v>16501395</v>
      </c>
      <c r="C59">
        <v>16501376</v>
      </c>
      <c r="D59">
        <v>15162756</v>
      </c>
      <c r="E59">
        <v>17</v>
      </c>
      <c r="F59">
        <v>1</v>
      </c>
      <c r="G59">
        <v>1</v>
      </c>
      <c r="H59">
        <v>3</v>
      </c>
      <c r="I59" t="s">
        <v>310</v>
      </c>
      <c r="J59" t="s">
        <v>4</v>
      </c>
      <c r="K59" t="s">
        <v>311</v>
      </c>
      <c r="L59">
        <v>1301</v>
      </c>
      <c r="N59">
        <v>1003</v>
      </c>
      <c r="O59" t="s">
        <v>72</v>
      </c>
      <c r="P59" t="s">
        <v>72</v>
      </c>
      <c r="Q59">
        <v>1</v>
      </c>
      <c r="X59">
        <v>101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 t="s">
        <v>4</v>
      </c>
      <c r="AG59">
        <v>101</v>
      </c>
      <c r="AH59">
        <v>3</v>
      </c>
      <c r="AI59">
        <v>-1</v>
      </c>
      <c r="AJ59" t="s">
        <v>4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 x14ac:dyDescent="0.2">
      <c r="A60">
        <f>ROW(Source!A40)</f>
        <v>40</v>
      </c>
      <c r="B60">
        <v>16501396</v>
      </c>
      <c r="C60">
        <v>16501376</v>
      </c>
      <c r="D60">
        <v>15162759</v>
      </c>
      <c r="E60">
        <v>17</v>
      </c>
      <c r="F60">
        <v>1</v>
      </c>
      <c r="G60">
        <v>1</v>
      </c>
      <c r="H60">
        <v>3</v>
      </c>
      <c r="I60" t="s">
        <v>312</v>
      </c>
      <c r="J60" t="s">
        <v>4</v>
      </c>
      <c r="K60" t="s">
        <v>313</v>
      </c>
      <c r="L60">
        <v>1354</v>
      </c>
      <c r="N60">
        <v>1010</v>
      </c>
      <c r="O60" t="s">
        <v>314</v>
      </c>
      <c r="P60" t="s">
        <v>314</v>
      </c>
      <c r="Q60">
        <v>1</v>
      </c>
      <c r="X60">
        <v>7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 t="s">
        <v>4</v>
      </c>
      <c r="AG60">
        <v>7</v>
      </c>
      <c r="AH60">
        <v>3</v>
      </c>
      <c r="AI60">
        <v>-1</v>
      </c>
      <c r="AJ60" t="s">
        <v>4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 x14ac:dyDescent="0.2">
      <c r="A61">
        <f>ROW(Source!A40)</f>
        <v>40</v>
      </c>
      <c r="B61">
        <v>16501397</v>
      </c>
      <c r="C61">
        <v>16501376</v>
      </c>
      <c r="D61">
        <v>15162759</v>
      </c>
      <c r="E61">
        <v>17</v>
      </c>
      <c r="F61">
        <v>1</v>
      </c>
      <c r="G61">
        <v>1</v>
      </c>
      <c r="H61">
        <v>3</v>
      </c>
      <c r="I61" t="s">
        <v>312</v>
      </c>
      <c r="J61" t="s">
        <v>4</v>
      </c>
      <c r="K61" t="s">
        <v>315</v>
      </c>
      <c r="L61">
        <v>1354</v>
      </c>
      <c r="N61">
        <v>1010</v>
      </c>
      <c r="O61" t="s">
        <v>314</v>
      </c>
      <c r="P61" t="s">
        <v>314</v>
      </c>
      <c r="Q61">
        <v>1</v>
      </c>
      <c r="X61">
        <v>7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 t="s">
        <v>4</v>
      </c>
      <c r="AG61">
        <v>7</v>
      </c>
      <c r="AH61">
        <v>3</v>
      </c>
      <c r="AI61">
        <v>-1</v>
      </c>
      <c r="AJ61" t="s">
        <v>4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 x14ac:dyDescent="0.2">
      <c r="A62">
        <f>ROW(Source!A40)</f>
        <v>40</v>
      </c>
      <c r="B62">
        <v>16501398</v>
      </c>
      <c r="C62">
        <v>16501376</v>
      </c>
      <c r="D62">
        <v>15162759</v>
      </c>
      <c r="E62">
        <v>17</v>
      </c>
      <c r="F62">
        <v>1</v>
      </c>
      <c r="G62">
        <v>1</v>
      </c>
      <c r="H62">
        <v>3</v>
      </c>
      <c r="I62" t="s">
        <v>312</v>
      </c>
      <c r="J62" t="s">
        <v>4</v>
      </c>
      <c r="K62" t="s">
        <v>316</v>
      </c>
      <c r="L62">
        <v>1354</v>
      </c>
      <c r="N62">
        <v>1010</v>
      </c>
      <c r="O62" t="s">
        <v>314</v>
      </c>
      <c r="P62" t="s">
        <v>314</v>
      </c>
      <c r="Q62">
        <v>1</v>
      </c>
      <c r="X62">
        <v>40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 t="s">
        <v>4</v>
      </c>
      <c r="AG62">
        <v>40</v>
      </c>
      <c r="AH62">
        <v>3</v>
      </c>
      <c r="AI62">
        <v>-1</v>
      </c>
      <c r="AJ62" t="s">
        <v>4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 x14ac:dyDescent="0.2">
      <c r="A63">
        <f>ROW(Source!A40)</f>
        <v>40</v>
      </c>
      <c r="B63">
        <v>16501399</v>
      </c>
      <c r="C63">
        <v>16501376</v>
      </c>
      <c r="D63">
        <v>15162759</v>
      </c>
      <c r="E63">
        <v>17</v>
      </c>
      <c r="F63">
        <v>1</v>
      </c>
      <c r="G63">
        <v>1</v>
      </c>
      <c r="H63">
        <v>3</v>
      </c>
      <c r="I63" t="s">
        <v>312</v>
      </c>
      <c r="J63" t="s">
        <v>4</v>
      </c>
      <c r="K63" t="s">
        <v>317</v>
      </c>
      <c r="L63">
        <v>1354</v>
      </c>
      <c r="N63">
        <v>1010</v>
      </c>
      <c r="O63" t="s">
        <v>314</v>
      </c>
      <c r="P63" t="s">
        <v>314</v>
      </c>
      <c r="Q63">
        <v>1</v>
      </c>
      <c r="X63">
        <v>8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 t="s">
        <v>4</v>
      </c>
      <c r="AG63">
        <v>8</v>
      </c>
      <c r="AH63">
        <v>3</v>
      </c>
      <c r="AI63">
        <v>-1</v>
      </c>
      <c r="AJ63" t="s">
        <v>4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 x14ac:dyDescent="0.2">
      <c r="A64">
        <f>ROW(Source!A40)</f>
        <v>40</v>
      </c>
      <c r="B64">
        <v>16501400</v>
      </c>
      <c r="C64">
        <v>16501376</v>
      </c>
      <c r="D64">
        <v>15162759</v>
      </c>
      <c r="E64">
        <v>17</v>
      </c>
      <c r="F64">
        <v>1</v>
      </c>
      <c r="G64">
        <v>1</v>
      </c>
      <c r="H64">
        <v>3</v>
      </c>
      <c r="I64" t="s">
        <v>312</v>
      </c>
      <c r="J64" t="s">
        <v>4</v>
      </c>
      <c r="K64" t="s">
        <v>318</v>
      </c>
      <c r="L64">
        <v>1354</v>
      </c>
      <c r="N64">
        <v>1010</v>
      </c>
      <c r="O64" t="s">
        <v>314</v>
      </c>
      <c r="P64" t="s">
        <v>314</v>
      </c>
      <c r="Q64">
        <v>1</v>
      </c>
      <c r="X64">
        <v>8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 t="s">
        <v>4</v>
      </c>
      <c r="AG64">
        <v>8</v>
      </c>
      <c r="AH64">
        <v>3</v>
      </c>
      <c r="AI64">
        <v>-1</v>
      </c>
      <c r="AJ64" t="s">
        <v>4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 x14ac:dyDescent="0.2">
      <c r="A65">
        <f>ROW(Source!A41)</f>
        <v>41</v>
      </c>
      <c r="B65">
        <v>16501389</v>
      </c>
      <c r="C65">
        <v>16501376</v>
      </c>
      <c r="D65">
        <v>15438286</v>
      </c>
      <c r="E65">
        <v>1</v>
      </c>
      <c r="F65">
        <v>1</v>
      </c>
      <c r="G65">
        <v>1</v>
      </c>
      <c r="H65">
        <v>1</v>
      </c>
      <c r="I65" t="s">
        <v>283</v>
      </c>
      <c r="J65" t="s">
        <v>4</v>
      </c>
      <c r="K65" t="s">
        <v>284</v>
      </c>
      <c r="L65">
        <v>1191</v>
      </c>
      <c r="N65">
        <v>1013</v>
      </c>
      <c r="O65" t="s">
        <v>252</v>
      </c>
      <c r="P65" t="s">
        <v>252</v>
      </c>
      <c r="Q65">
        <v>1</v>
      </c>
      <c r="X65">
        <v>6.68</v>
      </c>
      <c r="Y65">
        <v>0</v>
      </c>
      <c r="Z65">
        <v>0</v>
      </c>
      <c r="AA65">
        <v>0</v>
      </c>
      <c r="AB65">
        <v>9.18</v>
      </c>
      <c r="AC65">
        <v>0</v>
      </c>
      <c r="AD65">
        <v>1</v>
      </c>
      <c r="AE65">
        <v>1</v>
      </c>
      <c r="AF65" t="s">
        <v>30</v>
      </c>
      <c r="AG65">
        <v>7.6819999999999995</v>
      </c>
      <c r="AH65">
        <v>2</v>
      </c>
      <c r="AI65">
        <v>16501377</v>
      </c>
      <c r="AJ65">
        <v>63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 x14ac:dyDescent="0.2">
      <c r="A66">
        <f>ROW(Source!A41)</f>
        <v>41</v>
      </c>
      <c r="B66">
        <v>16501390</v>
      </c>
      <c r="C66">
        <v>16501376</v>
      </c>
      <c r="D66">
        <v>15430395</v>
      </c>
      <c r="E66">
        <v>1</v>
      </c>
      <c r="F66">
        <v>1</v>
      </c>
      <c r="G66">
        <v>1</v>
      </c>
      <c r="H66">
        <v>1</v>
      </c>
      <c r="I66" t="s">
        <v>253</v>
      </c>
      <c r="J66" t="s">
        <v>4</v>
      </c>
      <c r="K66" t="s">
        <v>254</v>
      </c>
      <c r="L66">
        <v>1191</v>
      </c>
      <c r="N66">
        <v>1013</v>
      </c>
      <c r="O66" t="s">
        <v>252</v>
      </c>
      <c r="P66" t="s">
        <v>252</v>
      </c>
      <c r="Q66">
        <v>1</v>
      </c>
      <c r="X66">
        <v>0.04</v>
      </c>
      <c r="Y66">
        <v>0</v>
      </c>
      <c r="Z66">
        <v>0</v>
      </c>
      <c r="AA66">
        <v>0</v>
      </c>
      <c r="AB66">
        <v>0</v>
      </c>
      <c r="AC66">
        <v>0</v>
      </c>
      <c r="AD66">
        <v>1</v>
      </c>
      <c r="AE66">
        <v>2</v>
      </c>
      <c r="AF66" t="s">
        <v>29</v>
      </c>
      <c r="AG66">
        <v>0.05</v>
      </c>
      <c r="AH66">
        <v>2</v>
      </c>
      <c r="AI66">
        <v>16501378</v>
      </c>
      <c r="AJ66">
        <v>64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 x14ac:dyDescent="0.2">
      <c r="A67">
        <f>ROW(Source!A41)</f>
        <v>41</v>
      </c>
      <c r="B67">
        <v>16501391</v>
      </c>
      <c r="C67">
        <v>16501376</v>
      </c>
      <c r="D67">
        <v>15247974</v>
      </c>
      <c r="E67">
        <v>1</v>
      </c>
      <c r="F67">
        <v>1</v>
      </c>
      <c r="G67">
        <v>1</v>
      </c>
      <c r="H67">
        <v>2</v>
      </c>
      <c r="I67" t="s">
        <v>255</v>
      </c>
      <c r="J67" t="s">
        <v>256</v>
      </c>
      <c r="K67" t="s">
        <v>257</v>
      </c>
      <c r="L67">
        <v>1368</v>
      </c>
      <c r="N67">
        <v>1011</v>
      </c>
      <c r="O67" t="s">
        <v>258</v>
      </c>
      <c r="P67" t="s">
        <v>258</v>
      </c>
      <c r="Q67">
        <v>1</v>
      </c>
      <c r="X67">
        <v>5.0000000000000001E-3</v>
      </c>
      <c r="Y67">
        <v>0</v>
      </c>
      <c r="Z67">
        <v>31.26</v>
      </c>
      <c r="AA67">
        <v>13.5</v>
      </c>
      <c r="AB67">
        <v>0</v>
      </c>
      <c r="AC67">
        <v>0</v>
      </c>
      <c r="AD67">
        <v>1</v>
      </c>
      <c r="AE67">
        <v>0</v>
      </c>
      <c r="AF67" t="s">
        <v>29</v>
      </c>
      <c r="AG67">
        <v>6.2500000000000003E-3</v>
      </c>
      <c r="AH67">
        <v>2</v>
      </c>
      <c r="AI67">
        <v>16501379</v>
      </c>
      <c r="AJ67">
        <v>65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 x14ac:dyDescent="0.2">
      <c r="A68">
        <f>ROW(Source!A41)</f>
        <v>41</v>
      </c>
      <c r="B68">
        <v>16501392</v>
      </c>
      <c r="C68">
        <v>16501376</v>
      </c>
      <c r="D68">
        <v>15249073</v>
      </c>
      <c r="E68">
        <v>1</v>
      </c>
      <c r="F68">
        <v>1</v>
      </c>
      <c r="G68">
        <v>1</v>
      </c>
      <c r="H68">
        <v>2</v>
      </c>
      <c r="I68" t="s">
        <v>264</v>
      </c>
      <c r="J68" t="s">
        <v>265</v>
      </c>
      <c r="K68" t="s">
        <v>266</v>
      </c>
      <c r="L68">
        <v>1368</v>
      </c>
      <c r="N68">
        <v>1011</v>
      </c>
      <c r="O68" t="s">
        <v>258</v>
      </c>
      <c r="P68" t="s">
        <v>258</v>
      </c>
      <c r="Q68">
        <v>1</v>
      </c>
      <c r="X68">
        <v>0.03</v>
      </c>
      <c r="Y68">
        <v>0</v>
      </c>
      <c r="Z68">
        <v>65.709999999999994</v>
      </c>
      <c r="AA68">
        <v>11.6</v>
      </c>
      <c r="AB68">
        <v>0</v>
      </c>
      <c r="AC68">
        <v>0</v>
      </c>
      <c r="AD68">
        <v>1</v>
      </c>
      <c r="AE68">
        <v>0</v>
      </c>
      <c r="AF68" t="s">
        <v>29</v>
      </c>
      <c r="AG68">
        <v>3.7499999999999999E-2</v>
      </c>
      <c r="AH68">
        <v>2</v>
      </c>
      <c r="AI68">
        <v>16501380</v>
      </c>
      <c r="AJ68">
        <v>66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 x14ac:dyDescent="0.2">
      <c r="A69">
        <f>ROW(Source!A41)</f>
        <v>41</v>
      </c>
      <c r="B69">
        <v>16501393</v>
      </c>
      <c r="C69">
        <v>16501376</v>
      </c>
      <c r="D69">
        <v>15169972</v>
      </c>
      <c r="E69">
        <v>1</v>
      </c>
      <c r="F69">
        <v>1</v>
      </c>
      <c r="G69">
        <v>1</v>
      </c>
      <c r="H69">
        <v>3</v>
      </c>
      <c r="I69" t="s">
        <v>285</v>
      </c>
      <c r="J69" t="s">
        <v>286</v>
      </c>
      <c r="K69" t="s">
        <v>287</v>
      </c>
      <c r="L69">
        <v>1355</v>
      </c>
      <c r="N69">
        <v>1010</v>
      </c>
      <c r="O69" t="s">
        <v>67</v>
      </c>
      <c r="P69" t="s">
        <v>67</v>
      </c>
      <c r="Q69">
        <v>100</v>
      </c>
      <c r="X69">
        <v>2.63</v>
      </c>
      <c r="Y69">
        <v>12</v>
      </c>
      <c r="Z69">
        <v>0</v>
      </c>
      <c r="AA69">
        <v>0</v>
      </c>
      <c r="AB69">
        <v>0</v>
      </c>
      <c r="AC69">
        <v>0</v>
      </c>
      <c r="AD69">
        <v>1</v>
      </c>
      <c r="AE69">
        <v>0</v>
      </c>
      <c r="AF69" t="s">
        <v>4</v>
      </c>
      <c r="AG69">
        <v>2.63</v>
      </c>
      <c r="AH69">
        <v>2</v>
      </c>
      <c r="AI69">
        <v>16501381</v>
      </c>
      <c r="AJ69">
        <v>67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 x14ac:dyDescent="0.2">
      <c r="A70">
        <f>ROW(Source!A41)</f>
        <v>41</v>
      </c>
      <c r="B70">
        <v>16501394</v>
      </c>
      <c r="C70">
        <v>16501376</v>
      </c>
      <c r="D70">
        <v>15170075</v>
      </c>
      <c r="E70">
        <v>1</v>
      </c>
      <c r="F70">
        <v>1</v>
      </c>
      <c r="G70">
        <v>1</v>
      </c>
      <c r="H70">
        <v>3</v>
      </c>
      <c r="I70" t="s">
        <v>288</v>
      </c>
      <c r="J70" t="s">
        <v>289</v>
      </c>
      <c r="K70" t="s">
        <v>290</v>
      </c>
      <c r="L70">
        <v>1356</v>
      </c>
      <c r="N70">
        <v>1010</v>
      </c>
      <c r="O70" t="s">
        <v>291</v>
      </c>
      <c r="P70" t="s">
        <v>291</v>
      </c>
      <c r="Q70">
        <v>1000</v>
      </c>
      <c r="X70">
        <v>0.26300000000000001</v>
      </c>
      <c r="Y70">
        <v>160</v>
      </c>
      <c r="Z70">
        <v>0</v>
      </c>
      <c r="AA70">
        <v>0</v>
      </c>
      <c r="AB70">
        <v>0</v>
      </c>
      <c r="AC70">
        <v>0</v>
      </c>
      <c r="AD70">
        <v>1</v>
      </c>
      <c r="AE70">
        <v>0</v>
      </c>
      <c r="AF70" t="s">
        <v>4</v>
      </c>
      <c r="AG70">
        <v>0.26300000000000001</v>
      </c>
      <c r="AH70">
        <v>2</v>
      </c>
      <c r="AI70">
        <v>16501382</v>
      </c>
      <c r="AJ70">
        <v>68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 x14ac:dyDescent="0.2">
      <c r="A71">
        <f>ROW(Source!A41)</f>
        <v>41</v>
      </c>
      <c r="B71">
        <v>16501395</v>
      </c>
      <c r="C71">
        <v>16501376</v>
      </c>
      <c r="D71">
        <v>15162756</v>
      </c>
      <c r="E71">
        <v>17</v>
      </c>
      <c r="F71">
        <v>1</v>
      </c>
      <c r="G71">
        <v>1</v>
      </c>
      <c r="H71">
        <v>3</v>
      </c>
      <c r="I71" t="s">
        <v>310</v>
      </c>
      <c r="J71" t="s">
        <v>4</v>
      </c>
      <c r="K71" t="s">
        <v>311</v>
      </c>
      <c r="L71">
        <v>1301</v>
      </c>
      <c r="N71">
        <v>1003</v>
      </c>
      <c r="O71" t="s">
        <v>72</v>
      </c>
      <c r="P71" t="s">
        <v>72</v>
      </c>
      <c r="Q71">
        <v>1</v>
      </c>
      <c r="X71">
        <v>101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 t="s">
        <v>4</v>
      </c>
      <c r="AG71">
        <v>101</v>
      </c>
      <c r="AH71">
        <v>3</v>
      </c>
      <c r="AI71">
        <v>-1</v>
      </c>
      <c r="AJ71" t="s">
        <v>4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 x14ac:dyDescent="0.2">
      <c r="A72">
        <f>ROW(Source!A41)</f>
        <v>41</v>
      </c>
      <c r="B72">
        <v>16501396</v>
      </c>
      <c r="C72">
        <v>16501376</v>
      </c>
      <c r="D72">
        <v>15162759</v>
      </c>
      <c r="E72">
        <v>17</v>
      </c>
      <c r="F72">
        <v>1</v>
      </c>
      <c r="G72">
        <v>1</v>
      </c>
      <c r="H72">
        <v>3</v>
      </c>
      <c r="I72" t="s">
        <v>312</v>
      </c>
      <c r="J72" t="s">
        <v>4</v>
      </c>
      <c r="K72" t="s">
        <v>313</v>
      </c>
      <c r="L72">
        <v>1354</v>
      </c>
      <c r="N72">
        <v>1010</v>
      </c>
      <c r="O72" t="s">
        <v>314</v>
      </c>
      <c r="P72" t="s">
        <v>314</v>
      </c>
      <c r="Q72">
        <v>1</v>
      </c>
      <c r="X72">
        <v>7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 t="s">
        <v>4</v>
      </c>
      <c r="AG72">
        <v>7</v>
      </c>
      <c r="AH72">
        <v>3</v>
      </c>
      <c r="AI72">
        <v>-1</v>
      </c>
      <c r="AJ72" t="s">
        <v>4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 x14ac:dyDescent="0.2">
      <c r="A73">
        <f>ROW(Source!A41)</f>
        <v>41</v>
      </c>
      <c r="B73">
        <v>16501397</v>
      </c>
      <c r="C73">
        <v>16501376</v>
      </c>
      <c r="D73">
        <v>15162759</v>
      </c>
      <c r="E73">
        <v>17</v>
      </c>
      <c r="F73">
        <v>1</v>
      </c>
      <c r="G73">
        <v>1</v>
      </c>
      <c r="H73">
        <v>3</v>
      </c>
      <c r="I73" t="s">
        <v>312</v>
      </c>
      <c r="J73" t="s">
        <v>4</v>
      </c>
      <c r="K73" t="s">
        <v>315</v>
      </c>
      <c r="L73">
        <v>1354</v>
      </c>
      <c r="N73">
        <v>1010</v>
      </c>
      <c r="O73" t="s">
        <v>314</v>
      </c>
      <c r="P73" t="s">
        <v>314</v>
      </c>
      <c r="Q73">
        <v>1</v>
      </c>
      <c r="X73">
        <v>7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 t="s">
        <v>4</v>
      </c>
      <c r="AG73">
        <v>7</v>
      </c>
      <c r="AH73">
        <v>3</v>
      </c>
      <c r="AI73">
        <v>-1</v>
      </c>
      <c r="AJ73" t="s">
        <v>4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  <row r="74" spans="1:44" x14ac:dyDescent="0.2">
      <c r="A74">
        <f>ROW(Source!A41)</f>
        <v>41</v>
      </c>
      <c r="B74">
        <v>16501398</v>
      </c>
      <c r="C74">
        <v>16501376</v>
      </c>
      <c r="D74">
        <v>15162759</v>
      </c>
      <c r="E74">
        <v>17</v>
      </c>
      <c r="F74">
        <v>1</v>
      </c>
      <c r="G74">
        <v>1</v>
      </c>
      <c r="H74">
        <v>3</v>
      </c>
      <c r="I74" t="s">
        <v>312</v>
      </c>
      <c r="J74" t="s">
        <v>4</v>
      </c>
      <c r="K74" t="s">
        <v>316</v>
      </c>
      <c r="L74">
        <v>1354</v>
      </c>
      <c r="N74">
        <v>1010</v>
      </c>
      <c r="O74" t="s">
        <v>314</v>
      </c>
      <c r="P74" t="s">
        <v>314</v>
      </c>
      <c r="Q74">
        <v>1</v>
      </c>
      <c r="X74">
        <v>40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 t="s">
        <v>4</v>
      </c>
      <c r="AG74">
        <v>40</v>
      </c>
      <c r="AH74">
        <v>3</v>
      </c>
      <c r="AI74">
        <v>-1</v>
      </c>
      <c r="AJ74" t="s">
        <v>4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</row>
    <row r="75" spans="1:44" x14ac:dyDescent="0.2">
      <c r="A75">
        <f>ROW(Source!A41)</f>
        <v>41</v>
      </c>
      <c r="B75">
        <v>16501399</v>
      </c>
      <c r="C75">
        <v>16501376</v>
      </c>
      <c r="D75">
        <v>15162759</v>
      </c>
      <c r="E75">
        <v>17</v>
      </c>
      <c r="F75">
        <v>1</v>
      </c>
      <c r="G75">
        <v>1</v>
      </c>
      <c r="H75">
        <v>3</v>
      </c>
      <c r="I75" t="s">
        <v>312</v>
      </c>
      <c r="J75" t="s">
        <v>4</v>
      </c>
      <c r="K75" t="s">
        <v>317</v>
      </c>
      <c r="L75">
        <v>1354</v>
      </c>
      <c r="N75">
        <v>1010</v>
      </c>
      <c r="O75" t="s">
        <v>314</v>
      </c>
      <c r="P75" t="s">
        <v>314</v>
      </c>
      <c r="Q75">
        <v>1</v>
      </c>
      <c r="X75">
        <v>8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 t="s">
        <v>4</v>
      </c>
      <c r="AG75">
        <v>8</v>
      </c>
      <c r="AH75">
        <v>3</v>
      </c>
      <c r="AI75">
        <v>-1</v>
      </c>
      <c r="AJ75" t="s">
        <v>4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</row>
    <row r="76" spans="1:44" x14ac:dyDescent="0.2">
      <c r="A76">
        <f>ROW(Source!A41)</f>
        <v>41</v>
      </c>
      <c r="B76">
        <v>16501400</v>
      </c>
      <c r="C76">
        <v>16501376</v>
      </c>
      <c r="D76">
        <v>15162759</v>
      </c>
      <c r="E76">
        <v>17</v>
      </c>
      <c r="F76">
        <v>1</v>
      </c>
      <c r="G76">
        <v>1</v>
      </c>
      <c r="H76">
        <v>3</v>
      </c>
      <c r="I76" t="s">
        <v>312</v>
      </c>
      <c r="J76" t="s">
        <v>4</v>
      </c>
      <c r="K76" t="s">
        <v>318</v>
      </c>
      <c r="L76">
        <v>1354</v>
      </c>
      <c r="N76">
        <v>1010</v>
      </c>
      <c r="O76" t="s">
        <v>314</v>
      </c>
      <c r="P76" t="s">
        <v>314</v>
      </c>
      <c r="Q76">
        <v>1</v>
      </c>
      <c r="X76">
        <v>8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 t="s">
        <v>4</v>
      </c>
      <c r="AG76">
        <v>8</v>
      </c>
      <c r="AH76">
        <v>3</v>
      </c>
      <c r="AI76">
        <v>-1</v>
      </c>
      <c r="AJ76" t="s">
        <v>4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</row>
    <row r="77" spans="1:44" x14ac:dyDescent="0.2">
      <c r="A77">
        <f>ROW(Source!A54)</f>
        <v>54</v>
      </c>
      <c r="B77">
        <v>16501409</v>
      </c>
      <c r="C77">
        <v>16501407</v>
      </c>
      <c r="D77">
        <v>15430767</v>
      </c>
      <c r="E77">
        <v>1</v>
      </c>
      <c r="F77">
        <v>1</v>
      </c>
      <c r="G77">
        <v>1</v>
      </c>
      <c r="H77">
        <v>1</v>
      </c>
      <c r="I77" t="s">
        <v>259</v>
      </c>
      <c r="J77" t="s">
        <v>4</v>
      </c>
      <c r="K77" t="s">
        <v>260</v>
      </c>
      <c r="L77">
        <v>1191</v>
      </c>
      <c r="N77">
        <v>1013</v>
      </c>
      <c r="O77" t="s">
        <v>252</v>
      </c>
      <c r="P77" t="s">
        <v>252</v>
      </c>
      <c r="Q77">
        <v>1</v>
      </c>
      <c r="X77">
        <v>0.9</v>
      </c>
      <c r="Y77">
        <v>0</v>
      </c>
      <c r="Z77">
        <v>0</v>
      </c>
      <c r="AA77">
        <v>0</v>
      </c>
      <c r="AB77">
        <v>8.5299999999999994</v>
      </c>
      <c r="AC77">
        <v>0</v>
      </c>
      <c r="AD77">
        <v>1</v>
      </c>
      <c r="AE77">
        <v>1</v>
      </c>
      <c r="AF77" t="s">
        <v>30</v>
      </c>
      <c r="AG77">
        <v>1.0349999999999999</v>
      </c>
      <c r="AH77">
        <v>2</v>
      </c>
      <c r="AI77">
        <v>16501408</v>
      </c>
      <c r="AJ77">
        <v>75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</row>
    <row r="78" spans="1:44" x14ac:dyDescent="0.2">
      <c r="A78">
        <f>ROW(Source!A55)</f>
        <v>55</v>
      </c>
      <c r="B78">
        <v>16501409</v>
      </c>
      <c r="C78">
        <v>16501407</v>
      </c>
      <c r="D78">
        <v>15430767</v>
      </c>
      <c r="E78">
        <v>1</v>
      </c>
      <c r="F78">
        <v>1</v>
      </c>
      <c r="G78">
        <v>1</v>
      </c>
      <c r="H78">
        <v>1</v>
      </c>
      <c r="I78" t="s">
        <v>259</v>
      </c>
      <c r="J78" t="s">
        <v>4</v>
      </c>
      <c r="K78" t="s">
        <v>260</v>
      </c>
      <c r="L78">
        <v>1191</v>
      </c>
      <c r="N78">
        <v>1013</v>
      </c>
      <c r="O78" t="s">
        <v>252</v>
      </c>
      <c r="P78" t="s">
        <v>252</v>
      </c>
      <c r="Q78">
        <v>1</v>
      </c>
      <c r="X78">
        <v>0.9</v>
      </c>
      <c r="Y78">
        <v>0</v>
      </c>
      <c r="Z78">
        <v>0</v>
      </c>
      <c r="AA78">
        <v>0</v>
      </c>
      <c r="AB78">
        <v>8.5299999999999994</v>
      </c>
      <c r="AC78">
        <v>0</v>
      </c>
      <c r="AD78">
        <v>1</v>
      </c>
      <c r="AE78">
        <v>1</v>
      </c>
      <c r="AF78" t="s">
        <v>30</v>
      </c>
      <c r="AG78">
        <v>1.0349999999999999</v>
      </c>
      <c r="AH78">
        <v>2</v>
      </c>
      <c r="AI78">
        <v>16501408</v>
      </c>
      <c r="AJ78">
        <v>76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</row>
    <row r="79" spans="1:44" x14ac:dyDescent="0.2">
      <c r="A79">
        <f>ROW(Source!A56)</f>
        <v>56</v>
      </c>
      <c r="B79">
        <v>16672485</v>
      </c>
      <c r="C79">
        <v>16672484</v>
      </c>
      <c r="D79">
        <v>15430767</v>
      </c>
      <c r="E79">
        <v>1</v>
      </c>
      <c r="F79">
        <v>1</v>
      </c>
      <c r="G79">
        <v>1</v>
      </c>
      <c r="H79">
        <v>1</v>
      </c>
      <c r="I79" t="s">
        <v>259</v>
      </c>
      <c r="J79" t="s">
        <v>4</v>
      </c>
      <c r="K79" t="s">
        <v>260</v>
      </c>
      <c r="L79">
        <v>1191</v>
      </c>
      <c r="N79">
        <v>1013</v>
      </c>
      <c r="O79" t="s">
        <v>252</v>
      </c>
      <c r="P79" t="s">
        <v>252</v>
      </c>
      <c r="Q79">
        <v>1</v>
      </c>
      <c r="X79">
        <v>32.49</v>
      </c>
      <c r="Y79">
        <v>0</v>
      </c>
      <c r="Z79">
        <v>0</v>
      </c>
      <c r="AA79">
        <v>0</v>
      </c>
      <c r="AB79">
        <v>8.5299999999999994</v>
      </c>
      <c r="AC79">
        <v>0</v>
      </c>
      <c r="AD79">
        <v>1</v>
      </c>
      <c r="AE79">
        <v>1</v>
      </c>
      <c r="AF79" t="s">
        <v>30</v>
      </c>
      <c r="AG79">
        <v>37.363500000000002</v>
      </c>
      <c r="AH79">
        <v>2</v>
      </c>
      <c r="AI79">
        <v>16672485</v>
      </c>
      <c r="AJ79">
        <v>77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</row>
    <row r="80" spans="1:44" x14ac:dyDescent="0.2">
      <c r="A80">
        <f>ROW(Source!A56)</f>
        <v>56</v>
      </c>
      <c r="B80">
        <v>16672486</v>
      </c>
      <c r="C80">
        <v>16672484</v>
      </c>
      <c r="D80">
        <v>15430395</v>
      </c>
      <c r="E80">
        <v>1</v>
      </c>
      <c r="F80">
        <v>1</v>
      </c>
      <c r="G80">
        <v>1</v>
      </c>
      <c r="H80">
        <v>1</v>
      </c>
      <c r="I80" t="s">
        <v>253</v>
      </c>
      <c r="J80" t="s">
        <v>4</v>
      </c>
      <c r="K80" t="s">
        <v>254</v>
      </c>
      <c r="L80">
        <v>1191</v>
      </c>
      <c r="N80">
        <v>1013</v>
      </c>
      <c r="O80" t="s">
        <v>252</v>
      </c>
      <c r="P80" t="s">
        <v>252</v>
      </c>
      <c r="Q80">
        <v>1</v>
      </c>
      <c r="X80">
        <v>0.93</v>
      </c>
      <c r="Y80">
        <v>0</v>
      </c>
      <c r="Z80">
        <v>0</v>
      </c>
      <c r="AA80">
        <v>0</v>
      </c>
      <c r="AB80">
        <v>0</v>
      </c>
      <c r="AC80">
        <v>0</v>
      </c>
      <c r="AD80">
        <v>1</v>
      </c>
      <c r="AE80">
        <v>2</v>
      </c>
      <c r="AF80" t="s">
        <v>29</v>
      </c>
      <c r="AG80">
        <v>1.1625000000000001</v>
      </c>
      <c r="AH80">
        <v>2</v>
      </c>
      <c r="AI80">
        <v>16672486</v>
      </c>
      <c r="AJ80">
        <v>78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</row>
    <row r="81" spans="1:44" x14ac:dyDescent="0.2">
      <c r="A81">
        <f>ROW(Source!A56)</f>
        <v>56</v>
      </c>
      <c r="B81">
        <v>16672487</v>
      </c>
      <c r="C81">
        <v>16672484</v>
      </c>
      <c r="D81">
        <v>15247905</v>
      </c>
      <c r="E81">
        <v>1</v>
      </c>
      <c r="F81">
        <v>1</v>
      </c>
      <c r="G81">
        <v>1</v>
      </c>
      <c r="H81">
        <v>2</v>
      </c>
      <c r="I81" t="s">
        <v>292</v>
      </c>
      <c r="J81" t="s">
        <v>293</v>
      </c>
      <c r="K81" t="s">
        <v>294</v>
      </c>
      <c r="L81">
        <v>1368</v>
      </c>
      <c r="N81">
        <v>1011</v>
      </c>
      <c r="O81" t="s">
        <v>258</v>
      </c>
      <c r="P81" t="s">
        <v>258</v>
      </c>
      <c r="Q81">
        <v>1</v>
      </c>
      <c r="X81">
        <v>0.02</v>
      </c>
      <c r="Y81">
        <v>0</v>
      </c>
      <c r="Z81">
        <v>89.99</v>
      </c>
      <c r="AA81">
        <v>10.06</v>
      </c>
      <c r="AB81">
        <v>0</v>
      </c>
      <c r="AC81">
        <v>0</v>
      </c>
      <c r="AD81">
        <v>1</v>
      </c>
      <c r="AE81">
        <v>0</v>
      </c>
      <c r="AF81" t="s">
        <v>29</v>
      </c>
      <c r="AG81">
        <v>2.5000000000000001E-2</v>
      </c>
      <c r="AH81">
        <v>2</v>
      </c>
      <c r="AI81">
        <v>16672487</v>
      </c>
      <c r="AJ81">
        <v>79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</row>
    <row r="82" spans="1:44" x14ac:dyDescent="0.2">
      <c r="A82">
        <f>ROW(Source!A56)</f>
        <v>56</v>
      </c>
      <c r="B82">
        <v>16672488</v>
      </c>
      <c r="C82">
        <v>16672484</v>
      </c>
      <c r="D82">
        <v>15247974</v>
      </c>
      <c r="E82">
        <v>1</v>
      </c>
      <c r="F82">
        <v>1</v>
      </c>
      <c r="G82">
        <v>1</v>
      </c>
      <c r="H82">
        <v>2</v>
      </c>
      <c r="I82" t="s">
        <v>255</v>
      </c>
      <c r="J82" t="s">
        <v>256</v>
      </c>
      <c r="K82" t="s">
        <v>257</v>
      </c>
      <c r="L82">
        <v>1368</v>
      </c>
      <c r="N82">
        <v>1011</v>
      </c>
      <c r="O82" t="s">
        <v>258</v>
      </c>
      <c r="P82" t="s">
        <v>258</v>
      </c>
      <c r="Q82">
        <v>1</v>
      </c>
      <c r="X82">
        <v>0.21</v>
      </c>
      <c r="Y82">
        <v>0</v>
      </c>
      <c r="Z82">
        <v>31.26</v>
      </c>
      <c r="AA82">
        <v>13.5</v>
      </c>
      <c r="AB82">
        <v>0</v>
      </c>
      <c r="AC82">
        <v>0</v>
      </c>
      <c r="AD82">
        <v>1</v>
      </c>
      <c r="AE82">
        <v>0</v>
      </c>
      <c r="AF82" t="s">
        <v>29</v>
      </c>
      <c r="AG82">
        <v>0.26250000000000001</v>
      </c>
      <c r="AH82">
        <v>2</v>
      </c>
      <c r="AI82">
        <v>16672488</v>
      </c>
      <c r="AJ82">
        <v>80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</row>
    <row r="83" spans="1:44" x14ac:dyDescent="0.2">
      <c r="A83">
        <f>ROW(Source!A56)</f>
        <v>56</v>
      </c>
      <c r="B83">
        <v>16672489</v>
      </c>
      <c r="C83">
        <v>16672484</v>
      </c>
      <c r="D83">
        <v>15248143</v>
      </c>
      <c r="E83">
        <v>1</v>
      </c>
      <c r="F83">
        <v>1</v>
      </c>
      <c r="G83">
        <v>1</v>
      </c>
      <c r="H83">
        <v>2</v>
      </c>
      <c r="I83" t="s">
        <v>295</v>
      </c>
      <c r="J83" t="s">
        <v>296</v>
      </c>
      <c r="K83" t="s">
        <v>297</v>
      </c>
      <c r="L83">
        <v>1368</v>
      </c>
      <c r="N83">
        <v>1011</v>
      </c>
      <c r="O83" t="s">
        <v>258</v>
      </c>
      <c r="P83" t="s">
        <v>258</v>
      </c>
      <c r="Q83">
        <v>1</v>
      </c>
      <c r="X83">
        <v>0.7</v>
      </c>
      <c r="Y83">
        <v>0</v>
      </c>
      <c r="Z83">
        <v>12.39</v>
      </c>
      <c r="AA83">
        <v>10.06</v>
      </c>
      <c r="AB83">
        <v>0</v>
      </c>
      <c r="AC83">
        <v>0</v>
      </c>
      <c r="AD83">
        <v>1</v>
      </c>
      <c r="AE83">
        <v>0</v>
      </c>
      <c r="AF83" t="s">
        <v>29</v>
      </c>
      <c r="AG83">
        <v>0.875</v>
      </c>
      <c r="AH83">
        <v>2</v>
      </c>
      <c r="AI83">
        <v>16672489</v>
      </c>
      <c r="AJ83">
        <v>81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</row>
    <row r="84" spans="1:44" x14ac:dyDescent="0.2">
      <c r="A84">
        <f>ROW(Source!A56)</f>
        <v>56</v>
      </c>
      <c r="B84">
        <v>16672490</v>
      </c>
      <c r="C84">
        <v>16672484</v>
      </c>
      <c r="D84">
        <v>15167286</v>
      </c>
      <c r="E84">
        <v>1</v>
      </c>
      <c r="F84">
        <v>1</v>
      </c>
      <c r="G84">
        <v>1</v>
      </c>
      <c r="H84">
        <v>3</v>
      </c>
      <c r="I84" t="s">
        <v>267</v>
      </c>
      <c r="J84" t="s">
        <v>268</v>
      </c>
      <c r="K84" t="s">
        <v>269</v>
      </c>
      <c r="L84">
        <v>1339</v>
      </c>
      <c r="N84">
        <v>1007</v>
      </c>
      <c r="O84" t="s">
        <v>270</v>
      </c>
      <c r="P84" t="s">
        <v>270</v>
      </c>
      <c r="Q84">
        <v>1</v>
      </c>
      <c r="X84">
        <v>0.51</v>
      </c>
      <c r="Y84">
        <v>2.44</v>
      </c>
      <c r="Z84">
        <v>0</v>
      </c>
      <c r="AA84">
        <v>0</v>
      </c>
      <c r="AB84">
        <v>0</v>
      </c>
      <c r="AC84">
        <v>0</v>
      </c>
      <c r="AD84">
        <v>1</v>
      </c>
      <c r="AE84">
        <v>0</v>
      </c>
      <c r="AF84" t="s">
        <v>4</v>
      </c>
      <c r="AG84">
        <v>0.51</v>
      </c>
      <c r="AH84">
        <v>2</v>
      </c>
      <c r="AI84">
        <v>16672490</v>
      </c>
      <c r="AJ84">
        <v>82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</row>
    <row r="85" spans="1:44" x14ac:dyDescent="0.2">
      <c r="A85">
        <f>ROW(Source!A56)</f>
        <v>56</v>
      </c>
      <c r="B85">
        <v>16672491</v>
      </c>
      <c r="C85">
        <v>16672484</v>
      </c>
      <c r="D85">
        <v>15163028</v>
      </c>
      <c r="E85">
        <v>17</v>
      </c>
      <c r="F85">
        <v>1</v>
      </c>
      <c r="G85">
        <v>1</v>
      </c>
      <c r="H85">
        <v>3</v>
      </c>
      <c r="I85" t="s">
        <v>103</v>
      </c>
      <c r="J85" t="s">
        <v>4</v>
      </c>
      <c r="K85" t="s">
        <v>104</v>
      </c>
      <c r="L85">
        <v>1348</v>
      </c>
      <c r="N85">
        <v>1009</v>
      </c>
      <c r="O85" t="s">
        <v>58</v>
      </c>
      <c r="P85" t="s">
        <v>58</v>
      </c>
      <c r="Q85">
        <v>1000</v>
      </c>
      <c r="X85">
        <v>0.85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 t="s">
        <v>4</v>
      </c>
      <c r="AG85">
        <v>0.85</v>
      </c>
      <c r="AH85">
        <v>2</v>
      </c>
      <c r="AI85">
        <v>16672491</v>
      </c>
      <c r="AJ85">
        <v>83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</row>
    <row r="86" spans="1:44" x14ac:dyDescent="0.2">
      <c r="A86">
        <f>ROW(Source!A56)</f>
        <v>56</v>
      </c>
      <c r="B86">
        <v>16672492</v>
      </c>
      <c r="C86">
        <v>16672484</v>
      </c>
      <c r="D86">
        <v>15162572</v>
      </c>
      <c r="E86">
        <v>17</v>
      </c>
      <c r="F86">
        <v>1</v>
      </c>
      <c r="G86">
        <v>1</v>
      </c>
      <c r="H86">
        <v>3</v>
      </c>
      <c r="I86" t="s">
        <v>319</v>
      </c>
      <c r="J86" t="s">
        <v>4</v>
      </c>
      <c r="K86" t="s">
        <v>320</v>
      </c>
      <c r="L86">
        <v>1348</v>
      </c>
      <c r="N86">
        <v>1009</v>
      </c>
      <c r="O86" t="s">
        <v>58</v>
      </c>
      <c r="P86" t="s">
        <v>58</v>
      </c>
      <c r="Q86">
        <v>1000</v>
      </c>
      <c r="X86">
        <v>0</v>
      </c>
      <c r="Y86">
        <v>0</v>
      </c>
      <c r="Z86">
        <v>0</v>
      </c>
      <c r="AA86">
        <v>0</v>
      </c>
      <c r="AB86">
        <v>0</v>
      </c>
      <c r="AC86">
        <v>1</v>
      </c>
      <c r="AD86">
        <v>0</v>
      </c>
      <c r="AE86">
        <v>0</v>
      </c>
      <c r="AF86" t="s">
        <v>4</v>
      </c>
      <c r="AG86">
        <v>0</v>
      </c>
      <c r="AH86">
        <v>3</v>
      </c>
      <c r="AI86">
        <v>-1</v>
      </c>
      <c r="AJ86" t="s">
        <v>4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</row>
    <row r="87" spans="1:44" x14ac:dyDescent="0.2">
      <c r="A87">
        <f>ROW(Source!A57)</f>
        <v>57</v>
      </c>
      <c r="B87">
        <v>16672485</v>
      </c>
      <c r="C87">
        <v>16672484</v>
      </c>
      <c r="D87">
        <v>15430767</v>
      </c>
      <c r="E87">
        <v>1</v>
      </c>
      <c r="F87">
        <v>1</v>
      </c>
      <c r="G87">
        <v>1</v>
      </c>
      <c r="H87">
        <v>1</v>
      </c>
      <c r="I87" t="s">
        <v>259</v>
      </c>
      <c r="J87" t="s">
        <v>4</v>
      </c>
      <c r="K87" t="s">
        <v>260</v>
      </c>
      <c r="L87">
        <v>1191</v>
      </c>
      <c r="N87">
        <v>1013</v>
      </c>
      <c r="O87" t="s">
        <v>252</v>
      </c>
      <c r="P87" t="s">
        <v>252</v>
      </c>
      <c r="Q87">
        <v>1</v>
      </c>
      <c r="X87">
        <v>32.49</v>
      </c>
      <c r="Y87">
        <v>0</v>
      </c>
      <c r="Z87">
        <v>0</v>
      </c>
      <c r="AA87">
        <v>0</v>
      </c>
      <c r="AB87">
        <v>8.5299999999999994</v>
      </c>
      <c r="AC87">
        <v>0</v>
      </c>
      <c r="AD87">
        <v>1</v>
      </c>
      <c r="AE87">
        <v>1</v>
      </c>
      <c r="AF87" t="s">
        <v>30</v>
      </c>
      <c r="AG87">
        <v>37.363500000000002</v>
      </c>
      <c r="AH87">
        <v>2</v>
      </c>
      <c r="AI87">
        <v>16672485</v>
      </c>
      <c r="AJ87">
        <v>86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</row>
    <row r="88" spans="1:44" x14ac:dyDescent="0.2">
      <c r="A88">
        <f>ROW(Source!A57)</f>
        <v>57</v>
      </c>
      <c r="B88">
        <v>16672486</v>
      </c>
      <c r="C88">
        <v>16672484</v>
      </c>
      <c r="D88">
        <v>15430395</v>
      </c>
      <c r="E88">
        <v>1</v>
      </c>
      <c r="F88">
        <v>1</v>
      </c>
      <c r="G88">
        <v>1</v>
      </c>
      <c r="H88">
        <v>1</v>
      </c>
      <c r="I88" t="s">
        <v>253</v>
      </c>
      <c r="J88" t="s">
        <v>4</v>
      </c>
      <c r="K88" t="s">
        <v>254</v>
      </c>
      <c r="L88">
        <v>1191</v>
      </c>
      <c r="N88">
        <v>1013</v>
      </c>
      <c r="O88" t="s">
        <v>252</v>
      </c>
      <c r="P88" t="s">
        <v>252</v>
      </c>
      <c r="Q88">
        <v>1</v>
      </c>
      <c r="X88">
        <v>0.93</v>
      </c>
      <c r="Y88">
        <v>0</v>
      </c>
      <c r="Z88">
        <v>0</v>
      </c>
      <c r="AA88">
        <v>0</v>
      </c>
      <c r="AB88">
        <v>0</v>
      </c>
      <c r="AC88">
        <v>0</v>
      </c>
      <c r="AD88">
        <v>1</v>
      </c>
      <c r="AE88">
        <v>2</v>
      </c>
      <c r="AF88" t="s">
        <v>29</v>
      </c>
      <c r="AG88">
        <v>1.1625000000000001</v>
      </c>
      <c r="AH88">
        <v>2</v>
      </c>
      <c r="AI88">
        <v>16672486</v>
      </c>
      <c r="AJ88">
        <v>87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</row>
    <row r="89" spans="1:44" x14ac:dyDescent="0.2">
      <c r="A89">
        <f>ROW(Source!A57)</f>
        <v>57</v>
      </c>
      <c r="B89">
        <v>16672487</v>
      </c>
      <c r="C89">
        <v>16672484</v>
      </c>
      <c r="D89">
        <v>15247905</v>
      </c>
      <c r="E89">
        <v>1</v>
      </c>
      <c r="F89">
        <v>1</v>
      </c>
      <c r="G89">
        <v>1</v>
      </c>
      <c r="H89">
        <v>2</v>
      </c>
      <c r="I89" t="s">
        <v>292</v>
      </c>
      <c r="J89" t="s">
        <v>293</v>
      </c>
      <c r="K89" t="s">
        <v>294</v>
      </c>
      <c r="L89">
        <v>1368</v>
      </c>
      <c r="N89">
        <v>1011</v>
      </c>
      <c r="O89" t="s">
        <v>258</v>
      </c>
      <c r="P89" t="s">
        <v>258</v>
      </c>
      <c r="Q89">
        <v>1</v>
      </c>
      <c r="X89">
        <v>0.02</v>
      </c>
      <c r="Y89">
        <v>0</v>
      </c>
      <c r="Z89">
        <v>89.99</v>
      </c>
      <c r="AA89">
        <v>10.06</v>
      </c>
      <c r="AB89">
        <v>0</v>
      </c>
      <c r="AC89">
        <v>0</v>
      </c>
      <c r="AD89">
        <v>1</v>
      </c>
      <c r="AE89">
        <v>0</v>
      </c>
      <c r="AF89" t="s">
        <v>29</v>
      </c>
      <c r="AG89">
        <v>2.5000000000000001E-2</v>
      </c>
      <c r="AH89">
        <v>2</v>
      </c>
      <c r="AI89">
        <v>16672487</v>
      </c>
      <c r="AJ89">
        <v>88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</row>
    <row r="90" spans="1:44" x14ac:dyDescent="0.2">
      <c r="A90">
        <f>ROW(Source!A57)</f>
        <v>57</v>
      </c>
      <c r="B90">
        <v>16672488</v>
      </c>
      <c r="C90">
        <v>16672484</v>
      </c>
      <c r="D90">
        <v>15247974</v>
      </c>
      <c r="E90">
        <v>1</v>
      </c>
      <c r="F90">
        <v>1</v>
      </c>
      <c r="G90">
        <v>1</v>
      </c>
      <c r="H90">
        <v>2</v>
      </c>
      <c r="I90" t="s">
        <v>255</v>
      </c>
      <c r="J90" t="s">
        <v>256</v>
      </c>
      <c r="K90" t="s">
        <v>257</v>
      </c>
      <c r="L90">
        <v>1368</v>
      </c>
      <c r="N90">
        <v>1011</v>
      </c>
      <c r="O90" t="s">
        <v>258</v>
      </c>
      <c r="P90" t="s">
        <v>258</v>
      </c>
      <c r="Q90">
        <v>1</v>
      </c>
      <c r="X90">
        <v>0.21</v>
      </c>
      <c r="Y90">
        <v>0</v>
      </c>
      <c r="Z90">
        <v>31.26</v>
      </c>
      <c r="AA90">
        <v>13.5</v>
      </c>
      <c r="AB90">
        <v>0</v>
      </c>
      <c r="AC90">
        <v>0</v>
      </c>
      <c r="AD90">
        <v>1</v>
      </c>
      <c r="AE90">
        <v>0</v>
      </c>
      <c r="AF90" t="s">
        <v>29</v>
      </c>
      <c r="AG90">
        <v>0.26250000000000001</v>
      </c>
      <c r="AH90">
        <v>2</v>
      </c>
      <c r="AI90">
        <v>16672488</v>
      </c>
      <c r="AJ90">
        <v>89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</row>
    <row r="91" spans="1:44" x14ac:dyDescent="0.2">
      <c r="A91">
        <f>ROW(Source!A57)</f>
        <v>57</v>
      </c>
      <c r="B91">
        <v>16672489</v>
      </c>
      <c r="C91">
        <v>16672484</v>
      </c>
      <c r="D91">
        <v>15248143</v>
      </c>
      <c r="E91">
        <v>1</v>
      </c>
      <c r="F91">
        <v>1</v>
      </c>
      <c r="G91">
        <v>1</v>
      </c>
      <c r="H91">
        <v>2</v>
      </c>
      <c r="I91" t="s">
        <v>295</v>
      </c>
      <c r="J91" t="s">
        <v>296</v>
      </c>
      <c r="K91" t="s">
        <v>297</v>
      </c>
      <c r="L91">
        <v>1368</v>
      </c>
      <c r="N91">
        <v>1011</v>
      </c>
      <c r="O91" t="s">
        <v>258</v>
      </c>
      <c r="P91" t="s">
        <v>258</v>
      </c>
      <c r="Q91">
        <v>1</v>
      </c>
      <c r="X91">
        <v>0.7</v>
      </c>
      <c r="Y91">
        <v>0</v>
      </c>
      <c r="Z91">
        <v>12.39</v>
      </c>
      <c r="AA91">
        <v>10.06</v>
      </c>
      <c r="AB91">
        <v>0</v>
      </c>
      <c r="AC91">
        <v>0</v>
      </c>
      <c r="AD91">
        <v>1</v>
      </c>
      <c r="AE91">
        <v>0</v>
      </c>
      <c r="AF91" t="s">
        <v>29</v>
      </c>
      <c r="AG91">
        <v>0.875</v>
      </c>
      <c r="AH91">
        <v>2</v>
      </c>
      <c r="AI91">
        <v>16672489</v>
      </c>
      <c r="AJ91">
        <v>90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</row>
    <row r="92" spans="1:44" x14ac:dyDescent="0.2">
      <c r="A92">
        <f>ROW(Source!A57)</f>
        <v>57</v>
      </c>
      <c r="B92">
        <v>16672490</v>
      </c>
      <c r="C92">
        <v>16672484</v>
      </c>
      <c r="D92">
        <v>15167286</v>
      </c>
      <c r="E92">
        <v>1</v>
      </c>
      <c r="F92">
        <v>1</v>
      </c>
      <c r="G92">
        <v>1</v>
      </c>
      <c r="H92">
        <v>3</v>
      </c>
      <c r="I92" t="s">
        <v>267</v>
      </c>
      <c r="J92" t="s">
        <v>268</v>
      </c>
      <c r="K92" t="s">
        <v>269</v>
      </c>
      <c r="L92">
        <v>1339</v>
      </c>
      <c r="N92">
        <v>1007</v>
      </c>
      <c r="O92" t="s">
        <v>270</v>
      </c>
      <c r="P92" t="s">
        <v>270</v>
      </c>
      <c r="Q92">
        <v>1</v>
      </c>
      <c r="X92">
        <v>0.51</v>
      </c>
      <c r="Y92">
        <v>2.44</v>
      </c>
      <c r="Z92">
        <v>0</v>
      </c>
      <c r="AA92">
        <v>0</v>
      </c>
      <c r="AB92">
        <v>0</v>
      </c>
      <c r="AC92">
        <v>0</v>
      </c>
      <c r="AD92">
        <v>1</v>
      </c>
      <c r="AE92">
        <v>0</v>
      </c>
      <c r="AF92" t="s">
        <v>4</v>
      </c>
      <c r="AG92">
        <v>0.51</v>
      </c>
      <c r="AH92">
        <v>2</v>
      </c>
      <c r="AI92">
        <v>16672490</v>
      </c>
      <c r="AJ92">
        <v>91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</row>
    <row r="93" spans="1:44" x14ac:dyDescent="0.2">
      <c r="A93">
        <f>ROW(Source!A57)</f>
        <v>57</v>
      </c>
      <c r="B93">
        <v>16672491</v>
      </c>
      <c r="C93">
        <v>16672484</v>
      </c>
      <c r="D93">
        <v>15163028</v>
      </c>
      <c r="E93">
        <v>17</v>
      </c>
      <c r="F93">
        <v>1</v>
      </c>
      <c r="G93">
        <v>1</v>
      </c>
      <c r="H93">
        <v>3</v>
      </c>
      <c r="I93" t="s">
        <v>103</v>
      </c>
      <c r="J93" t="s">
        <v>4</v>
      </c>
      <c r="K93" t="s">
        <v>104</v>
      </c>
      <c r="L93">
        <v>1348</v>
      </c>
      <c r="N93">
        <v>1009</v>
      </c>
      <c r="O93" t="s">
        <v>58</v>
      </c>
      <c r="P93" t="s">
        <v>58</v>
      </c>
      <c r="Q93">
        <v>1000</v>
      </c>
      <c r="X93">
        <v>0.85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 t="s">
        <v>4</v>
      </c>
      <c r="AG93">
        <v>0.85</v>
      </c>
      <c r="AH93">
        <v>2</v>
      </c>
      <c r="AI93">
        <v>16672491</v>
      </c>
      <c r="AJ93">
        <v>92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</row>
    <row r="94" spans="1:44" x14ac:dyDescent="0.2">
      <c r="A94">
        <f>ROW(Source!A57)</f>
        <v>57</v>
      </c>
      <c r="B94">
        <v>16672492</v>
      </c>
      <c r="C94">
        <v>16672484</v>
      </c>
      <c r="D94">
        <v>15162572</v>
      </c>
      <c r="E94">
        <v>17</v>
      </c>
      <c r="F94">
        <v>1</v>
      </c>
      <c r="G94">
        <v>1</v>
      </c>
      <c r="H94">
        <v>3</v>
      </c>
      <c r="I94" t="s">
        <v>319</v>
      </c>
      <c r="J94" t="s">
        <v>4</v>
      </c>
      <c r="K94" t="s">
        <v>320</v>
      </c>
      <c r="L94">
        <v>1348</v>
      </c>
      <c r="N94">
        <v>1009</v>
      </c>
      <c r="O94" t="s">
        <v>58</v>
      </c>
      <c r="P94" t="s">
        <v>58</v>
      </c>
      <c r="Q94">
        <v>1000</v>
      </c>
      <c r="X94">
        <v>0</v>
      </c>
      <c r="Y94">
        <v>0</v>
      </c>
      <c r="Z94">
        <v>0</v>
      </c>
      <c r="AA94">
        <v>0</v>
      </c>
      <c r="AB94">
        <v>0</v>
      </c>
      <c r="AC94">
        <v>1</v>
      </c>
      <c r="AD94">
        <v>0</v>
      </c>
      <c r="AE94">
        <v>0</v>
      </c>
      <c r="AF94" t="s">
        <v>4</v>
      </c>
      <c r="AG94">
        <v>0</v>
      </c>
      <c r="AH94">
        <v>3</v>
      </c>
      <c r="AI94">
        <v>-1</v>
      </c>
      <c r="AJ94" t="s">
        <v>4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</row>
    <row r="95" spans="1:44" x14ac:dyDescent="0.2">
      <c r="A95">
        <f>ROW(Source!A64)</f>
        <v>64</v>
      </c>
      <c r="B95">
        <v>16501437</v>
      </c>
      <c r="C95">
        <v>16501427</v>
      </c>
      <c r="D95">
        <v>15436014</v>
      </c>
      <c r="E95">
        <v>1</v>
      </c>
      <c r="F95">
        <v>1</v>
      </c>
      <c r="G95">
        <v>1</v>
      </c>
      <c r="H95">
        <v>1</v>
      </c>
      <c r="I95" t="s">
        <v>298</v>
      </c>
      <c r="J95" t="s">
        <v>4</v>
      </c>
      <c r="K95" t="s">
        <v>299</v>
      </c>
      <c r="L95">
        <v>1191</v>
      </c>
      <c r="N95">
        <v>1013</v>
      </c>
      <c r="O95" t="s">
        <v>252</v>
      </c>
      <c r="P95" t="s">
        <v>252</v>
      </c>
      <c r="Q95">
        <v>1</v>
      </c>
      <c r="X95">
        <v>43.56</v>
      </c>
      <c r="Y95">
        <v>0</v>
      </c>
      <c r="Z95">
        <v>0</v>
      </c>
      <c r="AA95">
        <v>0</v>
      </c>
      <c r="AB95">
        <v>8.74</v>
      </c>
      <c r="AC95">
        <v>0</v>
      </c>
      <c r="AD95">
        <v>1</v>
      </c>
      <c r="AE95">
        <v>1</v>
      </c>
      <c r="AF95" t="s">
        <v>30</v>
      </c>
      <c r="AG95">
        <v>50.094000000000001</v>
      </c>
      <c r="AH95">
        <v>2</v>
      </c>
      <c r="AI95">
        <v>16501428</v>
      </c>
      <c r="AJ95">
        <v>95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</row>
    <row r="96" spans="1:44" x14ac:dyDescent="0.2">
      <c r="A96">
        <f>ROW(Source!A64)</f>
        <v>64</v>
      </c>
      <c r="B96">
        <v>16501438</v>
      </c>
      <c r="C96">
        <v>16501427</v>
      </c>
      <c r="D96">
        <v>15430395</v>
      </c>
      <c r="E96">
        <v>1</v>
      </c>
      <c r="F96">
        <v>1</v>
      </c>
      <c r="G96">
        <v>1</v>
      </c>
      <c r="H96">
        <v>1</v>
      </c>
      <c r="I96" t="s">
        <v>253</v>
      </c>
      <c r="J96" t="s">
        <v>4</v>
      </c>
      <c r="K96" t="s">
        <v>254</v>
      </c>
      <c r="L96">
        <v>1191</v>
      </c>
      <c r="N96">
        <v>1013</v>
      </c>
      <c r="O96" t="s">
        <v>252</v>
      </c>
      <c r="P96" t="s">
        <v>252</v>
      </c>
      <c r="Q96">
        <v>1</v>
      </c>
      <c r="X96">
        <v>0.17</v>
      </c>
      <c r="Y96">
        <v>0</v>
      </c>
      <c r="Z96">
        <v>0</v>
      </c>
      <c r="AA96">
        <v>0</v>
      </c>
      <c r="AB96">
        <v>0</v>
      </c>
      <c r="AC96">
        <v>0</v>
      </c>
      <c r="AD96">
        <v>1</v>
      </c>
      <c r="AE96">
        <v>2</v>
      </c>
      <c r="AF96" t="s">
        <v>29</v>
      </c>
      <c r="AG96">
        <v>0.21250000000000002</v>
      </c>
      <c r="AH96">
        <v>2</v>
      </c>
      <c r="AI96">
        <v>16501429</v>
      </c>
      <c r="AJ96">
        <v>96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</row>
    <row r="97" spans="1:44" x14ac:dyDescent="0.2">
      <c r="A97">
        <f>ROW(Source!A64)</f>
        <v>64</v>
      </c>
      <c r="B97">
        <v>16501439</v>
      </c>
      <c r="C97">
        <v>16501427</v>
      </c>
      <c r="D97">
        <v>15247970</v>
      </c>
      <c r="E97">
        <v>1</v>
      </c>
      <c r="F97">
        <v>1</v>
      </c>
      <c r="G97">
        <v>1</v>
      </c>
      <c r="H97">
        <v>2</v>
      </c>
      <c r="I97" t="s">
        <v>261</v>
      </c>
      <c r="J97" t="s">
        <v>262</v>
      </c>
      <c r="K97" t="s">
        <v>263</v>
      </c>
      <c r="L97">
        <v>1368</v>
      </c>
      <c r="N97">
        <v>1011</v>
      </c>
      <c r="O97" t="s">
        <v>258</v>
      </c>
      <c r="P97" t="s">
        <v>258</v>
      </c>
      <c r="Q97">
        <v>1</v>
      </c>
      <c r="X97">
        <v>0.02</v>
      </c>
      <c r="Y97">
        <v>0</v>
      </c>
      <c r="Z97">
        <v>27.66</v>
      </c>
      <c r="AA97">
        <v>11.6</v>
      </c>
      <c r="AB97">
        <v>0</v>
      </c>
      <c r="AC97">
        <v>0</v>
      </c>
      <c r="AD97">
        <v>1</v>
      </c>
      <c r="AE97">
        <v>0</v>
      </c>
      <c r="AF97" t="s">
        <v>29</v>
      </c>
      <c r="AG97">
        <v>2.5000000000000001E-2</v>
      </c>
      <c r="AH97">
        <v>2</v>
      </c>
      <c r="AI97">
        <v>16501430</v>
      </c>
      <c r="AJ97">
        <v>97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</row>
    <row r="98" spans="1:44" x14ac:dyDescent="0.2">
      <c r="A98">
        <f>ROW(Source!A64)</f>
        <v>64</v>
      </c>
      <c r="B98">
        <v>16501440</v>
      </c>
      <c r="C98">
        <v>16501427</v>
      </c>
      <c r="D98">
        <v>15249073</v>
      </c>
      <c r="E98">
        <v>1</v>
      </c>
      <c r="F98">
        <v>1</v>
      </c>
      <c r="G98">
        <v>1</v>
      </c>
      <c r="H98">
        <v>2</v>
      </c>
      <c r="I98" t="s">
        <v>264</v>
      </c>
      <c r="J98" t="s">
        <v>265</v>
      </c>
      <c r="K98" t="s">
        <v>266</v>
      </c>
      <c r="L98">
        <v>1368</v>
      </c>
      <c r="N98">
        <v>1011</v>
      </c>
      <c r="O98" t="s">
        <v>258</v>
      </c>
      <c r="P98" t="s">
        <v>258</v>
      </c>
      <c r="Q98">
        <v>1</v>
      </c>
      <c r="X98">
        <v>0.15</v>
      </c>
      <c r="Y98">
        <v>0</v>
      </c>
      <c r="Z98">
        <v>65.709999999999994</v>
      </c>
      <c r="AA98">
        <v>11.6</v>
      </c>
      <c r="AB98">
        <v>0</v>
      </c>
      <c r="AC98">
        <v>0</v>
      </c>
      <c r="AD98">
        <v>1</v>
      </c>
      <c r="AE98">
        <v>0</v>
      </c>
      <c r="AF98" t="s">
        <v>29</v>
      </c>
      <c r="AG98">
        <v>0.1875</v>
      </c>
      <c r="AH98">
        <v>2</v>
      </c>
      <c r="AI98">
        <v>16501431</v>
      </c>
      <c r="AJ98">
        <v>98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</row>
    <row r="99" spans="1:44" x14ac:dyDescent="0.2">
      <c r="A99">
        <f>ROW(Source!A64)</f>
        <v>64</v>
      </c>
      <c r="B99">
        <v>16501441</v>
      </c>
      <c r="C99">
        <v>16501427</v>
      </c>
      <c r="D99">
        <v>15170682</v>
      </c>
      <c r="E99">
        <v>1</v>
      </c>
      <c r="F99">
        <v>1</v>
      </c>
      <c r="G99">
        <v>1</v>
      </c>
      <c r="H99">
        <v>3</v>
      </c>
      <c r="I99" t="s">
        <v>300</v>
      </c>
      <c r="J99" t="s">
        <v>301</v>
      </c>
      <c r="K99" t="s">
        <v>302</v>
      </c>
      <c r="L99">
        <v>1327</v>
      </c>
      <c r="N99">
        <v>1005</v>
      </c>
      <c r="O99" t="s">
        <v>50</v>
      </c>
      <c r="P99" t="s">
        <v>50</v>
      </c>
      <c r="Q99">
        <v>1</v>
      </c>
      <c r="X99">
        <v>0.84</v>
      </c>
      <c r="Y99">
        <v>72.319999999999993</v>
      </c>
      <c r="Z99">
        <v>0</v>
      </c>
      <c r="AA99">
        <v>0</v>
      </c>
      <c r="AB99">
        <v>0</v>
      </c>
      <c r="AC99">
        <v>0</v>
      </c>
      <c r="AD99">
        <v>1</v>
      </c>
      <c r="AE99">
        <v>0</v>
      </c>
      <c r="AF99" t="s">
        <v>4</v>
      </c>
      <c r="AG99">
        <v>0.84</v>
      </c>
      <c r="AH99">
        <v>2</v>
      </c>
      <c r="AI99">
        <v>16501432</v>
      </c>
      <c r="AJ99">
        <v>99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</row>
    <row r="100" spans="1:44" x14ac:dyDescent="0.2">
      <c r="A100">
        <f>ROW(Source!A64)</f>
        <v>64</v>
      </c>
      <c r="B100">
        <v>16501442</v>
      </c>
      <c r="C100">
        <v>16501427</v>
      </c>
      <c r="D100">
        <v>15171018</v>
      </c>
      <c r="E100">
        <v>1</v>
      </c>
      <c r="F100">
        <v>1</v>
      </c>
      <c r="G100">
        <v>1</v>
      </c>
      <c r="H100">
        <v>3</v>
      </c>
      <c r="I100" t="s">
        <v>280</v>
      </c>
      <c r="J100" t="s">
        <v>281</v>
      </c>
      <c r="K100" t="s">
        <v>282</v>
      </c>
      <c r="L100">
        <v>1346</v>
      </c>
      <c r="N100">
        <v>1009</v>
      </c>
      <c r="O100" t="s">
        <v>277</v>
      </c>
      <c r="P100" t="s">
        <v>277</v>
      </c>
      <c r="Q100">
        <v>1</v>
      </c>
      <c r="X100">
        <v>0.31</v>
      </c>
      <c r="Y100">
        <v>1.82</v>
      </c>
      <c r="Z100">
        <v>0</v>
      </c>
      <c r="AA100">
        <v>0</v>
      </c>
      <c r="AB100">
        <v>0</v>
      </c>
      <c r="AC100">
        <v>0</v>
      </c>
      <c r="AD100">
        <v>1</v>
      </c>
      <c r="AE100">
        <v>0</v>
      </c>
      <c r="AF100" t="s">
        <v>4</v>
      </c>
      <c r="AG100">
        <v>0.31</v>
      </c>
      <c r="AH100">
        <v>2</v>
      </c>
      <c r="AI100">
        <v>16501433</v>
      </c>
      <c r="AJ100">
        <v>100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</row>
    <row r="101" spans="1:44" x14ac:dyDescent="0.2">
      <c r="A101">
        <f>ROW(Source!A64)</f>
        <v>64</v>
      </c>
      <c r="B101">
        <v>16501443</v>
      </c>
      <c r="C101">
        <v>16501427</v>
      </c>
      <c r="D101">
        <v>15163054</v>
      </c>
      <c r="E101">
        <v>17</v>
      </c>
      <c r="F101">
        <v>1</v>
      </c>
      <c r="G101">
        <v>1</v>
      </c>
      <c r="H101">
        <v>3</v>
      </c>
      <c r="I101" t="s">
        <v>321</v>
      </c>
      <c r="J101" t="s">
        <v>4</v>
      </c>
      <c r="K101" t="s">
        <v>322</v>
      </c>
      <c r="L101">
        <v>1348</v>
      </c>
      <c r="N101">
        <v>1009</v>
      </c>
      <c r="O101" t="s">
        <v>58</v>
      </c>
      <c r="P101" t="s">
        <v>58</v>
      </c>
      <c r="Q101">
        <v>1000</v>
      </c>
      <c r="X101">
        <v>0.03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 t="s">
        <v>4</v>
      </c>
      <c r="AG101">
        <v>0.03</v>
      </c>
      <c r="AH101">
        <v>3</v>
      </c>
      <c r="AI101">
        <v>-1</v>
      </c>
      <c r="AJ101" t="s">
        <v>4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</row>
    <row r="102" spans="1:44" x14ac:dyDescent="0.2">
      <c r="A102">
        <f>ROW(Source!A64)</f>
        <v>64</v>
      </c>
      <c r="B102">
        <v>16501444</v>
      </c>
      <c r="C102">
        <v>16501427</v>
      </c>
      <c r="D102">
        <v>15162572</v>
      </c>
      <c r="E102">
        <v>17</v>
      </c>
      <c r="F102">
        <v>1</v>
      </c>
      <c r="G102">
        <v>1</v>
      </c>
      <c r="H102">
        <v>3</v>
      </c>
      <c r="I102" t="s">
        <v>319</v>
      </c>
      <c r="J102" t="s">
        <v>4</v>
      </c>
      <c r="K102" t="s">
        <v>320</v>
      </c>
      <c r="L102">
        <v>1348</v>
      </c>
      <c r="N102">
        <v>1009</v>
      </c>
      <c r="O102" t="s">
        <v>58</v>
      </c>
      <c r="P102" t="s">
        <v>58</v>
      </c>
      <c r="Q102">
        <v>1000</v>
      </c>
      <c r="X102">
        <v>0.02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 t="s">
        <v>4</v>
      </c>
      <c r="AG102">
        <v>0.02</v>
      </c>
      <c r="AH102">
        <v>3</v>
      </c>
      <c r="AI102">
        <v>-1</v>
      </c>
      <c r="AJ102" t="s">
        <v>4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</row>
    <row r="103" spans="1:44" x14ac:dyDescent="0.2">
      <c r="A103">
        <f>ROW(Source!A64)</f>
        <v>64</v>
      </c>
      <c r="B103">
        <v>16501445</v>
      </c>
      <c r="C103">
        <v>16501427</v>
      </c>
      <c r="D103">
        <v>15204737</v>
      </c>
      <c r="E103">
        <v>1</v>
      </c>
      <c r="F103">
        <v>1</v>
      </c>
      <c r="G103">
        <v>1</v>
      </c>
      <c r="H103">
        <v>3</v>
      </c>
      <c r="I103" t="s">
        <v>303</v>
      </c>
      <c r="J103" t="s">
        <v>304</v>
      </c>
      <c r="K103" t="s">
        <v>305</v>
      </c>
      <c r="L103">
        <v>1348</v>
      </c>
      <c r="N103">
        <v>1009</v>
      </c>
      <c r="O103" t="s">
        <v>58</v>
      </c>
      <c r="P103" t="s">
        <v>58</v>
      </c>
      <c r="Q103">
        <v>1000</v>
      </c>
      <c r="X103">
        <v>5.0999999999999997E-2</v>
      </c>
      <c r="Y103">
        <v>11397.1</v>
      </c>
      <c r="Z103">
        <v>0</v>
      </c>
      <c r="AA103">
        <v>0</v>
      </c>
      <c r="AB103">
        <v>0</v>
      </c>
      <c r="AC103">
        <v>0</v>
      </c>
      <c r="AD103">
        <v>1</v>
      </c>
      <c r="AE103">
        <v>0</v>
      </c>
      <c r="AF103" t="s">
        <v>4</v>
      </c>
      <c r="AG103">
        <v>5.0999999999999997E-2</v>
      </c>
      <c r="AH103">
        <v>2</v>
      </c>
      <c r="AI103">
        <v>16501434</v>
      </c>
      <c r="AJ103">
        <v>103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</row>
    <row r="104" spans="1:44" x14ac:dyDescent="0.2">
      <c r="A104">
        <f>ROW(Source!A65)</f>
        <v>65</v>
      </c>
      <c r="B104">
        <v>16501437</v>
      </c>
      <c r="C104">
        <v>16501427</v>
      </c>
      <c r="D104">
        <v>15436014</v>
      </c>
      <c r="E104">
        <v>1</v>
      </c>
      <c r="F104">
        <v>1</v>
      </c>
      <c r="G104">
        <v>1</v>
      </c>
      <c r="H104">
        <v>1</v>
      </c>
      <c r="I104" t="s">
        <v>298</v>
      </c>
      <c r="J104" t="s">
        <v>4</v>
      </c>
      <c r="K104" t="s">
        <v>299</v>
      </c>
      <c r="L104">
        <v>1191</v>
      </c>
      <c r="N104">
        <v>1013</v>
      </c>
      <c r="O104" t="s">
        <v>252</v>
      </c>
      <c r="P104" t="s">
        <v>252</v>
      </c>
      <c r="Q104">
        <v>1</v>
      </c>
      <c r="X104">
        <v>43.56</v>
      </c>
      <c r="Y104">
        <v>0</v>
      </c>
      <c r="Z104">
        <v>0</v>
      </c>
      <c r="AA104">
        <v>0</v>
      </c>
      <c r="AB104">
        <v>8.74</v>
      </c>
      <c r="AC104">
        <v>0</v>
      </c>
      <c r="AD104">
        <v>1</v>
      </c>
      <c r="AE104">
        <v>1</v>
      </c>
      <c r="AF104" t="s">
        <v>30</v>
      </c>
      <c r="AG104">
        <v>50.094000000000001</v>
      </c>
      <c r="AH104">
        <v>2</v>
      </c>
      <c r="AI104">
        <v>16501428</v>
      </c>
      <c r="AJ104">
        <v>104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</row>
    <row r="105" spans="1:44" x14ac:dyDescent="0.2">
      <c r="A105">
        <f>ROW(Source!A65)</f>
        <v>65</v>
      </c>
      <c r="B105">
        <v>16501438</v>
      </c>
      <c r="C105">
        <v>16501427</v>
      </c>
      <c r="D105">
        <v>15430395</v>
      </c>
      <c r="E105">
        <v>1</v>
      </c>
      <c r="F105">
        <v>1</v>
      </c>
      <c r="G105">
        <v>1</v>
      </c>
      <c r="H105">
        <v>1</v>
      </c>
      <c r="I105" t="s">
        <v>253</v>
      </c>
      <c r="J105" t="s">
        <v>4</v>
      </c>
      <c r="K105" t="s">
        <v>254</v>
      </c>
      <c r="L105">
        <v>1191</v>
      </c>
      <c r="N105">
        <v>1013</v>
      </c>
      <c r="O105" t="s">
        <v>252</v>
      </c>
      <c r="P105" t="s">
        <v>252</v>
      </c>
      <c r="Q105">
        <v>1</v>
      </c>
      <c r="X105">
        <v>0.17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1</v>
      </c>
      <c r="AE105">
        <v>2</v>
      </c>
      <c r="AF105" t="s">
        <v>29</v>
      </c>
      <c r="AG105">
        <v>0.21250000000000002</v>
      </c>
      <c r="AH105">
        <v>2</v>
      </c>
      <c r="AI105">
        <v>16501429</v>
      </c>
      <c r="AJ105">
        <v>105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</row>
    <row r="106" spans="1:44" x14ac:dyDescent="0.2">
      <c r="A106">
        <f>ROW(Source!A65)</f>
        <v>65</v>
      </c>
      <c r="B106">
        <v>16501439</v>
      </c>
      <c r="C106">
        <v>16501427</v>
      </c>
      <c r="D106">
        <v>15247970</v>
      </c>
      <c r="E106">
        <v>1</v>
      </c>
      <c r="F106">
        <v>1</v>
      </c>
      <c r="G106">
        <v>1</v>
      </c>
      <c r="H106">
        <v>2</v>
      </c>
      <c r="I106" t="s">
        <v>261</v>
      </c>
      <c r="J106" t="s">
        <v>262</v>
      </c>
      <c r="K106" t="s">
        <v>263</v>
      </c>
      <c r="L106">
        <v>1368</v>
      </c>
      <c r="N106">
        <v>1011</v>
      </c>
      <c r="O106" t="s">
        <v>258</v>
      </c>
      <c r="P106" t="s">
        <v>258</v>
      </c>
      <c r="Q106">
        <v>1</v>
      </c>
      <c r="X106">
        <v>0.02</v>
      </c>
      <c r="Y106">
        <v>0</v>
      </c>
      <c r="Z106">
        <v>27.66</v>
      </c>
      <c r="AA106">
        <v>11.6</v>
      </c>
      <c r="AB106">
        <v>0</v>
      </c>
      <c r="AC106">
        <v>0</v>
      </c>
      <c r="AD106">
        <v>1</v>
      </c>
      <c r="AE106">
        <v>0</v>
      </c>
      <c r="AF106" t="s">
        <v>29</v>
      </c>
      <c r="AG106">
        <v>2.5000000000000001E-2</v>
      </c>
      <c r="AH106">
        <v>2</v>
      </c>
      <c r="AI106">
        <v>16501430</v>
      </c>
      <c r="AJ106">
        <v>106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</row>
    <row r="107" spans="1:44" x14ac:dyDescent="0.2">
      <c r="A107">
        <f>ROW(Source!A65)</f>
        <v>65</v>
      </c>
      <c r="B107">
        <v>16501440</v>
      </c>
      <c r="C107">
        <v>16501427</v>
      </c>
      <c r="D107">
        <v>15249073</v>
      </c>
      <c r="E107">
        <v>1</v>
      </c>
      <c r="F107">
        <v>1</v>
      </c>
      <c r="G107">
        <v>1</v>
      </c>
      <c r="H107">
        <v>2</v>
      </c>
      <c r="I107" t="s">
        <v>264</v>
      </c>
      <c r="J107" t="s">
        <v>265</v>
      </c>
      <c r="K107" t="s">
        <v>266</v>
      </c>
      <c r="L107">
        <v>1368</v>
      </c>
      <c r="N107">
        <v>1011</v>
      </c>
      <c r="O107" t="s">
        <v>258</v>
      </c>
      <c r="P107" t="s">
        <v>258</v>
      </c>
      <c r="Q107">
        <v>1</v>
      </c>
      <c r="X107">
        <v>0.15</v>
      </c>
      <c r="Y107">
        <v>0</v>
      </c>
      <c r="Z107">
        <v>65.709999999999994</v>
      </c>
      <c r="AA107">
        <v>11.6</v>
      </c>
      <c r="AB107">
        <v>0</v>
      </c>
      <c r="AC107">
        <v>0</v>
      </c>
      <c r="AD107">
        <v>1</v>
      </c>
      <c r="AE107">
        <v>0</v>
      </c>
      <c r="AF107" t="s">
        <v>29</v>
      </c>
      <c r="AG107">
        <v>0.1875</v>
      </c>
      <c r="AH107">
        <v>2</v>
      </c>
      <c r="AI107">
        <v>16501431</v>
      </c>
      <c r="AJ107">
        <v>107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</row>
    <row r="108" spans="1:44" x14ac:dyDescent="0.2">
      <c r="A108">
        <f>ROW(Source!A65)</f>
        <v>65</v>
      </c>
      <c r="B108">
        <v>16501441</v>
      </c>
      <c r="C108">
        <v>16501427</v>
      </c>
      <c r="D108">
        <v>15170682</v>
      </c>
      <c r="E108">
        <v>1</v>
      </c>
      <c r="F108">
        <v>1</v>
      </c>
      <c r="G108">
        <v>1</v>
      </c>
      <c r="H108">
        <v>3</v>
      </c>
      <c r="I108" t="s">
        <v>300</v>
      </c>
      <c r="J108" t="s">
        <v>301</v>
      </c>
      <c r="K108" t="s">
        <v>302</v>
      </c>
      <c r="L108">
        <v>1327</v>
      </c>
      <c r="N108">
        <v>1005</v>
      </c>
      <c r="O108" t="s">
        <v>50</v>
      </c>
      <c r="P108" t="s">
        <v>50</v>
      </c>
      <c r="Q108">
        <v>1</v>
      </c>
      <c r="X108">
        <v>0.84</v>
      </c>
      <c r="Y108">
        <v>72.319999999999993</v>
      </c>
      <c r="Z108">
        <v>0</v>
      </c>
      <c r="AA108">
        <v>0</v>
      </c>
      <c r="AB108">
        <v>0</v>
      </c>
      <c r="AC108">
        <v>0</v>
      </c>
      <c r="AD108">
        <v>1</v>
      </c>
      <c r="AE108">
        <v>0</v>
      </c>
      <c r="AF108" t="s">
        <v>4</v>
      </c>
      <c r="AG108">
        <v>0.84</v>
      </c>
      <c r="AH108">
        <v>2</v>
      </c>
      <c r="AI108">
        <v>16501432</v>
      </c>
      <c r="AJ108">
        <v>108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</row>
    <row r="109" spans="1:44" x14ac:dyDescent="0.2">
      <c r="A109">
        <f>ROW(Source!A65)</f>
        <v>65</v>
      </c>
      <c r="B109">
        <v>16501442</v>
      </c>
      <c r="C109">
        <v>16501427</v>
      </c>
      <c r="D109">
        <v>15171018</v>
      </c>
      <c r="E109">
        <v>1</v>
      </c>
      <c r="F109">
        <v>1</v>
      </c>
      <c r="G109">
        <v>1</v>
      </c>
      <c r="H109">
        <v>3</v>
      </c>
      <c r="I109" t="s">
        <v>280</v>
      </c>
      <c r="J109" t="s">
        <v>281</v>
      </c>
      <c r="K109" t="s">
        <v>282</v>
      </c>
      <c r="L109">
        <v>1346</v>
      </c>
      <c r="N109">
        <v>1009</v>
      </c>
      <c r="O109" t="s">
        <v>277</v>
      </c>
      <c r="P109" t="s">
        <v>277</v>
      </c>
      <c r="Q109">
        <v>1</v>
      </c>
      <c r="X109">
        <v>0.31</v>
      </c>
      <c r="Y109">
        <v>1.82</v>
      </c>
      <c r="Z109">
        <v>0</v>
      </c>
      <c r="AA109">
        <v>0</v>
      </c>
      <c r="AB109">
        <v>0</v>
      </c>
      <c r="AC109">
        <v>0</v>
      </c>
      <c r="AD109">
        <v>1</v>
      </c>
      <c r="AE109">
        <v>0</v>
      </c>
      <c r="AF109" t="s">
        <v>4</v>
      </c>
      <c r="AG109">
        <v>0.31</v>
      </c>
      <c r="AH109">
        <v>2</v>
      </c>
      <c r="AI109">
        <v>16501433</v>
      </c>
      <c r="AJ109">
        <v>109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</row>
    <row r="110" spans="1:44" x14ac:dyDescent="0.2">
      <c r="A110">
        <f>ROW(Source!A65)</f>
        <v>65</v>
      </c>
      <c r="B110">
        <v>16501443</v>
      </c>
      <c r="C110">
        <v>16501427</v>
      </c>
      <c r="D110">
        <v>15163054</v>
      </c>
      <c r="E110">
        <v>17</v>
      </c>
      <c r="F110">
        <v>1</v>
      </c>
      <c r="G110">
        <v>1</v>
      </c>
      <c r="H110">
        <v>3</v>
      </c>
      <c r="I110" t="s">
        <v>321</v>
      </c>
      <c r="J110" t="s">
        <v>4</v>
      </c>
      <c r="K110" t="s">
        <v>322</v>
      </c>
      <c r="L110">
        <v>1348</v>
      </c>
      <c r="N110">
        <v>1009</v>
      </c>
      <c r="O110" t="s">
        <v>58</v>
      </c>
      <c r="P110" t="s">
        <v>58</v>
      </c>
      <c r="Q110">
        <v>1000</v>
      </c>
      <c r="X110">
        <v>0.03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 t="s">
        <v>4</v>
      </c>
      <c r="AG110">
        <v>0.03</v>
      </c>
      <c r="AH110">
        <v>3</v>
      </c>
      <c r="AI110">
        <v>-1</v>
      </c>
      <c r="AJ110" t="s">
        <v>4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</row>
    <row r="111" spans="1:44" x14ac:dyDescent="0.2">
      <c r="A111">
        <f>ROW(Source!A65)</f>
        <v>65</v>
      </c>
      <c r="B111">
        <v>16501444</v>
      </c>
      <c r="C111">
        <v>16501427</v>
      </c>
      <c r="D111">
        <v>15162572</v>
      </c>
      <c r="E111">
        <v>17</v>
      </c>
      <c r="F111">
        <v>1</v>
      </c>
      <c r="G111">
        <v>1</v>
      </c>
      <c r="H111">
        <v>3</v>
      </c>
      <c r="I111" t="s">
        <v>319</v>
      </c>
      <c r="J111" t="s">
        <v>4</v>
      </c>
      <c r="K111" t="s">
        <v>320</v>
      </c>
      <c r="L111">
        <v>1348</v>
      </c>
      <c r="N111">
        <v>1009</v>
      </c>
      <c r="O111" t="s">
        <v>58</v>
      </c>
      <c r="P111" t="s">
        <v>58</v>
      </c>
      <c r="Q111">
        <v>1000</v>
      </c>
      <c r="X111">
        <v>0.02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 t="s">
        <v>4</v>
      </c>
      <c r="AG111">
        <v>0.02</v>
      </c>
      <c r="AH111">
        <v>3</v>
      </c>
      <c r="AI111">
        <v>-1</v>
      </c>
      <c r="AJ111" t="s">
        <v>4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</row>
    <row r="112" spans="1:44" x14ac:dyDescent="0.2">
      <c r="A112">
        <f>ROW(Source!A65)</f>
        <v>65</v>
      </c>
      <c r="B112">
        <v>16501445</v>
      </c>
      <c r="C112">
        <v>16501427</v>
      </c>
      <c r="D112">
        <v>15204737</v>
      </c>
      <c r="E112">
        <v>1</v>
      </c>
      <c r="F112">
        <v>1</v>
      </c>
      <c r="G112">
        <v>1</v>
      </c>
      <c r="H112">
        <v>3</v>
      </c>
      <c r="I112" t="s">
        <v>303</v>
      </c>
      <c r="J112" t="s">
        <v>304</v>
      </c>
      <c r="K112" t="s">
        <v>305</v>
      </c>
      <c r="L112">
        <v>1348</v>
      </c>
      <c r="N112">
        <v>1009</v>
      </c>
      <c r="O112" t="s">
        <v>58</v>
      </c>
      <c r="P112" t="s">
        <v>58</v>
      </c>
      <c r="Q112">
        <v>1000</v>
      </c>
      <c r="X112">
        <v>5.0999999999999997E-2</v>
      </c>
      <c r="Y112">
        <v>11397.1</v>
      </c>
      <c r="Z112">
        <v>0</v>
      </c>
      <c r="AA112">
        <v>0</v>
      </c>
      <c r="AB112">
        <v>0</v>
      </c>
      <c r="AC112">
        <v>0</v>
      </c>
      <c r="AD112">
        <v>1</v>
      </c>
      <c r="AE112">
        <v>0</v>
      </c>
      <c r="AF112" t="s">
        <v>4</v>
      </c>
      <c r="AG112">
        <v>5.0999999999999997E-2</v>
      </c>
      <c r="AH112">
        <v>2</v>
      </c>
      <c r="AI112">
        <v>16501434</v>
      </c>
      <c r="AJ112">
        <v>112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</row>
    <row r="113" spans="1:44" x14ac:dyDescent="0.2">
      <c r="A113">
        <f>ROW(Source!A70)</f>
        <v>70</v>
      </c>
      <c r="B113">
        <v>16501458</v>
      </c>
      <c r="C113">
        <v>16501448</v>
      </c>
      <c r="D113">
        <v>15436014</v>
      </c>
      <c r="E113">
        <v>1</v>
      </c>
      <c r="F113">
        <v>1</v>
      </c>
      <c r="G113">
        <v>1</v>
      </c>
      <c r="H113">
        <v>1</v>
      </c>
      <c r="I113" t="s">
        <v>298</v>
      </c>
      <c r="J113" t="s">
        <v>4</v>
      </c>
      <c r="K113" t="s">
        <v>299</v>
      </c>
      <c r="L113">
        <v>1191</v>
      </c>
      <c r="N113">
        <v>1013</v>
      </c>
      <c r="O113" t="s">
        <v>252</v>
      </c>
      <c r="P113" t="s">
        <v>252</v>
      </c>
      <c r="Q113">
        <v>1</v>
      </c>
      <c r="X113">
        <v>63</v>
      </c>
      <c r="Y113">
        <v>0</v>
      </c>
      <c r="Z113">
        <v>0</v>
      </c>
      <c r="AA113">
        <v>0</v>
      </c>
      <c r="AB113">
        <v>8.74</v>
      </c>
      <c r="AC113">
        <v>0</v>
      </c>
      <c r="AD113">
        <v>1</v>
      </c>
      <c r="AE113">
        <v>1</v>
      </c>
      <c r="AF113" t="s">
        <v>30</v>
      </c>
      <c r="AG113">
        <v>72.449999999999989</v>
      </c>
      <c r="AH113">
        <v>2</v>
      </c>
      <c r="AI113">
        <v>16501449</v>
      </c>
      <c r="AJ113">
        <v>113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</row>
    <row r="114" spans="1:44" x14ac:dyDescent="0.2">
      <c r="A114">
        <f>ROW(Source!A70)</f>
        <v>70</v>
      </c>
      <c r="B114">
        <v>16501459</v>
      </c>
      <c r="C114">
        <v>16501448</v>
      </c>
      <c r="D114">
        <v>15430395</v>
      </c>
      <c r="E114">
        <v>1</v>
      </c>
      <c r="F114">
        <v>1</v>
      </c>
      <c r="G114">
        <v>1</v>
      </c>
      <c r="H114">
        <v>1</v>
      </c>
      <c r="I114" t="s">
        <v>253</v>
      </c>
      <c r="J114" t="s">
        <v>4</v>
      </c>
      <c r="K114" t="s">
        <v>254</v>
      </c>
      <c r="L114">
        <v>1191</v>
      </c>
      <c r="N114">
        <v>1013</v>
      </c>
      <c r="O114" t="s">
        <v>252</v>
      </c>
      <c r="P114" t="s">
        <v>252</v>
      </c>
      <c r="Q114">
        <v>1</v>
      </c>
      <c r="X114">
        <v>0.18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1</v>
      </c>
      <c r="AE114">
        <v>2</v>
      </c>
      <c r="AF114" t="s">
        <v>29</v>
      </c>
      <c r="AG114">
        <v>0.22499999999999998</v>
      </c>
      <c r="AH114">
        <v>2</v>
      </c>
      <c r="AI114">
        <v>16501450</v>
      </c>
      <c r="AJ114">
        <v>114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</row>
    <row r="115" spans="1:44" x14ac:dyDescent="0.2">
      <c r="A115">
        <f>ROW(Source!A70)</f>
        <v>70</v>
      </c>
      <c r="B115">
        <v>16501460</v>
      </c>
      <c r="C115">
        <v>16501448</v>
      </c>
      <c r="D115">
        <v>15247970</v>
      </c>
      <c r="E115">
        <v>1</v>
      </c>
      <c r="F115">
        <v>1</v>
      </c>
      <c r="G115">
        <v>1</v>
      </c>
      <c r="H115">
        <v>2</v>
      </c>
      <c r="I115" t="s">
        <v>261</v>
      </c>
      <c r="J115" t="s">
        <v>262</v>
      </c>
      <c r="K115" t="s">
        <v>263</v>
      </c>
      <c r="L115">
        <v>1368</v>
      </c>
      <c r="N115">
        <v>1011</v>
      </c>
      <c r="O115" t="s">
        <v>258</v>
      </c>
      <c r="P115" t="s">
        <v>258</v>
      </c>
      <c r="Q115">
        <v>1</v>
      </c>
      <c r="X115">
        <v>0.02</v>
      </c>
      <c r="Y115">
        <v>0</v>
      </c>
      <c r="Z115">
        <v>27.66</v>
      </c>
      <c r="AA115">
        <v>11.6</v>
      </c>
      <c r="AB115">
        <v>0</v>
      </c>
      <c r="AC115">
        <v>0</v>
      </c>
      <c r="AD115">
        <v>1</v>
      </c>
      <c r="AE115">
        <v>0</v>
      </c>
      <c r="AF115" t="s">
        <v>29</v>
      </c>
      <c r="AG115">
        <v>2.5000000000000001E-2</v>
      </c>
      <c r="AH115">
        <v>2</v>
      </c>
      <c r="AI115">
        <v>16501451</v>
      </c>
      <c r="AJ115">
        <v>115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</row>
    <row r="116" spans="1:44" x14ac:dyDescent="0.2">
      <c r="A116">
        <f>ROW(Source!A70)</f>
        <v>70</v>
      </c>
      <c r="B116">
        <v>16501461</v>
      </c>
      <c r="C116">
        <v>16501448</v>
      </c>
      <c r="D116">
        <v>15249073</v>
      </c>
      <c r="E116">
        <v>1</v>
      </c>
      <c r="F116">
        <v>1</v>
      </c>
      <c r="G116">
        <v>1</v>
      </c>
      <c r="H116">
        <v>2</v>
      </c>
      <c r="I116" t="s">
        <v>264</v>
      </c>
      <c r="J116" t="s">
        <v>265</v>
      </c>
      <c r="K116" t="s">
        <v>266</v>
      </c>
      <c r="L116">
        <v>1368</v>
      </c>
      <c r="N116">
        <v>1011</v>
      </c>
      <c r="O116" t="s">
        <v>258</v>
      </c>
      <c r="P116" t="s">
        <v>258</v>
      </c>
      <c r="Q116">
        <v>1</v>
      </c>
      <c r="X116">
        <v>0.16</v>
      </c>
      <c r="Y116">
        <v>0</v>
      </c>
      <c r="Z116">
        <v>65.709999999999994</v>
      </c>
      <c r="AA116">
        <v>11.6</v>
      </c>
      <c r="AB116">
        <v>0</v>
      </c>
      <c r="AC116">
        <v>0</v>
      </c>
      <c r="AD116">
        <v>1</v>
      </c>
      <c r="AE116">
        <v>0</v>
      </c>
      <c r="AF116" t="s">
        <v>29</v>
      </c>
      <c r="AG116">
        <v>0.2</v>
      </c>
      <c r="AH116">
        <v>2</v>
      </c>
      <c r="AI116">
        <v>16501452</v>
      </c>
      <c r="AJ116">
        <v>116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</row>
    <row r="117" spans="1:44" x14ac:dyDescent="0.2">
      <c r="A117">
        <f>ROW(Source!A70)</f>
        <v>70</v>
      </c>
      <c r="B117">
        <v>16501462</v>
      </c>
      <c r="C117">
        <v>16501448</v>
      </c>
      <c r="D117">
        <v>15170682</v>
      </c>
      <c r="E117">
        <v>1</v>
      </c>
      <c r="F117">
        <v>1</v>
      </c>
      <c r="G117">
        <v>1</v>
      </c>
      <c r="H117">
        <v>3</v>
      </c>
      <c r="I117" t="s">
        <v>300</v>
      </c>
      <c r="J117" t="s">
        <v>301</v>
      </c>
      <c r="K117" t="s">
        <v>302</v>
      </c>
      <c r="L117">
        <v>1327</v>
      </c>
      <c r="N117">
        <v>1005</v>
      </c>
      <c r="O117" t="s">
        <v>50</v>
      </c>
      <c r="P117" t="s">
        <v>50</v>
      </c>
      <c r="Q117">
        <v>1</v>
      </c>
      <c r="X117">
        <v>0.84</v>
      </c>
      <c r="Y117">
        <v>72.319999999999993</v>
      </c>
      <c r="Z117">
        <v>0</v>
      </c>
      <c r="AA117">
        <v>0</v>
      </c>
      <c r="AB117">
        <v>0</v>
      </c>
      <c r="AC117">
        <v>0</v>
      </c>
      <c r="AD117">
        <v>1</v>
      </c>
      <c r="AE117">
        <v>0</v>
      </c>
      <c r="AF117" t="s">
        <v>4</v>
      </c>
      <c r="AG117">
        <v>0.84</v>
      </c>
      <c r="AH117">
        <v>2</v>
      </c>
      <c r="AI117">
        <v>16501453</v>
      </c>
      <c r="AJ117">
        <v>117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</row>
    <row r="118" spans="1:44" x14ac:dyDescent="0.2">
      <c r="A118">
        <f>ROW(Source!A70)</f>
        <v>70</v>
      </c>
      <c r="B118">
        <v>16501463</v>
      </c>
      <c r="C118">
        <v>16501448</v>
      </c>
      <c r="D118">
        <v>15171018</v>
      </c>
      <c r="E118">
        <v>1</v>
      </c>
      <c r="F118">
        <v>1</v>
      </c>
      <c r="G118">
        <v>1</v>
      </c>
      <c r="H118">
        <v>3</v>
      </c>
      <c r="I118" t="s">
        <v>280</v>
      </c>
      <c r="J118" t="s">
        <v>281</v>
      </c>
      <c r="K118" t="s">
        <v>282</v>
      </c>
      <c r="L118">
        <v>1346</v>
      </c>
      <c r="N118">
        <v>1009</v>
      </c>
      <c r="O118" t="s">
        <v>277</v>
      </c>
      <c r="P118" t="s">
        <v>277</v>
      </c>
      <c r="Q118">
        <v>1</v>
      </c>
      <c r="X118">
        <v>0.31</v>
      </c>
      <c r="Y118">
        <v>1.82</v>
      </c>
      <c r="Z118">
        <v>0</v>
      </c>
      <c r="AA118">
        <v>0</v>
      </c>
      <c r="AB118">
        <v>0</v>
      </c>
      <c r="AC118">
        <v>0</v>
      </c>
      <c r="AD118">
        <v>1</v>
      </c>
      <c r="AE118">
        <v>0</v>
      </c>
      <c r="AF118" t="s">
        <v>4</v>
      </c>
      <c r="AG118">
        <v>0.31</v>
      </c>
      <c r="AH118">
        <v>2</v>
      </c>
      <c r="AI118">
        <v>16501454</v>
      </c>
      <c r="AJ118">
        <v>118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</row>
    <row r="119" spans="1:44" x14ac:dyDescent="0.2">
      <c r="A119">
        <f>ROW(Source!A70)</f>
        <v>70</v>
      </c>
      <c r="B119">
        <v>16501464</v>
      </c>
      <c r="C119">
        <v>16501448</v>
      </c>
      <c r="D119">
        <v>15163054</v>
      </c>
      <c r="E119">
        <v>17</v>
      </c>
      <c r="F119">
        <v>1</v>
      </c>
      <c r="G119">
        <v>1</v>
      </c>
      <c r="H119">
        <v>3</v>
      </c>
      <c r="I119" t="s">
        <v>321</v>
      </c>
      <c r="J119" t="s">
        <v>4</v>
      </c>
      <c r="K119" t="s">
        <v>322</v>
      </c>
      <c r="L119">
        <v>1348</v>
      </c>
      <c r="N119">
        <v>1009</v>
      </c>
      <c r="O119" t="s">
        <v>58</v>
      </c>
      <c r="P119" t="s">
        <v>58</v>
      </c>
      <c r="Q119">
        <v>1000</v>
      </c>
      <c r="X119">
        <v>3.3000000000000002E-2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 t="s">
        <v>4</v>
      </c>
      <c r="AG119">
        <v>3.3000000000000002E-2</v>
      </c>
      <c r="AH119">
        <v>3</v>
      </c>
      <c r="AI119">
        <v>-1</v>
      </c>
      <c r="AJ119" t="s">
        <v>4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</row>
    <row r="120" spans="1:44" x14ac:dyDescent="0.2">
      <c r="A120">
        <f>ROW(Source!A70)</f>
        <v>70</v>
      </c>
      <c r="B120">
        <v>16501465</v>
      </c>
      <c r="C120">
        <v>16501448</v>
      </c>
      <c r="D120">
        <v>15162572</v>
      </c>
      <c r="E120">
        <v>17</v>
      </c>
      <c r="F120">
        <v>1</v>
      </c>
      <c r="G120">
        <v>1</v>
      </c>
      <c r="H120">
        <v>3</v>
      </c>
      <c r="I120" t="s">
        <v>319</v>
      </c>
      <c r="J120" t="s">
        <v>4</v>
      </c>
      <c r="K120" t="s">
        <v>320</v>
      </c>
      <c r="L120">
        <v>1348</v>
      </c>
      <c r="N120">
        <v>1009</v>
      </c>
      <c r="O120" t="s">
        <v>58</v>
      </c>
      <c r="P120" t="s">
        <v>58</v>
      </c>
      <c r="Q120">
        <v>1000</v>
      </c>
      <c r="X120">
        <v>2.1999999999999999E-2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 t="s">
        <v>4</v>
      </c>
      <c r="AG120">
        <v>2.1999999999999999E-2</v>
      </c>
      <c r="AH120">
        <v>3</v>
      </c>
      <c r="AI120">
        <v>-1</v>
      </c>
      <c r="AJ120" t="s">
        <v>4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</row>
    <row r="121" spans="1:44" x14ac:dyDescent="0.2">
      <c r="A121">
        <f>ROW(Source!A70)</f>
        <v>70</v>
      </c>
      <c r="B121">
        <v>16501466</v>
      </c>
      <c r="C121">
        <v>16501448</v>
      </c>
      <c r="D121">
        <v>15204737</v>
      </c>
      <c r="E121">
        <v>1</v>
      </c>
      <c r="F121">
        <v>1</v>
      </c>
      <c r="G121">
        <v>1</v>
      </c>
      <c r="H121">
        <v>3</v>
      </c>
      <c r="I121" t="s">
        <v>303</v>
      </c>
      <c r="J121" t="s">
        <v>304</v>
      </c>
      <c r="K121" t="s">
        <v>305</v>
      </c>
      <c r="L121">
        <v>1348</v>
      </c>
      <c r="N121">
        <v>1009</v>
      </c>
      <c r="O121" t="s">
        <v>58</v>
      </c>
      <c r="P121" t="s">
        <v>58</v>
      </c>
      <c r="Q121">
        <v>1000</v>
      </c>
      <c r="X121">
        <v>5.5E-2</v>
      </c>
      <c r="Y121">
        <v>11397.1</v>
      </c>
      <c r="Z121">
        <v>0</v>
      </c>
      <c r="AA121">
        <v>0</v>
      </c>
      <c r="AB121">
        <v>0</v>
      </c>
      <c r="AC121">
        <v>0</v>
      </c>
      <c r="AD121">
        <v>1</v>
      </c>
      <c r="AE121">
        <v>0</v>
      </c>
      <c r="AF121" t="s">
        <v>4</v>
      </c>
      <c r="AG121">
        <v>5.5E-2</v>
      </c>
      <c r="AH121">
        <v>2</v>
      </c>
      <c r="AI121">
        <v>16501455</v>
      </c>
      <c r="AJ121">
        <v>121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</row>
    <row r="122" spans="1:44" x14ac:dyDescent="0.2">
      <c r="A122">
        <f>ROW(Source!A71)</f>
        <v>71</v>
      </c>
      <c r="B122">
        <v>16501458</v>
      </c>
      <c r="C122">
        <v>16501448</v>
      </c>
      <c r="D122">
        <v>15436014</v>
      </c>
      <c r="E122">
        <v>1</v>
      </c>
      <c r="F122">
        <v>1</v>
      </c>
      <c r="G122">
        <v>1</v>
      </c>
      <c r="H122">
        <v>1</v>
      </c>
      <c r="I122" t="s">
        <v>298</v>
      </c>
      <c r="J122" t="s">
        <v>4</v>
      </c>
      <c r="K122" t="s">
        <v>299</v>
      </c>
      <c r="L122">
        <v>1191</v>
      </c>
      <c r="N122">
        <v>1013</v>
      </c>
      <c r="O122" t="s">
        <v>252</v>
      </c>
      <c r="P122" t="s">
        <v>252</v>
      </c>
      <c r="Q122">
        <v>1</v>
      </c>
      <c r="X122">
        <v>63</v>
      </c>
      <c r="Y122">
        <v>0</v>
      </c>
      <c r="Z122">
        <v>0</v>
      </c>
      <c r="AA122">
        <v>0</v>
      </c>
      <c r="AB122">
        <v>8.74</v>
      </c>
      <c r="AC122">
        <v>0</v>
      </c>
      <c r="AD122">
        <v>1</v>
      </c>
      <c r="AE122">
        <v>1</v>
      </c>
      <c r="AF122" t="s">
        <v>30</v>
      </c>
      <c r="AG122">
        <v>72.449999999999989</v>
      </c>
      <c r="AH122">
        <v>2</v>
      </c>
      <c r="AI122">
        <v>16501449</v>
      </c>
      <c r="AJ122">
        <v>122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</row>
    <row r="123" spans="1:44" x14ac:dyDescent="0.2">
      <c r="A123">
        <f>ROW(Source!A71)</f>
        <v>71</v>
      </c>
      <c r="B123">
        <v>16501459</v>
      </c>
      <c r="C123">
        <v>16501448</v>
      </c>
      <c r="D123">
        <v>15430395</v>
      </c>
      <c r="E123">
        <v>1</v>
      </c>
      <c r="F123">
        <v>1</v>
      </c>
      <c r="G123">
        <v>1</v>
      </c>
      <c r="H123">
        <v>1</v>
      </c>
      <c r="I123" t="s">
        <v>253</v>
      </c>
      <c r="J123" t="s">
        <v>4</v>
      </c>
      <c r="K123" t="s">
        <v>254</v>
      </c>
      <c r="L123">
        <v>1191</v>
      </c>
      <c r="N123">
        <v>1013</v>
      </c>
      <c r="O123" t="s">
        <v>252</v>
      </c>
      <c r="P123" t="s">
        <v>252</v>
      </c>
      <c r="Q123">
        <v>1</v>
      </c>
      <c r="X123">
        <v>0.18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1</v>
      </c>
      <c r="AE123">
        <v>2</v>
      </c>
      <c r="AF123" t="s">
        <v>29</v>
      </c>
      <c r="AG123">
        <v>0.22499999999999998</v>
      </c>
      <c r="AH123">
        <v>2</v>
      </c>
      <c r="AI123">
        <v>16501450</v>
      </c>
      <c r="AJ123">
        <v>123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</row>
    <row r="124" spans="1:44" x14ac:dyDescent="0.2">
      <c r="A124">
        <f>ROW(Source!A71)</f>
        <v>71</v>
      </c>
      <c r="B124">
        <v>16501460</v>
      </c>
      <c r="C124">
        <v>16501448</v>
      </c>
      <c r="D124">
        <v>15247970</v>
      </c>
      <c r="E124">
        <v>1</v>
      </c>
      <c r="F124">
        <v>1</v>
      </c>
      <c r="G124">
        <v>1</v>
      </c>
      <c r="H124">
        <v>2</v>
      </c>
      <c r="I124" t="s">
        <v>261</v>
      </c>
      <c r="J124" t="s">
        <v>262</v>
      </c>
      <c r="K124" t="s">
        <v>263</v>
      </c>
      <c r="L124">
        <v>1368</v>
      </c>
      <c r="N124">
        <v>1011</v>
      </c>
      <c r="O124" t="s">
        <v>258</v>
      </c>
      <c r="P124" t="s">
        <v>258</v>
      </c>
      <c r="Q124">
        <v>1</v>
      </c>
      <c r="X124">
        <v>0.02</v>
      </c>
      <c r="Y124">
        <v>0</v>
      </c>
      <c r="Z124">
        <v>27.66</v>
      </c>
      <c r="AA124">
        <v>11.6</v>
      </c>
      <c r="AB124">
        <v>0</v>
      </c>
      <c r="AC124">
        <v>0</v>
      </c>
      <c r="AD124">
        <v>1</v>
      </c>
      <c r="AE124">
        <v>0</v>
      </c>
      <c r="AF124" t="s">
        <v>29</v>
      </c>
      <c r="AG124">
        <v>2.5000000000000001E-2</v>
      </c>
      <c r="AH124">
        <v>2</v>
      </c>
      <c r="AI124">
        <v>16501451</v>
      </c>
      <c r="AJ124">
        <v>124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</row>
    <row r="125" spans="1:44" x14ac:dyDescent="0.2">
      <c r="A125">
        <f>ROW(Source!A71)</f>
        <v>71</v>
      </c>
      <c r="B125">
        <v>16501461</v>
      </c>
      <c r="C125">
        <v>16501448</v>
      </c>
      <c r="D125">
        <v>15249073</v>
      </c>
      <c r="E125">
        <v>1</v>
      </c>
      <c r="F125">
        <v>1</v>
      </c>
      <c r="G125">
        <v>1</v>
      </c>
      <c r="H125">
        <v>2</v>
      </c>
      <c r="I125" t="s">
        <v>264</v>
      </c>
      <c r="J125" t="s">
        <v>265</v>
      </c>
      <c r="K125" t="s">
        <v>266</v>
      </c>
      <c r="L125">
        <v>1368</v>
      </c>
      <c r="N125">
        <v>1011</v>
      </c>
      <c r="O125" t="s">
        <v>258</v>
      </c>
      <c r="P125" t="s">
        <v>258</v>
      </c>
      <c r="Q125">
        <v>1</v>
      </c>
      <c r="X125">
        <v>0.16</v>
      </c>
      <c r="Y125">
        <v>0</v>
      </c>
      <c r="Z125">
        <v>65.709999999999994</v>
      </c>
      <c r="AA125">
        <v>11.6</v>
      </c>
      <c r="AB125">
        <v>0</v>
      </c>
      <c r="AC125">
        <v>0</v>
      </c>
      <c r="AD125">
        <v>1</v>
      </c>
      <c r="AE125">
        <v>0</v>
      </c>
      <c r="AF125" t="s">
        <v>29</v>
      </c>
      <c r="AG125">
        <v>0.2</v>
      </c>
      <c r="AH125">
        <v>2</v>
      </c>
      <c r="AI125">
        <v>16501452</v>
      </c>
      <c r="AJ125">
        <v>125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</row>
    <row r="126" spans="1:44" x14ac:dyDescent="0.2">
      <c r="A126">
        <f>ROW(Source!A71)</f>
        <v>71</v>
      </c>
      <c r="B126">
        <v>16501462</v>
      </c>
      <c r="C126">
        <v>16501448</v>
      </c>
      <c r="D126">
        <v>15170682</v>
      </c>
      <c r="E126">
        <v>1</v>
      </c>
      <c r="F126">
        <v>1</v>
      </c>
      <c r="G126">
        <v>1</v>
      </c>
      <c r="H126">
        <v>3</v>
      </c>
      <c r="I126" t="s">
        <v>300</v>
      </c>
      <c r="J126" t="s">
        <v>301</v>
      </c>
      <c r="K126" t="s">
        <v>302</v>
      </c>
      <c r="L126">
        <v>1327</v>
      </c>
      <c r="N126">
        <v>1005</v>
      </c>
      <c r="O126" t="s">
        <v>50</v>
      </c>
      <c r="P126" t="s">
        <v>50</v>
      </c>
      <c r="Q126">
        <v>1</v>
      </c>
      <c r="X126">
        <v>0.84</v>
      </c>
      <c r="Y126">
        <v>72.319999999999993</v>
      </c>
      <c r="Z126">
        <v>0</v>
      </c>
      <c r="AA126">
        <v>0</v>
      </c>
      <c r="AB126">
        <v>0</v>
      </c>
      <c r="AC126">
        <v>0</v>
      </c>
      <c r="AD126">
        <v>1</v>
      </c>
      <c r="AE126">
        <v>0</v>
      </c>
      <c r="AF126" t="s">
        <v>4</v>
      </c>
      <c r="AG126">
        <v>0.84</v>
      </c>
      <c r="AH126">
        <v>2</v>
      </c>
      <c r="AI126">
        <v>16501453</v>
      </c>
      <c r="AJ126">
        <v>126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</row>
    <row r="127" spans="1:44" x14ac:dyDescent="0.2">
      <c r="A127">
        <f>ROW(Source!A71)</f>
        <v>71</v>
      </c>
      <c r="B127">
        <v>16501463</v>
      </c>
      <c r="C127">
        <v>16501448</v>
      </c>
      <c r="D127">
        <v>15171018</v>
      </c>
      <c r="E127">
        <v>1</v>
      </c>
      <c r="F127">
        <v>1</v>
      </c>
      <c r="G127">
        <v>1</v>
      </c>
      <c r="H127">
        <v>3</v>
      </c>
      <c r="I127" t="s">
        <v>280</v>
      </c>
      <c r="J127" t="s">
        <v>281</v>
      </c>
      <c r="K127" t="s">
        <v>282</v>
      </c>
      <c r="L127">
        <v>1346</v>
      </c>
      <c r="N127">
        <v>1009</v>
      </c>
      <c r="O127" t="s">
        <v>277</v>
      </c>
      <c r="P127" t="s">
        <v>277</v>
      </c>
      <c r="Q127">
        <v>1</v>
      </c>
      <c r="X127">
        <v>0.31</v>
      </c>
      <c r="Y127">
        <v>1.82</v>
      </c>
      <c r="Z127">
        <v>0</v>
      </c>
      <c r="AA127">
        <v>0</v>
      </c>
      <c r="AB127">
        <v>0</v>
      </c>
      <c r="AC127">
        <v>0</v>
      </c>
      <c r="AD127">
        <v>1</v>
      </c>
      <c r="AE127">
        <v>0</v>
      </c>
      <c r="AF127" t="s">
        <v>4</v>
      </c>
      <c r="AG127">
        <v>0.31</v>
      </c>
      <c r="AH127">
        <v>2</v>
      </c>
      <c r="AI127">
        <v>16501454</v>
      </c>
      <c r="AJ127">
        <v>127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</row>
    <row r="128" spans="1:44" x14ac:dyDescent="0.2">
      <c r="A128">
        <f>ROW(Source!A71)</f>
        <v>71</v>
      </c>
      <c r="B128">
        <v>16501464</v>
      </c>
      <c r="C128">
        <v>16501448</v>
      </c>
      <c r="D128">
        <v>15163054</v>
      </c>
      <c r="E128">
        <v>17</v>
      </c>
      <c r="F128">
        <v>1</v>
      </c>
      <c r="G128">
        <v>1</v>
      </c>
      <c r="H128">
        <v>3</v>
      </c>
      <c r="I128" t="s">
        <v>321</v>
      </c>
      <c r="J128" t="s">
        <v>4</v>
      </c>
      <c r="K128" t="s">
        <v>322</v>
      </c>
      <c r="L128">
        <v>1348</v>
      </c>
      <c r="N128">
        <v>1009</v>
      </c>
      <c r="O128" t="s">
        <v>58</v>
      </c>
      <c r="P128" t="s">
        <v>58</v>
      </c>
      <c r="Q128">
        <v>1000</v>
      </c>
      <c r="X128">
        <v>3.3000000000000002E-2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 t="s">
        <v>4</v>
      </c>
      <c r="AG128">
        <v>3.3000000000000002E-2</v>
      </c>
      <c r="AH128">
        <v>3</v>
      </c>
      <c r="AI128">
        <v>-1</v>
      </c>
      <c r="AJ128" t="s">
        <v>4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</row>
    <row r="129" spans="1:44" x14ac:dyDescent="0.2">
      <c r="A129">
        <f>ROW(Source!A71)</f>
        <v>71</v>
      </c>
      <c r="B129">
        <v>16501465</v>
      </c>
      <c r="C129">
        <v>16501448</v>
      </c>
      <c r="D129">
        <v>15162572</v>
      </c>
      <c r="E129">
        <v>17</v>
      </c>
      <c r="F129">
        <v>1</v>
      </c>
      <c r="G129">
        <v>1</v>
      </c>
      <c r="H129">
        <v>3</v>
      </c>
      <c r="I129" t="s">
        <v>319</v>
      </c>
      <c r="J129" t="s">
        <v>4</v>
      </c>
      <c r="K129" t="s">
        <v>320</v>
      </c>
      <c r="L129">
        <v>1348</v>
      </c>
      <c r="N129">
        <v>1009</v>
      </c>
      <c r="O129" t="s">
        <v>58</v>
      </c>
      <c r="P129" t="s">
        <v>58</v>
      </c>
      <c r="Q129">
        <v>1000</v>
      </c>
      <c r="X129">
        <v>2.1999999999999999E-2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0</v>
      </c>
      <c r="AE129">
        <v>0</v>
      </c>
      <c r="AF129" t="s">
        <v>4</v>
      </c>
      <c r="AG129">
        <v>2.1999999999999999E-2</v>
      </c>
      <c r="AH129">
        <v>3</v>
      </c>
      <c r="AI129">
        <v>-1</v>
      </c>
      <c r="AJ129" t="s">
        <v>4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</row>
    <row r="130" spans="1:44" x14ac:dyDescent="0.2">
      <c r="A130">
        <f>ROW(Source!A71)</f>
        <v>71</v>
      </c>
      <c r="B130">
        <v>16501466</v>
      </c>
      <c r="C130">
        <v>16501448</v>
      </c>
      <c r="D130">
        <v>15204737</v>
      </c>
      <c r="E130">
        <v>1</v>
      </c>
      <c r="F130">
        <v>1</v>
      </c>
      <c r="G130">
        <v>1</v>
      </c>
      <c r="H130">
        <v>3</v>
      </c>
      <c r="I130" t="s">
        <v>303</v>
      </c>
      <c r="J130" t="s">
        <v>304</v>
      </c>
      <c r="K130" t="s">
        <v>305</v>
      </c>
      <c r="L130">
        <v>1348</v>
      </c>
      <c r="N130">
        <v>1009</v>
      </c>
      <c r="O130" t="s">
        <v>58</v>
      </c>
      <c r="P130" t="s">
        <v>58</v>
      </c>
      <c r="Q130">
        <v>1000</v>
      </c>
      <c r="X130">
        <v>5.5E-2</v>
      </c>
      <c r="Y130">
        <v>11397.1</v>
      </c>
      <c r="Z130">
        <v>0</v>
      </c>
      <c r="AA130">
        <v>0</v>
      </c>
      <c r="AB130">
        <v>0</v>
      </c>
      <c r="AC130">
        <v>0</v>
      </c>
      <c r="AD130">
        <v>1</v>
      </c>
      <c r="AE130">
        <v>0</v>
      </c>
      <c r="AF130" t="s">
        <v>4</v>
      </c>
      <c r="AG130">
        <v>5.5E-2</v>
      </c>
      <c r="AH130">
        <v>2</v>
      </c>
      <c r="AI130">
        <v>16501455</v>
      </c>
      <c r="AJ130">
        <v>130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4</vt:i4>
      </vt:variant>
    </vt:vector>
  </HeadingPairs>
  <TitlesOfParts>
    <vt:vector size="10" baseType="lpstr">
      <vt:lpstr>Смета 12 гр. по ФЕР</vt:lpstr>
      <vt:lpstr>Акт КС-2 c НР и СП</vt:lpstr>
      <vt:lpstr>Source</vt:lpstr>
      <vt:lpstr>SourceObSm</vt:lpstr>
      <vt:lpstr>SmtRes</vt:lpstr>
      <vt:lpstr>EtalonRes</vt:lpstr>
      <vt:lpstr>'Акт КС-2 c НР и СП'!Заголовки_для_печати</vt:lpstr>
      <vt:lpstr>'Смета 12 гр. по ФЕР'!Заголовки_для_печати</vt:lpstr>
      <vt:lpstr>'Акт КС-2 c НР и СП'!Область_печати</vt:lpstr>
      <vt:lpstr>'Смета 12 гр. по ФЕР'!Область_печати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STR45-200-12</dc:creator>
  <cp:lastModifiedBy>user</cp:lastModifiedBy>
  <cp:lastPrinted>2018-07-02T13:20:48Z</cp:lastPrinted>
  <dcterms:created xsi:type="dcterms:W3CDTF">2018-05-10T12:20:56Z</dcterms:created>
  <dcterms:modified xsi:type="dcterms:W3CDTF">2018-07-18T13:33:01Z</dcterms:modified>
</cp:coreProperties>
</file>