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Пом 35\Эл пл\"/>
    </mc:Choice>
  </mc:AlternateContent>
  <bookViews>
    <workbookView xWindow="0" yWindow="0" windowWidth="24750" windowHeight="1243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ФЕР'!$26:$26</definedName>
    <definedName name="_xlnm.Print_Area" localSheetId="1">'Акт КС-2 c НР и СП'!$A$1:$H$239</definedName>
    <definedName name="_xlnm.Print_Area" localSheetId="0">'Смета 12 гр. по ФЕР'!$A$1:$L$149</definedName>
  </definedNames>
  <calcPr calcId="152511"/>
</workbook>
</file>

<file path=xl/calcChain.xml><?xml version="1.0" encoding="utf-8"?>
<calcChain xmlns="http://schemas.openxmlformats.org/spreadsheetml/2006/main">
  <c r="G234" i="6" l="1"/>
  <c r="G229" i="6"/>
  <c r="C234" i="6"/>
  <c r="C229" i="6"/>
  <c r="C226" i="6"/>
  <c r="C225" i="6"/>
  <c r="C224" i="6"/>
  <c r="C220" i="6"/>
  <c r="C219" i="6"/>
  <c r="C218" i="6"/>
  <c r="D213" i="6"/>
  <c r="E212" i="6"/>
  <c r="C212" i="6"/>
  <c r="D212" i="6"/>
  <c r="B212" i="6"/>
  <c r="D211" i="6"/>
  <c r="E210" i="6"/>
  <c r="C210" i="6"/>
  <c r="D210" i="6"/>
  <c r="B210" i="6"/>
  <c r="H208" i="6"/>
  <c r="G208" i="6"/>
  <c r="F207" i="6"/>
  <c r="H206" i="6"/>
  <c r="G206" i="6"/>
  <c r="F205" i="6"/>
  <c r="D199" i="6"/>
  <c r="D198" i="6"/>
  <c r="D197" i="6"/>
  <c r="D196" i="6"/>
  <c r="E194" i="6"/>
  <c r="C194" i="6"/>
  <c r="D194" i="6"/>
  <c r="B194" i="6"/>
  <c r="D193" i="6"/>
  <c r="E192" i="6"/>
  <c r="C192" i="6"/>
  <c r="D192" i="6"/>
  <c r="B192" i="6"/>
  <c r="D191" i="6"/>
  <c r="E190" i="6"/>
  <c r="C190" i="6"/>
  <c r="D190" i="6"/>
  <c r="B190" i="6"/>
  <c r="H188" i="6"/>
  <c r="G188" i="6"/>
  <c r="F187" i="6"/>
  <c r="H186" i="6"/>
  <c r="G186" i="6"/>
  <c r="F185" i="6"/>
  <c r="D179" i="6"/>
  <c r="D178" i="6"/>
  <c r="D177" i="6"/>
  <c r="D176" i="6"/>
  <c r="E174" i="6"/>
  <c r="C174" i="6"/>
  <c r="D174" i="6"/>
  <c r="B174" i="6"/>
  <c r="D173" i="6"/>
  <c r="E172" i="6"/>
  <c r="C172" i="6"/>
  <c r="D172" i="6"/>
  <c r="B172" i="6"/>
  <c r="D171" i="6"/>
  <c r="E170" i="6"/>
  <c r="C170" i="6"/>
  <c r="D170" i="6"/>
  <c r="B170" i="6"/>
  <c r="H168" i="6"/>
  <c r="G168" i="6"/>
  <c r="F167" i="6"/>
  <c r="H166" i="6"/>
  <c r="G166" i="6"/>
  <c r="F165" i="6"/>
  <c r="D159" i="6"/>
  <c r="D158" i="6"/>
  <c r="D157" i="6"/>
  <c r="D156" i="6"/>
  <c r="E154" i="6"/>
  <c r="C154" i="6"/>
  <c r="D154" i="6"/>
  <c r="B154" i="6"/>
  <c r="H152" i="6"/>
  <c r="G152" i="6"/>
  <c r="F151" i="6"/>
  <c r="H150" i="6"/>
  <c r="G150" i="6"/>
  <c r="F149" i="6"/>
  <c r="D143" i="6"/>
  <c r="D142" i="6"/>
  <c r="D141" i="6"/>
  <c r="D140" i="6"/>
  <c r="F139" i="6"/>
  <c r="E139" i="6"/>
  <c r="C139" i="6"/>
  <c r="D139" i="6"/>
  <c r="B139" i="6"/>
  <c r="D138" i="6"/>
  <c r="E137" i="6"/>
  <c r="C137" i="6"/>
  <c r="D137" i="6"/>
  <c r="B137" i="6"/>
  <c r="D136" i="6"/>
  <c r="E135" i="6"/>
  <c r="C135" i="6"/>
  <c r="D135" i="6"/>
  <c r="B135" i="6"/>
  <c r="D134" i="6"/>
  <c r="E133" i="6"/>
  <c r="C133" i="6"/>
  <c r="D133" i="6"/>
  <c r="B133" i="6"/>
  <c r="D132" i="6"/>
  <c r="E131" i="6"/>
  <c r="C131" i="6"/>
  <c r="D131" i="6"/>
  <c r="B131" i="6"/>
  <c r="D130" i="6"/>
  <c r="E129" i="6"/>
  <c r="C129" i="6"/>
  <c r="D129" i="6"/>
  <c r="B129" i="6"/>
  <c r="D128" i="6"/>
  <c r="E127" i="6"/>
  <c r="C127" i="6"/>
  <c r="D127" i="6"/>
  <c r="B127" i="6"/>
  <c r="H125" i="6"/>
  <c r="G125" i="6"/>
  <c r="F124" i="6"/>
  <c r="H123" i="6"/>
  <c r="G123" i="6"/>
  <c r="F122" i="6"/>
  <c r="D116" i="6"/>
  <c r="D115" i="6"/>
  <c r="D114" i="6"/>
  <c r="D113" i="6"/>
  <c r="E111" i="6"/>
  <c r="C111" i="6"/>
  <c r="D111" i="6"/>
  <c r="B111" i="6"/>
  <c r="D110" i="6"/>
  <c r="E109" i="6"/>
  <c r="C109" i="6"/>
  <c r="D109" i="6"/>
  <c r="B109" i="6"/>
  <c r="D108" i="6"/>
  <c r="E107" i="6"/>
  <c r="C107" i="6"/>
  <c r="D107" i="6"/>
  <c r="B107" i="6"/>
  <c r="D106" i="6"/>
  <c r="E105" i="6"/>
  <c r="C105" i="6"/>
  <c r="D105" i="6"/>
  <c r="B105" i="6"/>
  <c r="H103" i="6"/>
  <c r="G103" i="6"/>
  <c r="F102" i="6"/>
  <c r="H101" i="6"/>
  <c r="G101" i="6"/>
  <c r="F100" i="6"/>
  <c r="D94" i="6"/>
  <c r="D93" i="6"/>
  <c r="D92" i="6"/>
  <c r="D91" i="6"/>
  <c r="E89" i="6"/>
  <c r="C89" i="6"/>
  <c r="D89" i="6"/>
  <c r="B89" i="6"/>
  <c r="H87" i="6"/>
  <c r="G87" i="6"/>
  <c r="F86" i="6"/>
  <c r="H85" i="6"/>
  <c r="G85" i="6"/>
  <c r="F84" i="6"/>
  <c r="D77" i="6"/>
  <c r="D76" i="6"/>
  <c r="D75" i="6"/>
  <c r="D74" i="6"/>
  <c r="E72" i="6"/>
  <c r="C72" i="6"/>
  <c r="D72" i="6"/>
  <c r="B72" i="6"/>
  <c r="H70" i="6"/>
  <c r="G70" i="6"/>
  <c r="F69" i="6"/>
  <c r="H68" i="6"/>
  <c r="G68" i="6"/>
  <c r="F67" i="6"/>
  <c r="D61" i="6"/>
  <c r="D60" i="6"/>
  <c r="D59" i="6"/>
  <c r="D58" i="6"/>
  <c r="E56" i="6"/>
  <c r="C56" i="6"/>
  <c r="D56" i="6"/>
  <c r="B56" i="6"/>
  <c r="F54" i="6"/>
  <c r="F53" i="6"/>
  <c r="D52" i="6"/>
  <c r="D51" i="6"/>
  <c r="D50" i="6"/>
  <c r="D49" i="6"/>
  <c r="E47" i="6"/>
  <c r="C47" i="6"/>
  <c r="D47" i="6"/>
  <c r="B47" i="6"/>
  <c r="F45" i="6"/>
  <c r="F44" i="6"/>
  <c r="D43" i="6"/>
  <c r="D42" i="6"/>
  <c r="D41" i="6"/>
  <c r="D40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C141" i="5"/>
  <c r="C140" i="5"/>
  <c r="C139" i="5"/>
  <c r="Z135" i="5"/>
  <c r="Y135" i="5"/>
  <c r="X135" i="5"/>
  <c r="J134" i="5"/>
  <c r="Z134" i="5"/>
  <c r="Y134" i="5"/>
  <c r="X134" i="5"/>
  <c r="F134" i="5"/>
  <c r="D134" i="5"/>
  <c r="C134" i="5"/>
  <c r="B134" i="5"/>
  <c r="A134" i="5"/>
  <c r="J133" i="5"/>
  <c r="Z133" i="5"/>
  <c r="Y133" i="5"/>
  <c r="X133" i="5"/>
  <c r="F133" i="5"/>
  <c r="D133" i="5"/>
  <c r="C133" i="5"/>
  <c r="B133" i="5"/>
  <c r="A133" i="5"/>
  <c r="G132" i="5"/>
  <c r="E132" i="5"/>
  <c r="J131" i="5"/>
  <c r="F131" i="5"/>
  <c r="E131" i="5"/>
  <c r="J130" i="5"/>
  <c r="F130" i="5"/>
  <c r="E130" i="5"/>
  <c r="J129" i="5"/>
  <c r="G129" i="5"/>
  <c r="F129" i="5"/>
  <c r="J128" i="5"/>
  <c r="G128" i="5"/>
  <c r="F128" i="5"/>
  <c r="J127" i="5"/>
  <c r="G127" i="5"/>
  <c r="F127" i="5"/>
  <c r="J126" i="5"/>
  <c r="G126" i="5"/>
  <c r="F126" i="5"/>
  <c r="F124" i="5"/>
  <c r="D124" i="5"/>
  <c r="I124" i="5"/>
  <c r="C124" i="5"/>
  <c r="B124" i="5"/>
  <c r="A124" i="5"/>
  <c r="Z123" i="5"/>
  <c r="Y123" i="5"/>
  <c r="X123" i="5"/>
  <c r="J122" i="5"/>
  <c r="Z122" i="5"/>
  <c r="Y122" i="5"/>
  <c r="X122" i="5"/>
  <c r="F122" i="5"/>
  <c r="D122" i="5"/>
  <c r="C122" i="5"/>
  <c r="B122" i="5"/>
  <c r="A122" i="5"/>
  <c r="J121" i="5"/>
  <c r="Z121" i="5"/>
  <c r="Y121" i="5"/>
  <c r="X121" i="5"/>
  <c r="F121" i="5"/>
  <c r="D121" i="5"/>
  <c r="C121" i="5"/>
  <c r="B121" i="5"/>
  <c r="A121" i="5"/>
  <c r="G120" i="5"/>
  <c r="E120" i="5"/>
  <c r="J119" i="5"/>
  <c r="F119" i="5"/>
  <c r="E119" i="5"/>
  <c r="J118" i="5"/>
  <c r="F118" i="5"/>
  <c r="E118" i="5"/>
  <c r="J117" i="5"/>
  <c r="G117" i="5"/>
  <c r="F117" i="5"/>
  <c r="J116" i="5"/>
  <c r="G116" i="5"/>
  <c r="F116" i="5"/>
  <c r="J115" i="5"/>
  <c r="G115" i="5"/>
  <c r="F115" i="5"/>
  <c r="J114" i="5"/>
  <c r="G114" i="5"/>
  <c r="F114" i="5"/>
  <c r="F112" i="5"/>
  <c r="D112" i="5"/>
  <c r="I112" i="5"/>
  <c r="C112" i="5"/>
  <c r="B112" i="5"/>
  <c r="A112" i="5"/>
  <c r="Z111" i="5"/>
  <c r="Y111" i="5"/>
  <c r="X111" i="5"/>
  <c r="J110" i="5"/>
  <c r="Z110" i="5"/>
  <c r="Y110" i="5"/>
  <c r="X110" i="5"/>
  <c r="F110" i="5"/>
  <c r="D110" i="5"/>
  <c r="C110" i="5"/>
  <c r="B110" i="5"/>
  <c r="A110" i="5"/>
  <c r="J109" i="5"/>
  <c r="Z109" i="5"/>
  <c r="Y109" i="5"/>
  <c r="X109" i="5"/>
  <c r="F109" i="5"/>
  <c r="D109" i="5"/>
  <c r="C109" i="5"/>
  <c r="B109" i="5"/>
  <c r="A109" i="5"/>
  <c r="G108" i="5"/>
  <c r="E108" i="5"/>
  <c r="J107" i="5"/>
  <c r="F107" i="5"/>
  <c r="E107" i="5"/>
  <c r="J106" i="5"/>
  <c r="F106" i="5"/>
  <c r="E106" i="5"/>
  <c r="J105" i="5"/>
  <c r="G105" i="5"/>
  <c r="F105" i="5"/>
  <c r="J104" i="5"/>
  <c r="G104" i="5"/>
  <c r="F104" i="5"/>
  <c r="J103" i="5"/>
  <c r="G103" i="5"/>
  <c r="F103" i="5"/>
  <c r="J102" i="5"/>
  <c r="G102" i="5"/>
  <c r="F102" i="5"/>
  <c r="F100" i="5"/>
  <c r="D100" i="5"/>
  <c r="I100" i="5"/>
  <c r="C100" i="5"/>
  <c r="B100" i="5"/>
  <c r="A100" i="5"/>
  <c r="Z99" i="5"/>
  <c r="Y99" i="5"/>
  <c r="X99" i="5"/>
  <c r="G98" i="5"/>
  <c r="E98" i="5"/>
  <c r="J97" i="5"/>
  <c r="F97" i="5"/>
  <c r="E97" i="5"/>
  <c r="J96" i="5"/>
  <c r="F96" i="5"/>
  <c r="E96" i="5"/>
  <c r="J95" i="5"/>
  <c r="G95" i="5"/>
  <c r="F95" i="5"/>
  <c r="F94" i="5"/>
  <c r="E94" i="5"/>
  <c r="D94" i="5"/>
  <c r="I94" i="5"/>
  <c r="C94" i="5"/>
  <c r="B94" i="5"/>
  <c r="A94" i="5"/>
  <c r="Z93" i="5"/>
  <c r="Y93" i="5"/>
  <c r="X93" i="5"/>
  <c r="J92" i="5"/>
  <c r="Z92" i="5"/>
  <c r="Y92" i="5"/>
  <c r="X92" i="5"/>
  <c r="F92" i="5"/>
  <c r="D92" i="5"/>
  <c r="C92" i="5"/>
  <c r="B92" i="5"/>
  <c r="A92" i="5"/>
  <c r="J91" i="5"/>
  <c r="Z91" i="5"/>
  <c r="Y91" i="5"/>
  <c r="X91" i="5"/>
  <c r="F91" i="5"/>
  <c r="D91" i="5"/>
  <c r="C91" i="5"/>
  <c r="B91" i="5"/>
  <c r="A91" i="5"/>
  <c r="J90" i="5"/>
  <c r="Z90" i="5"/>
  <c r="Y90" i="5"/>
  <c r="X90" i="5"/>
  <c r="F90" i="5"/>
  <c r="D90" i="5"/>
  <c r="C90" i="5"/>
  <c r="B90" i="5"/>
  <c r="A90" i="5"/>
  <c r="J89" i="5"/>
  <c r="Z89" i="5"/>
  <c r="Y89" i="5"/>
  <c r="X89" i="5"/>
  <c r="F89" i="5"/>
  <c r="D89" i="5"/>
  <c r="C89" i="5"/>
  <c r="B89" i="5"/>
  <c r="A89" i="5"/>
  <c r="J88" i="5"/>
  <c r="Z88" i="5"/>
  <c r="Y88" i="5"/>
  <c r="X88" i="5"/>
  <c r="F88" i="5"/>
  <c r="D88" i="5"/>
  <c r="C88" i="5"/>
  <c r="B88" i="5"/>
  <c r="A88" i="5"/>
  <c r="J87" i="5"/>
  <c r="Z87" i="5"/>
  <c r="Y87" i="5"/>
  <c r="X87" i="5"/>
  <c r="F87" i="5"/>
  <c r="D87" i="5"/>
  <c r="C87" i="5"/>
  <c r="B87" i="5"/>
  <c r="A87" i="5"/>
  <c r="G86" i="5"/>
  <c r="E86" i="5"/>
  <c r="J85" i="5"/>
  <c r="F85" i="5"/>
  <c r="E85" i="5"/>
  <c r="J84" i="5"/>
  <c r="F84" i="5"/>
  <c r="E84" i="5"/>
  <c r="J83" i="5"/>
  <c r="G83" i="5"/>
  <c r="F83" i="5"/>
  <c r="J82" i="5"/>
  <c r="G82" i="5"/>
  <c r="F82" i="5"/>
  <c r="J81" i="5"/>
  <c r="G81" i="5"/>
  <c r="F81" i="5"/>
  <c r="J80" i="5"/>
  <c r="G80" i="5"/>
  <c r="F80" i="5"/>
  <c r="F78" i="5"/>
  <c r="D78" i="5"/>
  <c r="I78" i="5"/>
  <c r="C78" i="5"/>
  <c r="B78" i="5"/>
  <c r="A78" i="5"/>
  <c r="Z77" i="5"/>
  <c r="Y77" i="5"/>
  <c r="X77" i="5"/>
  <c r="J76" i="5"/>
  <c r="Z76" i="5"/>
  <c r="Y76" i="5"/>
  <c r="X76" i="5"/>
  <c r="F76" i="5"/>
  <c r="D76" i="5"/>
  <c r="C76" i="5"/>
  <c r="B76" i="5"/>
  <c r="A76" i="5"/>
  <c r="J75" i="5"/>
  <c r="Z75" i="5"/>
  <c r="Y75" i="5"/>
  <c r="X75" i="5"/>
  <c r="F75" i="5"/>
  <c r="D75" i="5"/>
  <c r="C75" i="5"/>
  <c r="B75" i="5"/>
  <c r="A75" i="5"/>
  <c r="J74" i="5"/>
  <c r="Z74" i="5"/>
  <c r="Y74" i="5"/>
  <c r="X74" i="5"/>
  <c r="F74" i="5"/>
  <c r="D74" i="5"/>
  <c r="C74" i="5"/>
  <c r="B74" i="5"/>
  <c r="A74" i="5"/>
  <c r="G73" i="5"/>
  <c r="E73" i="5"/>
  <c r="J72" i="5"/>
  <c r="F72" i="5"/>
  <c r="E72" i="5"/>
  <c r="J71" i="5"/>
  <c r="F71" i="5"/>
  <c r="E71" i="5"/>
  <c r="J70" i="5"/>
  <c r="G70" i="5"/>
  <c r="F70" i="5"/>
  <c r="J69" i="5"/>
  <c r="G69" i="5"/>
  <c r="F69" i="5"/>
  <c r="J68" i="5"/>
  <c r="G68" i="5"/>
  <c r="F68" i="5"/>
  <c r="J67" i="5"/>
  <c r="G67" i="5"/>
  <c r="F67" i="5"/>
  <c r="F65" i="5"/>
  <c r="D65" i="5"/>
  <c r="I65" i="5"/>
  <c r="C65" i="5"/>
  <c r="B65" i="5"/>
  <c r="A65" i="5"/>
  <c r="Z64" i="5"/>
  <c r="Y64" i="5"/>
  <c r="X64" i="5"/>
  <c r="G63" i="5"/>
  <c r="E63" i="5"/>
  <c r="J62" i="5"/>
  <c r="F62" i="5"/>
  <c r="E62" i="5"/>
  <c r="J61" i="5"/>
  <c r="F61" i="5"/>
  <c r="E61" i="5"/>
  <c r="J60" i="5"/>
  <c r="G60" i="5"/>
  <c r="F60" i="5"/>
  <c r="J59" i="5"/>
  <c r="G59" i="5"/>
  <c r="F59" i="5"/>
  <c r="J58" i="5"/>
  <c r="G58" i="5"/>
  <c r="F58" i="5"/>
  <c r="J57" i="5"/>
  <c r="G57" i="5"/>
  <c r="F57" i="5"/>
  <c r="F55" i="5"/>
  <c r="D55" i="5"/>
  <c r="I55" i="5"/>
  <c r="C55" i="5"/>
  <c r="B55" i="5"/>
  <c r="A55" i="5"/>
  <c r="Z54" i="5"/>
  <c r="Y54" i="5"/>
  <c r="X54" i="5"/>
  <c r="G53" i="5"/>
  <c r="E53" i="5"/>
  <c r="J52" i="5"/>
  <c r="F52" i="5"/>
  <c r="E52" i="5"/>
  <c r="J51" i="5"/>
  <c r="F51" i="5"/>
  <c r="E51" i="5"/>
  <c r="J50" i="5"/>
  <c r="G50" i="5"/>
  <c r="F50" i="5"/>
  <c r="J49" i="5"/>
  <c r="G49" i="5"/>
  <c r="F49" i="5"/>
  <c r="J48" i="5"/>
  <c r="G48" i="5"/>
  <c r="F48" i="5"/>
  <c r="J47" i="5"/>
  <c r="G47" i="5"/>
  <c r="F47" i="5"/>
  <c r="F45" i="5"/>
  <c r="D45" i="5"/>
  <c r="I45" i="5"/>
  <c r="C45" i="5"/>
  <c r="B45" i="5"/>
  <c r="A45" i="5"/>
  <c r="Z44" i="5"/>
  <c r="Y44" i="5"/>
  <c r="X44" i="5"/>
  <c r="G43" i="5"/>
  <c r="E43" i="5"/>
  <c r="J42" i="5"/>
  <c r="E42" i="5"/>
  <c r="J41" i="5"/>
  <c r="E41" i="5"/>
  <c r="J40" i="5"/>
  <c r="G40" i="5"/>
  <c r="F40" i="5"/>
  <c r="J39" i="5"/>
  <c r="G39" i="5"/>
  <c r="F39" i="5"/>
  <c r="J38" i="5"/>
  <c r="G38" i="5"/>
  <c r="F38" i="5"/>
  <c r="F36" i="5"/>
  <c r="D36" i="5"/>
  <c r="I36" i="5"/>
  <c r="C36" i="5"/>
  <c r="B36" i="5"/>
  <c r="A36" i="5"/>
  <c r="Z35" i="5"/>
  <c r="Y35" i="5"/>
  <c r="X35" i="5"/>
  <c r="G34" i="5"/>
  <c r="E34" i="5"/>
  <c r="J33" i="5"/>
  <c r="E33" i="5"/>
  <c r="J32" i="5"/>
  <c r="E32" i="5"/>
  <c r="J31" i="5"/>
  <c r="G31" i="5"/>
  <c r="F31" i="5"/>
  <c r="F29" i="5"/>
  <c r="D29" i="5"/>
  <c r="I29" i="5"/>
  <c r="C29" i="5"/>
  <c r="B29" i="5"/>
  <c r="A29" i="5"/>
  <c r="A28" i="5"/>
  <c r="A1" i="5"/>
  <c r="G20" i="5" l="1"/>
  <c r="G18" i="5"/>
  <c r="G19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CX1" i="3" s="1"/>
  <c r="AC24" i="1"/>
  <c r="AE24" i="1"/>
  <c r="AD24" i="1" s="1"/>
  <c r="AB24" i="1" s="1"/>
  <c r="AF24" i="1"/>
  <c r="CT24" i="1" s="1"/>
  <c r="AG24" i="1"/>
  <c r="CU24" i="1" s="1"/>
  <c r="AH24" i="1"/>
  <c r="AI24" i="1"/>
  <c r="CW24" i="1" s="1"/>
  <c r="V24" i="1" s="1"/>
  <c r="AJ24" i="1"/>
  <c r="CX24" i="1" s="1"/>
  <c r="CQ24" i="1"/>
  <c r="CS24" i="1"/>
  <c r="R24" i="1" s="1"/>
  <c r="GK24" i="1" s="1"/>
  <c r="CV24" i="1"/>
  <c r="U24" i="1" s="1"/>
  <c r="FR24" i="1"/>
  <c r="GL24" i="1"/>
  <c r="GO24" i="1"/>
  <c r="GP24" i="1"/>
  <c r="GV24" i="1"/>
  <c r="GX24" i="1" s="1"/>
  <c r="C25" i="1"/>
  <c r="D25" i="1"/>
  <c r="I25" i="1"/>
  <c r="AC25" i="1"/>
  <c r="CQ25" i="1" s="1"/>
  <c r="AE25" i="1"/>
  <c r="CS25" i="1" s="1"/>
  <c r="AF25" i="1"/>
  <c r="AG25" i="1"/>
  <c r="CU25" i="1" s="1"/>
  <c r="T25" i="1" s="1"/>
  <c r="AH25" i="1"/>
  <c r="CV25" i="1" s="1"/>
  <c r="U25" i="1" s="1"/>
  <c r="AI25" i="1"/>
  <c r="CW25" i="1" s="1"/>
  <c r="AJ25" i="1"/>
  <c r="CX25" i="1" s="1"/>
  <c r="FR25" i="1"/>
  <c r="GL25" i="1"/>
  <c r="GO25" i="1"/>
  <c r="GP25" i="1"/>
  <c r="GV25" i="1"/>
  <c r="C26" i="1"/>
  <c r="D26" i="1"/>
  <c r="I26" i="1"/>
  <c r="AC26" i="1"/>
  <c r="CQ26" i="1" s="1"/>
  <c r="P26" i="1" s="1"/>
  <c r="AE26" i="1"/>
  <c r="AF26" i="1"/>
  <c r="CT26" i="1" s="1"/>
  <c r="S26" i="1" s="1"/>
  <c r="AG26" i="1"/>
  <c r="CU26" i="1" s="1"/>
  <c r="T26" i="1" s="1"/>
  <c r="AH26" i="1"/>
  <c r="CV26" i="1" s="1"/>
  <c r="U26" i="1" s="1"/>
  <c r="AI26" i="1"/>
  <c r="CW26" i="1" s="1"/>
  <c r="V26" i="1" s="1"/>
  <c r="AJ26" i="1"/>
  <c r="CX26" i="1" s="1"/>
  <c r="W26" i="1" s="1"/>
  <c r="FR26" i="1"/>
  <c r="GL26" i="1"/>
  <c r="GO26" i="1"/>
  <c r="GP26" i="1"/>
  <c r="GV26" i="1"/>
  <c r="GX26" i="1" s="1"/>
  <c r="C27" i="1"/>
  <c r="D27" i="1"/>
  <c r="I27" i="1"/>
  <c r="AC27" i="1"/>
  <c r="CQ27" i="1" s="1"/>
  <c r="AE27" i="1"/>
  <c r="H40" i="5" s="1"/>
  <c r="R40" i="5" s="1"/>
  <c r="AF27" i="1"/>
  <c r="AG27" i="1"/>
  <c r="CU27" i="1" s="1"/>
  <c r="T27" i="1" s="1"/>
  <c r="AH27" i="1"/>
  <c r="CV27" i="1" s="1"/>
  <c r="AI27" i="1"/>
  <c r="CW27" i="1" s="1"/>
  <c r="V27" i="1" s="1"/>
  <c r="Z47" i="6" s="1"/>
  <c r="AJ27" i="1"/>
  <c r="CX27" i="1" s="1"/>
  <c r="CS27" i="1"/>
  <c r="R27" i="1" s="1"/>
  <c r="FR27" i="1"/>
  <c r="GL27" i="1"/>
  <c r="GO27" i="1"/>
  <c r="GP27" i="1"/>
  <c r="GV27" i="1"/>
  <c r="C28" i="1"/>
  <c r="D28" i="1"/>
  <c r="I28" i="1"/>
  <c r="AC28" i="1"/>
  <c r="AE28" i="1"/>
  <c r="CS28" i="1" s="1"/>
  <c r="R28" i="1" s="1"/>
  <c r="GK28" i="1" s="1"/>
  <c r="AF28" i="1"/>
  <c r="AG28" i="1"/>
  <c r="CU28" i="1" s="1"/>
  <c r="T28" i="1" s="1"/>
  <c r="AH28" i="1"/>
  <c r="CV28" i="1" s="1"/>
  <c r="AI28" i="1"/>
  <c r="CW28" i="1" s="1"/>
  <c r="V28" i="1" s="1"/>
  <c r="AJ28" i="1"/>
  <c r="CT28" i="1"/>
  <c r="S28" i="1" s="1"/>
  <c r="CX28" i="1"/>
  <c r="FR28" i="1"/>
  <c r="GL28" i="1"/>
  <c r="GO28" i="1"/>
  <c r="GP28" i="1"/>
  <c r="GV28" i="1"/>
  <c r="GX28" i="1" s="1"/>
  <c r="C29" i="1"/>
  <c r="D29" i="1"/>
  <c r="I29" i="1"/>
  <c r="AC29" i="1"/>
  <c r="H50" i="5" s="1"/>
  <c r="AE29" i="1"/>
  <c r="AF29" i="1"/>
  <c r="AG29" i="1"/>
  <c r="CU29" i="1" s="1"/>
  <c r="T29" i="1" s="1"/>
  <c r="AH29" i="1"/>
  <c r="CV29" i="1" s="1"/>
  <c r="U29" i="1" s="1"/>
  <c r="AI29" i="1"/>
  <c r="CW29" i="1" s="1"/>
  <c r="V29" i="1" s="1"/>
  <c r="Z56" i="6" s="1"/>
  <c r="AJ29" i="1"/>
  <c r="CX29" i="1" s="1"/>
  <c r="W29" i="1" s="1"/>
  <c r="FR29" i="1"/>
  <c r="GL29" i="1"/>
  <c r="GO29" i="1"/>
  <c r="GP29" i="1"/>
  <c r="GV29" i="1"/>
  <c r="GX29" i="1" s="1"/>
  <c r="C30" i="1"/>
  <c r="D30" i="1"/>
  <c r="I30" i="1"/>
  <c r="AC30" i="1"/>
  <c r="CQ30" i="1" s="1"/>
  <c r="P30" i="1" s="1"/>
  <c r="AE30" i="1"/>
  <c r="AF30" i="1"/>
  <c r="CT30" i="1" s="1"/>
  <c r="S30" i="1" s="1"/>
  <c r="AG30" i="1"/>
  <c r="CU30" i="1" s="1"/>
  <c r="T30" i="1" s="1"/>
  <c r="AH30" i="1"/>
  <c r="CV30" i="1" s="1"/>
  <c r="U30" i="1" s="1"/>
  <c r="AI30" i="1"/>
  <c r="CW30" i="1" s="1"/>
  <c r="V30" i="1" s="1"/>
  <c r="AJ30" i="1"/>
  <c r="CX30" i="1" s="1"/>
  <c r="W30" i="1" s="1"/>
  <c r="FR30" i="1"/>
  <c r="GL30" i="1"/>
  <c r="GO30" i="1"/>
  <c r="GP30" i="1"/>
  <c r="GV30" i="1"/>
  <c r="GX30" i="1" s="1"/>
  <c r="C31" i="1"/>
  <c r="D31" i="1"/>
  <c r="I31" i="1"/>
  <c r="AC31" i="1"/>
  <c r="AE31" i="1"/>
  <c r="H59" i="5" s="1"/>
  <c r="R59" i="5" s="1"/>
  <c r="AF31" i="1"/>
  <c r="AG31" i="1"/>
  <c r="CU31" i="1" s="1"/>
  <c r="T31" i="1" s="1"/>
  <c r="AH31" i="1"/>
  <c r="CV31" i="1" s="1"/>
  <c r="AI31" i="1"/>
  <c r="CW31" i="1" s="1"/>
  <c r="V31" i="1" s="1"/>
  <c r="Z72" i="6" s="1"/>
  <c r="AJ31" i="1"/>
  <c r="CX31" i="1" s="1"/>
  <c r="CS31" i="1"/>
  <c r="R31" i="1" s="1"/>
  <c r="FR31" i="1"/>
  <c r="GL31" i="1"/>
  <c r="GO31" i="1"/>
  <c r="GP31" i="1"/>
  <c r="GV31" i="1"/>
  <c r="C32" i="1"/>
  <c r="D32" i="1"/>
  <c r="I32" i="1"/>
  <c r="CX36" i="3" s="1"/>
  <c r="AC32" i="1"/>
  <c r="AE32" i="1"/>
  <c r="CS32" i="1" s="1"/>
  <c r="R32" i="1" s="1"/>
  <c r="GK32" i="1" s="1"/>
  <c r="AF32" i="1"/>
  <c r="AG32" i="1"/>
  <c r="AH32" i="1"/>
  <c r="CV32" i="1" s="1"/>
  <c r="AI32" i="1"/>
  <c r="CW32" i="1" s="1"/>
  <c r="V32" i="1" s="1"/>
  <c r="AJ32" i="1"/>
  <c r="CQ32" i="1"/>
  <c r="P32" i="1" s="1"/>
  <c r="CT32" i="1"/>
  <c r="CU32" i="1"/>
  <c r="T32" i="1" s="1"/>
  <c r="CX32" i="1"/>
  <c r="FR32" i="1"/>
  <c r="GL32" i="1"/>
  <c r="GO32" i="1"/>
  <c r="GP32" i="1"/>
  <c r="GV32" i="1"/>
  <c r="C33" i="1"/>
  <c r="D33" i="1"/>
  <c r="I33" i="1"/>
  <c r="U33" i="1"/>
  <c r="AC33" i="1"/>
  <c r="AE33" i="1"/>
  <c r="AF33" i="1"/>
  <c r="AG33" i="1"/>
  <c r="CU33" i="1" s="1"/>
  <c r="T33" i="1" s="1"/>
  <c r="AH33" i="1"/>
  <c r="CV33" i="1" s="1"/>
  <c r="AI33" i="1"/>
  <c r="CW33" i="1" s="1"/>
  <c r="V33" i="1" s="1"/>
  <c r="Z89" i="6" s="1"/>
  <c r="AJ33" i="1"/>
  <c r="CX33" i="1" s="1"/>
  <c r="CQ33" i="1"/>
  <c r="P33" i="1" s="1"/>
  <c r="FR33" i="1"/>
  <c r="GL33" i="1"/>
  <c r="GO33" i="1"/>
  <c r="GP33" i="1"/>
  <c r="GV33" i="1"/>
  <c r="GX33" i="1" s="1"/>
  <c r="AC34" i="1"/>
  <c r="AE34" i="1"/>
  <c r="AD34" i="1" s="1"/>
  <c r="CR34" i="1" s="1"/>
  <c r="AF34" i="1"/>
  <c r="CT34" i="1" s="1"/>
  <c r="AG34" i="1"/>
  <c r="AH34" i="1"/>
  <c r="CV34" i="1" s="1"/>
  <c r="AI34" i="1"/>
  <c r="AJ34" i="1"/>
  <c r="CX34" i="1" s="1"/>
  <c r="CS34" i="1"/>
  <c r="CU34" i="1"/>
  <c r="CW34" i="1"/>
  <c r="FR34" i="1"/>
  <c r="GL34" i="1"/>
  <c r="GO34" i="1"/>
  <c r="GP34" i="1"/>
  <c r="GV34" i="1"/>
  <c r="I35" i="1"/>
  <c r="AC35" i="1"/>
  <c r="AE35" i="1"/>
  <c r="AF35" i="1"/>
  <c r="AG35" i="1"/>
  <c r="CU35" i="1" s="1"/>
  <c r="T35" i="1" s="1"/>
  <c r="AH35" i="1"/>
  <c r="AI35" i="1"/>
  <c r="CW35" i="1" s="1"/>
  <c r="V35" i="1" s="1"/>
  <c r="Z105" i="6" s="1"/>
  <c r="AJ35" i="1"/>
  <c r="CT35" i="1"/>
  <c r="S35" i="1" s="1"/>
  <c r="V105" i="6" s="1"/>
  <c r="CV35" i="1"/>
  <c r="CX35" i="1"/>
  <c r="W35" i="1" s="1"/>
  <c r="FR35" i="1"/>
  <c r="GL35" i="1"/>
  <c r="GO35" i="1"/>
  <c r="GP35" i="1"/>
  <c r="GV35" i="1"/>
  <c r="I36" i="1"/>
  <c r="AC36" i="1"/>
  <c r="AD36" i="1"/>
  <c r="CR36" i="1" s="1"/>
  <c r="Q36" i="1" s="1"/>
  <c r="AE36" i="1"/>
  <c r="AF36" i="1"/>
  <c r="CT36" i="1" s="1"/>
  <c r="S36" i="1" s="1"/>
  <c r="AG36" i="1"/>
  <c r="AH36" i="1"/>
  <c r="CV36" i="1" s="1"/>
  <c r="U36" i="1" s="1"/>
  <c r="AI36" i="1"/>
  <c r="AJ36" i="1"/>
  <c r="CX36" i="1" s="1"/>
  <c r="W36" i="1" s="1"/>
  <c r="CQ36" i="1"/>
  <c r="CS36" i="1"/>
  <c r="R36" i="1" s="1"/>
  <c r="GK36" i="1" s="1"/>
  <c r="CU36" i="1"/>
  <c r="CW36" i="1"/>
  <c r="FR36" i="1"/>
  <c r="GL36" i="1"/>
  <c r="GO36" i="1"/>
  <c r="GP36" i="1"/>
  <c r="GV36" i="1"/>
  <c r="GX36" i="1" s="1"/>
  <c r="I37" i="1"/>
  <c r="AC37" i="1"/>
  <c r="AE37" i="1"/>
  <c r="CS37" i="1" s="1"/>
  <c r="AF37" i="1"/>
  <c r="AG37" i="1"/>
  <c r="CU37" i="1" s="1"/>
  <c r="AH37" i="1"/>
  <c r="CV37" i="1" s="1"/>
  <c r="U37" i="1" s="1"/>
  <c r="Y107" i="6" s="1"/>
  <c r="AI37" i="1"/>
  <c r="CW37" i="1" s="1"/>
  <c r="AJ37" i="1"/>
  <c r="CX37" i="1" s="1"/>
  <c r="W37" i="1" s="1"/>
  <c r="FR37" i="1"/>
  <c r="GL37" i="1"/>
  <c r="GO37" i="1"/>
  <c r="GP37" i="1"/>
  <c r="GV37" i="1"/>
  <c r="GX37" i="1" s="1"/>
  <c r="AC38" i="1"/>
  <c r="AE38" i="1"/>
  <c r="AD38" i="1" s="1"/>
  <c r="CR38" i="1" s="1"/>
  <c r="AF38" i="1"/>
  <c r="CT38" i="1" s="1"/>
  <c r="AG38" i="1"/>
  <c r="AH38" i="1"/>
  <c r="CV38" i="1" s="1"/>
  <c r="AI38" i="1"/>
  <c r="AJ38" i="1"/>
  <c r="CX38" i="1" s="1"/>
  <c r="CS38" i="1"/>
  <c r="CU38" i="1"/>
  <c r="CW38" i="1"/>
  <c r="FR38" i="1"/>
  <c r="GL38" i="1"/>
  <c r="GO38" i="1"/>
  <c r="GP38" i="1"/>
  <c r="GV38" i="1"/>
  <c r="I39" i="1"/>
  <c r="AC39" i="1"/>
  <c r="AE39" i="1"/>
  <c r="AF39" i="1"/>
  <c r="AG39" i="1"/>
  <c r="CU39" i="1" s="1"/>
  <c r="T39" i="1" s="1"/>
  <c r="AH39" i="1"/>
  <c r="AI39" i="1"/>
  <c r="CW39" i="1" s="1"/>
  <c r="V39" i="1" s="1"/>
  <c r="Z109" i="6" s="1"/>
  <c r="AJ39" i="1"/>
  <c r="CX39" i="1" s="1"/>
  <c r="CV39" i="1"/>
  <c r="U39" i="1" s="1"/>
  <c r="Y109" i="6" s="1"/>
  <c r="FR39" i="1"/>
  <c r="GL39" i="1"/>
  <c r="GO39" i="1"/>
  <c r="GP39" i="1"/>
  <c r="GV39" i="1"/>
  <c r="C40" i="1"/>
  <c r="D40" i="1"/>
  <c r="I40" i="1"/>
  <c r="I42" i="1" s="1"/>
  <c r="AC40" i="1"/>
  <c r="AE40" i="1"/>
  <c r="AD40" i="1" s="1"/>
  <c r="CR40" i="1" s="1"/>
  <c r="Q40" i="1" s="1"/>
  <c r="AF40" i="1"/>
  <c r="CT40" i="1" s="1"/>
  <c r="AG40" i="1"/>
  <c r="CU40" i="1" s="1"/>
  <c r="T40" i="1" s="1"/>
  <c r="AH40" i="1"/>
  <c r="AI40" i="1"/>
  <c r="CW40" i="1" s="1"/>
  <c r="V40" i="1" s="1"/>
  <c r="AJ40" i="1"/>
  <c r="CX40" i="1" s="1"/>
  <c r="CQ40" i="1"/>
  <c r="CV40" i="1"/>
  <c r="FR40" i="1"/>
  <c r="GL40" i="1"/>
  <c r="GO40" i="1"/>
  <c r="GP40" i="1"/>
  <c r="GV40" i="1"/>
  <c r="C41" i="1"/>
  <c r="D41" i="1"/>
  <c r="I41" i="1"/>
  <c r="AC41" i="1"/>
  <c r="H83" i="5" s="1"/>
  <c r="AE41" i="1"/>
  <c r="AF41" i="1"/>
  <c r="AG41" i="1"/>
  <c r="CU41" i="1" s="1"/>
  <c r="AH41" i="1"/>
  <c r="CV41" i="1" s="1"/>
  <c r="U41" i="1" s="1"/>
  <c r="AI41" i="1"/>
  <c r="AJ41" i="1"/>
  <c r="CX41" i="1" s="1"/>
  <c r="W41" i="1" s="1"/>
  <c r="CS41" i="1"/>
  <c r="CT41" i="1"/>
  <c r="S41" i="1" s="1"/>
  <c r="CW41" i="1"/>
  <c r="V41" i="1" s="1"/>
  <c r="Z111" i="6" s="1"/>
  <c r="FR41" i="1"/>
  <c r="GL41" i="1"/>
  <c r="GO41" i="1"/>
  <c r="GP41" i="1"/>
  <c r="GV41" i="1"/>
  <c r="GX41" i="1" s="1"/>
  <c r="AC42" i="1"/>
  <c r="AE42" i="1"/>
  <c r="AD42" i="1" s="1"/>
  <c r="CR42" i="1" s="1"/>
  <c r="AF42" i="1"/>
  <c r="CT42" i="1" s="1"/>
  <c r="AG42" i="1"/>
  <c r="AH42" i="1"/>
  <c r="CV42" i="1" s="1"/>
  <c r="AI42" i="1"/>
  <c r="AJ42" i="1"/>
  <c r="CX42" i="1" s="1"/>
  <c r="CS42" i="1"/>
  <c r="CU42" i="1"/>
  <c r="CW42" i="1"/>
  <c r="FR42" i="1"/>
  <c r="GL42" i="1"/>
  <c r="GO42" i="1"/>
  <c r="GP42" i="1"/>
  <c r="GV42" i="1"/>
  <c r="I43" i="1"/>
  <c r="AC43" i="1"/>
  <c r="AE43" i="1"/>
  <c r="AF43" i="1"/>
  <c r="AG43" i="1"/>
  <c r="CU43" i="1" s="1"/>
  <c r="T43" i="1" s="1"/>
  <c r="AH43" i="1"/>
  <c r="AI43" i="1"/>
  <c r="CW43" i="1" s="1"/>
  <c r="V43" i="1" s="1"/>
  <c r="Z127" i="6" s="1"/>
  <c r="AJ43" i="1"/>
  <c r="CX43" i="1" s="1"/>
  <c r="CT43" i="1"/>
  <c r="S43" i="1" s="1"/>
  <c r="V127" i="6" s="1"/>
  <c r="CV43" i="1"/>
  <c r="U43" i="1" s="1"/>
  <c r="Y127" i="6" s="1"/>
  <c r="FR43" i="1"/>
  <c r="GL43" i="1"/>
  <c r="GO43" i="1"/>
  <c r="GP43" i="1"/>
  <c r="GV43" i="1"/>
  <c r="AC44" i="1"/>
  <c r="AE44" i="1"/>
  <c r="AD44" i="1" s="1"/>
  <c r="CR44" i="1" s="1"/>
  <c r="AF44" i="1"/>
  <c r="CT44" i="1" s="1"/>
  <c r="AG44" i="1"/>
  <c r="AH44" i="1"/>
  <c r="CV44" i="1" s="1"/>
  <c r="AI44" i="1"/>
  <c r="CW44" i="1" s="1"/>
  <c r="AJ44" i="1"/>
  <c r="CQ44" i="1"/>
  <c r="CU44" i="1"/>
  <c r="CX44" i="1"/>
  <c r="FR44" i="1"/>
  <c r="GL44" i="1"/>
  <c r="GO44" i="1"/>
  <c r="GP44" i="1"/>
  <c r="GV44" i="1"/>
  <c r="I45" i="1"/>
  <c r="AC45" i="1"/>
  <c r="AE45" i="1"/>
  <c r="AD45" i="1" s="1"/>
  <c r="CR45" i="1" s="1"/>
  <c r="Q45" i="1" s="1"/>
  <c r="W129" i="6" s="1"/>
  <c r="AF45" i="1"/>
  <c r="AG45" i="1"/>
  <c r="CU45" i="1" s="1"/>
  <c r="T45" i="1" s="1"/>
  <c r="AH45" i="1"/>
  <c r="AI45" i="1"/>
  <c r="CW45" i="1" s="1"/>
  <c r="V45" i="1" s="1"/>
  <c r="Z129" i="6" s="1"/>
  <c r="AJ45" i="1"/>
  <c r="CS45" i="1"/>
  <c r="R45" i="1" s="1"/>
  <c r="CT45" i="1"/>
  <c r="CV45" i="1"/>
  <c r="U45" i="1" s="1"/>
  <c r="Y129" i="6" s="1"/>
  <c r="CX45" i="1"/>
  <c r="FR45" i="1"/>
  <c r="GL45" i="1"/>
  <c r="GO45" i="1"/>
  <c r="GP45" i="1"/>
  <c r="GV45" i="1"/>
  <c r="GX45" i="1" s="1"/>
  <c r="AC46" i="1"/>
  <c r="CQ46" i="1" s="1"/>
  <c r="AE46" i="1"/>
  <c r="AD46" i="1" s="1"/>
  <c r="AF46" i="1"/>
  <c r="CT46" i="1" s="1"/>
  <c r="AG46" i="1"/>
  <c r="AH46" i="1"/>
  <c r="CV46" i="1" s="1"/>
  <c r="AI46" i="1"/>
  <c r="CW46" i="1" s="1"/>
  <c r="AJ46" i="1"/>
  <c r="CX46" i="1" s="1"/>
  <c r="CS46" i="1"/>
  <c r="CU46" i="1"/>
  <c r="FR46" i="1"/>
  <c r="GL46" i="1"/>
  <c r="GO46" i="1"/>
  <c r="GP46" i="1"/>
  <c r="GV46" i="1"/>
  <c r="I47" i="1"/>
  <c r="AC47" i="1"/>
  <c r="AE47" i="1"/>
  <c r="AD47" i="1" s="1"/>
  <c r="CR47" i="1" s="1"/>
  <c r="AF47" i="1"/>
  <c r="AG47" i="1"/>
  <c r="CU47" i="1" s="1"/>
  <c r="AH47" i="1"/>
  <c r="CV47" i="1" s="1"/>
  <c r="AI47" i="1"/>
  <c r="AJ47" i="1"/>
  <c r="CX47" i="1" s="1"/>
  <c r="CS47" i="1"/>
  <c r="CT47" i="1"/>
  <c r="CW47" i="1"/>
  <c r="V47" i="1" s="1"/>
  <c r="Z131" i="6" s="1"/>
  <c r="FR47" i="1"/>
  <c r="GL47" i="1"/>
  <c r="GO47" i="1"/>
  <c r="GP47" i="1"/>
  <c r="GV47" i="1"/>
  <c r="GX47" i="1"/>
  <c r="AC48" i="1"/>
  <c r="CQ48" i="1" s="1"/>
  <c r="AE48" i="1"/>
  <c r="AD48" i="1" s="1"/>
  <c r="AF48" i="1"/>
  <c r="CT48" i="1" s="1"/>
  <c r="AG48" i="1"/>
  <c r="AH48" i="1"/>
  <c r="CV48" i="1" s="1"/>
  <c r="AI48" i="1"/>
  <c r="AJ48" i="1"/>
  <c r="CX48" i="1" s="1"/>
  <c r="CS48" i="1"/>
  <c r="CU48" i="1"/>
  <c r="CW48" i="1"/>
  <c r="FR48" i="1"/>
  <c r="GL48" i="1"/>
  <c r="GO48" i="1"/>
  <c r="GP48" i="1"/>
  <c r="GV48" i="1"/>
  <c r="I49" i="1"/>
  <c r="AC49" i="1"/>
  <c r="AE49" i="1"/>
  <c r="CS49" i="1" s="1"/>
  <c r="R49" i="1" s="1"/>
  <c r="X133" i="6" s="1"/>
  <c r="AF49" i="1"/>
  <c r="AG49" i="1"/>
  <c r="AH49" i="1"/>
  <c r="AI49" i="1"/>
  <c r="CW49" i="1" s="1"/>
  <c r="V49" i="1" s="1"/>
  <c r="Z133" i="6" s="1"/>
  <c r="AJ49" i="1"/>
  <c r="CQ49" i="1"/>
  <c r="P49" i="1" s="1"/>
  <c r="U133" i="6" s="1"/>
  <c r="CT49" i="1"/>
  <c r="CU49" i="1"/>
  <c r="T49" i="1" s="1"/>
  <c r="CV49" i="1"/>
  <c r="CX49" i="1"/>
  <c r="W49" i="1" s="1"/>
  <c r="FR49" i="1"/>
  <c r="GL49" i="1"/>
  <c r="GO49" i="1"/>
  <c r="GP49" i="1"/>
  <c r="GV49" i="1"/>
  <c r="I50" i="1"/>
  <c r="AC50" i="1"/>
  <c r="AD50" i="1"/>
  <c r="CR50" i="1" s="1"/>
  <c r="Q50" i="1" s="1"/>
  <c r="AE50" i="1"/>
  <c r="AF50" i="1"/>
  <c r="CT50" i="1" s="1"/>
  <c r="S50" i="1" s="1"/>
  <c r="AG50" i="1"/>
  <c r="AH50" i="1"/>
  <c r="CV50" i="1" s="1"/>
  <c r="U50" i="1" s="1"/>
  <c r="AI50" i="1"/>
  <c r="AJ50" i="1"/>
  <c r="CX50" i="1" s="1"/>
  <c r="W50" i="1" s="1"/>
  <c r="CQ50" i="1"/>
  <c r="CS50" i="1"/>
  <c r="R50" i="1" s="1"/>
  <c r="GK50" i="1" s="1"/>
  <c r="CU50" i="1"/>
  <c r="CW50" i="1"/>
  <c r="FR50" i="1"/>
  <c r="GL50" i="1"/>
  <c r="GO50" i="1"/>
  <c r="GP50" i="1"/>
  <c r="GV50" i="1"/>
  <c r="GX50" i="1" s="1"/>
  <c r="I51" i="1"/>
  <c r="AC51" i="1"/>
  <c r="AE51" i="1"/>
  <c r="AD51" i="1" s="1"/>
  <c r="CR51" i="1" s="1"/>
  <c r="Q51" i="1" s="1"/>
  <c r="W135" i="6" s="1"/>
  <c r="AF51" i="1"/>
  <c r="AG51" i="1"/>
  <c r="CU51" i="1" s="1"/>
  <c r="T51" i="1" s="1"/>
  <c r="AH51" i="1"/>
  <c r="CV51" i="1" s="1"/>
  <c r="U51" i="1" s="1"/>
  <c r="Y135" i="6" s="1"/>
  <c r="AI51" i="1"/>
  <c r="CW51" i="1" s="1"/>
  <c r="V51" i="1" s="1"/>
  <c r="Z135" i="6" s="1"/>
  <c r="AJ51" i="1"/>
  <c r="CS51" i="1"/>
  <c r="R51" i="1" s="1"/>
  <c r="CT51" i="1"/>
  <c r="CX51" i="1"/>
  <c r="W51" i="1" s="1"/>
  <c r="FR51" i="1"/>
  <c r="GL51" i="1"/>
  <c r="GO51" i="1"/>
  <c r="GP51" i="1"/>
  <c r="GV51" i="1"/>
  <c r="GX51" i="1"/>
  <c r="AC52" i="1"/>
  <c r="CQ52" i="1" s="1"/>
  <c r="AE52" i="1"/>
  <c r="AD52" i="1" s="1"/>
  <c r="AF52" i="1"/>
  <c r="CT52" i="1" s="1"/>
  <c r="AG52" i="1"/>
  <c r="AH52" i="1"/>
  <c r="CV52" i="1" s="1"/>
  <c r="AI52" i="1"/>
  <c r="AJ52" i="1"/>
  <c r="CX52" i="1" s="1"/>
  <c r="CU52" i="1"/>
  <c r="CW52" i="1"/>
  <c r="FR52" i="1"/>
  <c r="GL52" i="1"/>
  <c r="GO52" i="1"/>
  <c r="GP52" i="1"/>
  <c r="GV52" i="1"/>
  <c r="I53" i="1"/>
  <c r="AC53" i="1"/>
  <c r="AE53" i="1"/>
  <c r="AF53" i="1"/>
  <c r="AG53" i="1"/>
  <c r="CU53" i="1" s="1"/>
  <c r="AH53" i="1"/>
  <c r="AI53" i="1"/>
  <c r="CW53" i="1" s="1"/>
  <c r="AJ53" i="1"/>
  <c r="CX53" i="1" s="1"/>
  <c r="CT53" i="1"/>
  <c r="S53" i="1" s="1"/>
  <c r="V137" i="6" s="1"/>
  <c r="CV53" i="1"/>
  <c r="FR53" i="1"/>
  <c r="GL53" i="1"/>
  <c r="GO53" i="1"/>
  <c r="GP53" i="1"/>
  <c r="GV53" i="1"/>
  <c r="C54" i="1"/>
  <c r="D54" i="1"/>
  <c r="AC54" i="1"/>
  <c r="AE54" i="1"/>
  <c r="AD54" i="1" s="1"/>
  <c r="CR54" i="1" s="1"/>
  <c r="Q54" i="1" s="1"/>
  <c r="AF54" i="1"/>
  <c r="AG54" i="1"/>
  <c r="CU54" i="1" s="1"/>
  <c r="T54" i="1" s="1"/>
  <c r="AH54" i="1"/>
  <c r="CV54" i="1" s="1"/>
  <c r="U54" i="1" s="1"/>
  <c r="AI54" i="1"/>
  <c r="CW54" i="1" s="1"/>
  <c r="V54" i="1" s="1"/>
  <c r="AJ54" i="1"/>
  <c r="CX54" i="1" s="1"/>
  <c r="W54" i="1" s="1"/>
  <c r="CS54" i="1"/>
  <c r="R54" i="1" s="1"/>
  <c r="GK54" i="1" s="1"/>
  <c r="CT54" i="1"/>
  <c r="S54" i="1" s="1"/>
  <c r="FR54" i="1"/>
  <c r="GL54" i="1"/>
  <c r="GO54" i="1"/>
  <c r="GP54" i="1"/>
  <c r="GV54" i="1"/>
  <c r="GX54" i="1"/>
  <c r="C55" i="1"/>
  <c r="D55" i="1"/>
  <c r="AC55" i="1"/>
  <c r="AE55" i="1"/>
  <c r="AF55" i="1"/>
  <c r="AG55" i="1"/>
  <c r="AH55" i="1"/>
  <c r="AI55" i="1"/>
  <c r="CW55" i="1" s="1"/>
  <c r="V55" i="1" s="1"/>
  <c r="Z139" i="6" s="1"/>
  <c r="AJ55" i="1"/>
  <c r="CQ55" i="1"/>
  <c r="P55" i="1" s="1"/>
  <c r="U139" i="6" s="1"/>
  <c r="CT55" i="1"/>
  <c r="S55" i="1" s="1"/>
  <c r="CU55" i="1"/>
  <c r="T55" i="1" s="1"/>
  <c r="CV55" i="1"/>
  <c r="U55" i="1" s="1"/>
  <c r="CX55" i="1"/>
  <c r="W55" i="1" s="1"/>
  <c r="FR55" i="1"/>
  <c r="GL55" i="1"/>
  <c r="GO55" i="1"/>
  <c r="GP55" i="1"/>
  <c r="GV55" i="1"/>
  <c r="GX55" i="1" s="1"/>
  <c r="C56" i="1"/>
  <c r="D56" i="1"/>
  <c r="I56" i="1"/>
  <c r="AC56" i="1"/>
  <c r="AE56" i="1"/>
  <c r="AD56" i="1" s="1"/>
  <c r="CR56" i="1" s="1"/>
  <c r="Q56" i="1" s="1"/>
  <c r="AF56" i="1"/>
  <c r="CT56" i="1" s="1"/>
  <c r="AG56" i="1"/>
  <c r="CU56" i="1" s="1"/>
  <c r="T56" i="1" s="1"/>
  <c r="AH56" i="1"/>
  <c r="AI56" i="1"/>
  <c r="CW56" i="1" s="1"/>
  <c r="V56" i="1" s="1"/>
  <c r="AJ56" i="1"/>
  <c r="CX56" i="1" s="1"/>
  <c r="CQ56" i="1"/>
  <c r="CV56" i="1"/>
  <c r="FR56" i="1"/>
  <c r="GL56" i="1"/>
  <c r="GO56" i="1"/>
  <c r="GP56" i="1"/>
  <c r="GV56" i="1"/>
  <c r="GX56" i="1" s="1"/>
  <c r="C57" i="1"/>
  <c r="D57" i="1"/>
  <c r="I57" i="1"/>
  <c r="AC57" i="1"/>
  <c r="AE57" i="1"/>
  <c r="AF57" i="1"/>
  <c r="AG57" i="1"/>
  <c r="CU57" i="1" s="1"/>
  <c r="T57" i="1" s="1"/>
  <c r="AH57" i="1"/>
  <c r="CV57" i="1" s="1"/>
  <c r="AI57" i="1"/>
  <c r="AJ57" i="1"/>
  <c r="CX57" i="1" s="1"/>
  <c r="CS57" i="1"/>
  <c r="R57" i="1" s="1"/>
  <c r="CT57" i="1"/>
  <c r="CW57" i="1"/>
  <c r="V57" i="1" s="1"/>
  <c r="Z154" i="6" s="1"/>
  <c r="FR57" i="1"/>
  <c r="GL57" i="1"/>
  <c r="GO57" i="1"/>
  <c r="GP57" i="1"/>
  <c r="GV57" i="1"/>
  <c r="I58" i="1"/>
  <c r="AC58" i="1"/>
  <c r="AE58" i="1"/>
  <c r="AD58" i="1" s="1"/>
  <c r="CR58" i="1" s="1"/>
  <c r="Q58" i="1" s="1"/>
  <c r="AF58" i="1"/>
  <c r="CT58" i="1" s="1"/>
  <c r="AG58" i="1"/>
  <c r="CU58" i="1" s="1"/>
  <c r="T58" i="1" s="1"/>
  <c r="AH58" i="1"/>
  <c r="AI58" i="1"/>
  <c r="CW58" i="1" s="1"/>
  <c r="V58" i="1" s="1"/>
  <c r="AJ58" i="1"/>
  <c r="CX58" i="1" s="1"/>
  <c r="CQ58" i="1"/>
  <c r="P58" i="1" s="1"/>
  <c r="CV58" i="1"/>
  <c r="FR58" i="1"/>
  <c r="GL58" i="1"/>
  <c r="GO58" i="1"/>
  <c r="GP58" i="1"/>
  <c r="GV58" i="1"/>
  <c r="AC59" i="1"/>
  <c r="CQ59" i="1" s="1"/>
  <c r="AE59" i="1"/>
  <c r="CS59" i="1" s="1"/>
  <c r="AF59" i="1"/>
  <c r="CT59" i="1" s="1"/>
  <c r="AG59" i="1"/>
  <c r="AH59" i="1"/>
  <c r="CV59" i="1" s="1"/>
  <c r="AI59" i="1"/>
  <c r="CW59" i="1" s="1"/>
  <c r="AJ59" i="1"/>
  <c r="CX59" i="1" s="1"/>
  <c r="CU59" i="1"/>
  <c r="FR59" i="1"/>
  <c r="GL59" i="1"/>
  <c r="GO59" i="1"/>
  <c r="GP59" i="1"/>
  <c r="GV59" i="1"/>
  <c r="AC60" i="1"/>
  <c r="AE60" i="1"/>
  <c r="AF60" i="1"/>
  <c r="CT60" i="1" s="1"/>
  <c r="AG60" i="1"/>
  <c r="CU60" i="1" s="1"/>
  <c r="AH60" i="1"/>
  <c r="CV60" i="1" s="1"/>
  <c r="AI60" i="1"/>
  <c r="CW60" i="1" s="1"/>
  <c r="AJ60" i="1"/>
  <c r="CQ60" i="1"/>
  <c r="CX60" i="1"/>
  <c r="FR60" i="1"/>
  <c r="GL60" i="1"/>
  <c r="GO60" i="1"/>
  <c r="GP60" i="1"/>
  <c r="GV60" i="1"/>
  <c r="I61" i="1"/>
  <c r="AC61" i="1"/>
  <c r="AE61" i="1"/>
  <c r="AD61" i="1" s="1"/>
  <c r="CR61" i="1" s="1"/>
  <c r="Q61" i="1" s="1"/>
  <c r="W172" i="6" s="1"/>
  <c r="AF61" i="1"/>
  <c r="AG61" i="1"/>
  <c r="CU61" i="1" s="1"/>
  <c r="AH61" i="1"/>
  <c r="AI61" i="1"/>
  <c r="AJ61" i="1"/>
  <c r="CX61" i="1" s="1"/>
  <c r="CS61" i="1"/>
  <c r="R61" i="1" s="1"/>
  <c r="X172" i="6" s="1"/>
  <c r="CV61" i="1"/>
  <c r="CW61" i="1"/>
  <c r="V61" i="1" s="1"/>
  <c r="Z172" i="6" s="1"/>
  <c r="FR61" i="1"/>
  <c r="GK61" i="1"/>
  <c r="GL61" i="1"/>
  <c r="GO61" i="1"/>
  <c r="GP61" i="1"/>
  <c r="GV61" i="1"/>
  <c r="C62" i="1"/>
  <c r="D62" i="1"/>
  <c r="I62" i="1"/>
  <c r="AC62" i="1"/>
  <c r="CQ62" i="1" s="1"/>
  <c r="P62" i="1" s="1"/>
  <c r="AE62" i="1"/>
  <c r="AF62" i="1"/>
  <c r="CT62" i="1" s="1"/>
  <c r="S62" i="1" s="1"/>
  <c r="AG62" i="1"/>
  <c r="AH62" i="1"/>
  <c r="CV62" i="1" s="1"/>
  <c r="U62" i="1" s="1"/>
  <c r="AI62" i="1"/>
  <c r="CW62" i="1" s="1"/>
  <c r="V62" i="1" s="1"/>
  <c r="AJ62" i="1"/>
  <c r="CX62" i="1" s="1"/>
  <c r="W62" i="1" s="1"/>
  <c r="CU62" i="1"/>
  <c r="T62" i="1" s="1"/>
  <c r="FR62" i="1"/>
  <c r="GL62" i="1"/>
  <c r="GO62" i="1"/>
  <c r="GP62" i="1"/>
  <c r="GV62" i="1"/>
  <c r="GX62" i="1" s="1"/>
  <c r="C63" i="1"/>
  <c r="D63" i="1"/>
  <c r="I63" i="1"/>
  <c r="AC63" i="1"/>
  <c r="AE63" i="1"/>
  <c r="H116" i="5" s="1"/>
  <c r="R116" i="5" s="1"/>
  <c r="AF63" i="1"/>
  <c r="AG63" i="1"/>
  <c r="CU63" i="1" s="1"/>
  <c r="T63" i="1" s="1"/>
  <c r="AH63" i="1"/>
  <c r="AI63" i="1"/>
  <c r="CW63" i="1" s="1"/>
  <c r="V63" i="1" s="1"/>
  <c r="Z174" i="6" s="1"/>
  <c r="AJ63" i="1"/>
  <c r="CX63" i="1" s="1"/>
  <c r="CT63" i="1"/>
  <c r="S63" i="1" s="1"/>
  <c r="CV63" i="1"/>
  <c r="FR63" i="1"/>
  <c r="GL63" i="1"/>
  <c r="GO63" i="1"/>
  <c r="GP63" i="1"/>
  <c r="GV63" i="1"/>
  <c r="I64" i="1"/>
  <c r="AC64" i="1"/>
  <c r="AD64" i="1"/>
  <c r="CR64" i="1" s="1"/>
  <c r="Q64" i="1" s="1"/>
  <c r="AE64" i="1"/>
  <c r="AF64" i="1"/>
  <c r="CT64" i="1" s="1"/>
  <c r="S64" i="1" s="1"/>
  <c r="AG64" i="1"/>
  <c r="AH64" i="1"/>
  <c r="CV64" i="1" s="1"/>
  <c r="U64" i="1" s="1"/>
  <c r="AI64" i="1"/>
  <c r="AJ64" i="1"/>
  <c r="CQ64" i="1"/>
  <c r="CS64" i="1"/>
  <c r="R64" i="1" s="1"/>
  <c r="GK64" i="1" s="1"/>
  <c r="CU64" i="1"/>
  <c r="CW64" i="1"/>
  <c r="V64" i="1" s="1"/>
  <c r="CX64" i="1"/>
  <c r="W64" i="1" s="1"/>
  <c r="FR64" i="1"/>
  <c r="GL64" i="1"/>
  <c r="GO64" i="1"/>
  <c r="GP64" i="1"/>
  <c r="GV64" i="1"/>
  <c r="GX64" i="1" s="1"/>
  <c r="I65" i="1"/>
  <c r="AC65" i="1"/>
  <c r="AE65" i="1"/>
  <c r="AD65" i="1" s="1"/>
  <c r="CR65" i="1" s="1"/>
  <c r="Q65" i="1" s="1"/>
  <c r="W190" i="6" s="1"/>
  <c r="AF65" i="1"/>
  <c r="AG65" i="1"/>
  <c r="CU65" i="1" s="1"/>
  <c r="T65" i="1" s="1"/>
  <c r="AH65" i="1"/>
  <c r="AI65" i="1"/>
  <c r="CW65" i="1" s="1"/>
  <c r="V65" i="1" s="1"/>
  <c r="Z190" i="6" s="1"/>
  <c r="AJ65" i="1"/>
  <c r="CS65" i="1"/>
  <c r="R65" i="1" s="1"/>
  <c r="X190" i="6" s="1"/>
  <c r="CT65" i="1"/>
  <c r="CV65" i="1"/>
  <c r="U65" i="1" s="1"/>
  <c r="Y190" i="6" s="1"/>
  <c r="CX65" i="1"/>
  <c r="FR65" i="1"/>
  <c r="GL65" i="1"/>
  <c r="GO65" i="1"/>
  <c r="GP65" i="1"/>
  <c r="GV65" i="1"/>
  <c r="I66" i="1"/>
  <c r="AC66" i="1"/>
  <c r="AE66" i="1"/>
  <c r="AD66" i="1" s="1"/>
  <c r="CR66" i="1" s="1"/>
  <c r="Q66" i="1" s="1"/>
  <c r="AF66" i="1"/>
  <c r="CT66" i="1" s="1"/>
  <c r="AG66" i="1"/>
  <c r="CU66" i="1" s="1"/>
  <c r="T66" i="1" s="1"/>
  <c r="AH66" i="1"/>
  <c r="AI66" i="1"/>
  <c r="CW66" i="1" s="1"/>
  <c r="V66" i="1" s="1"/>
  <c r="AJ66" i="1"/>
  <c r="CX66" i="1" s="1"/>
  <c r="CQ66" i="1"/>
  <c r="P66" i="1" s="1"/>
  <c r="CV66" i="1"/>
  <c r="FR66" i="1"/>
  <c r="GL66" i="1"/>
  <c r="GO66" i="1"/>
  <c r="GP66" i="1"/>
  <c r="GV66" i="1"/>
  <c r="GX66" i="1" s="1"/>
  <c r="I67" i="1"/>
  <c r="AC67" i="1"/>
  <c r="CQ67" i="1" s="1"/>
  <c r="AE67" i="1"/>
  <c r="AF67" i="1"/>
  <c r="AG67" i="1"/>
  <c r="CU67" i="1" s="1"/>
  <c r="T67" i="1" s="1"/>
  <c r="AH67" i="1"/>
  <c r="AI67" i="1"/>
  <c r="CW67" i="1" s="1"/>
  <c r="V67" i="1" s="1"/>
  <c r="Z192" i="6" s="1"/>
  <c r="AJ67" i="1"/>
  <c r="CX67" i="1" s="1"/>
  <c r="CT67" i="1"/>
  <c r="S67" i="1" s="1"/>
  <c r="V192" i="6" s="1"/>
  <c r="CV67" i="1"/>
  <c r="U67" i="1" s="1"/>
  <c r="Y192" i="6" s="1"/>
  <c r="FR67" i="1"/>
  <c r="GL67" i="1"/>
  <c r="GO67" i="1"/>
  <c r="GP67" i="1"/>
  <c r="GV67" i="1"/>
  <c r="C68" i="1"/>
  <c r="D68" i="1"/>
  <c r="I68" i="1"/>
  <c r="I70" i="1" s="1"/>
  <c r="GX70" i="1" s="1"/>
  <c r="AC68" i="1"/>
  <c r="AE68" i="1"/>
  <c r="AD68" i="1" s="1"/>
  <c r="CR68" i="1" s="1"/>
  <c r="Q68" i="1" s="1"/>
  <c r="AF68" i="1"/>
  <c r="CT68" i="1" s="1"/>
  <c r="AG68" i="1"/>
  <c r="CU68" i="1" s="1"/>
  <c r="T68" i="1" s="1"/>
  <c r="AH68" i="1"/>
  <c r="AI68" i="1"/>
  <c r="CW68" i="1" s="1"/>
  <c r="V68" i="1" s="1"/>
  <c r="AJ68" i="1"/>
  <c r="CX68" i="1" s="1"/>
  <c r="CQ68" i="1"/>
  <c r="P68" i="1" s="1"/>
  <c r="CV68" i="1"/>
  <c r="FR68" i="1"/>
  <c r="GL68" i="1"/>
  <c r="GO68" i="1"/>
  <c r="GP68" i="1"/>
  <c r="GV68" i="1"/>
  <c r="C69" i="1"/>
  <c r="D69" i="1"/>
  <c r="I69" i="1"/>
  <c r="I73" i="1" s="1"/>
  <c r="AC69" i="1"/>
  <c r="H129" i="5" s="1"/>
  <c r="AE69" i="1"/>
  <c r="AF69" i="1"/>
  <c r="AG69" i="1"/>
  <c r="CU69" i="1" s="1"/>
  <c r="AH69" i="1"/>
  <c r="CV69" i="1" s="1"/>
  <c r="U69" i="1" s="1"/>
  <c r="AI69" i="1"/>
  <c r="AJ69" i="1"/>
  <c r="CX69" i="1" s="1"/>
  <c r="W69" i="1" s="1"/>
  <c r="CS69" i="1"/>
  <c r="CT69" i="1"/>
  <c r="S69" i="1" s="1"/>
  <c r="CW69" i="1"/>
  <c r="V69" i="1" s="1"/>
  <c r="Z194" i="6" s="1"/>
  <c r="FR69" i="1"/>
  <c r="GL69" i="1"/>
  <c r="GO69" i="1"/>
  <c r="GP69" i="1"/>
  <c r="GV69" i="1"/>
  <c r="GX69" i="1" s="1"/>
  <c r="AC70" i="1"/>
  <c r="CQ70" i="1" s="1"/>
  <c r="AE70" i="1"/>
  <c r="AD70" i="1" s="1"/>
  <c r="CR70" i="1" s="1"/>
  <c r="AF70" i="1"/>
  <c r="CT70" i="1" s="1"/>
  <c r="AG70" i="1"/>
  <c r="AH70" i="1"/>
  <c r="CV70" i="1" s="1"/>
  <c r="AI70" i="1"/>
  <c r="AJ70" i="1"/>
  <c r="CX70" i="1" s="1"/>
  <c r="CU70" i="1"/>
  <c r="CW70" i="1"/>
  <c r="FR70" i="1"/>
  <c r="GL70" i="1"/>
  <c r="GO70" i="1"/>
  <c r="GP70" i="1"/>
  <c r="GV70" i="1"/>
  <c r="AC71" i="1"/>
  <c r="CQ71" i="1" s="1"/>
  <c r="AE71" i="1"/>
  <c r="AF71" i="1"/>
  <c r="AG71" i="1"/>
  <c r="AH71" i="1"/>
  <c r="AI71" i="1"/>
  <c r="CW71" i="1" s="1"/>
  <c r="AJ71" i="1"/>
  <c r="CX71" i="1" s="1"/>
  <c r="CT71" i="1"/>
  <c r="CU71" i="1"/>
  <c r="CV71" i="1"/>
  <c r="FR71" i="1"/>
  <c r="GL71" i="1"/>
  <c r="GO71" i="1"/>
  <c r="GP71" i="1"/>
  <c r="GV71" i="1"/>
  <c r="AC72" i="1"/>
  <c r="AE72" i="1"/>
  <c r="AD72" i="1" s="1"/>
  <c r="CR72" i="1" s="1"/>
  <c r="AF72" i="1"/>
  <c r="AG72" i="1"/>
  <c r="CU72" i="1" s="1"/>
  <c r="AH72" i="1"/>
  <c r="CV72" i="1" s="1"/>
  <c r="AI72" i="1"/>
  <c r="AJ72" i="1"/>
  <c r="CQ72" i="1"/>
  <c r="CT72" i="1"/>
  <c r="CW72" i="1"/>
  <c r="CX72" i="1"/>
  <c r="FR72" i="1"/>
  <c r="GL72" i="1"/>
  <c r="GO72" i="1"/>
  <c r="GP72" i="1"/>
  <c r="GV72" i="1"/>
  <c r="AC73" i="1"/>
  <c r="AE73" i="1"/>
  <c r="AD73" i="1" s="1"/>
  <c r="CR73" i="1" s="1"/>
  <c r="AF73" i="1"/>
  <c r="AG73" i="1"/>
  <c r="CU73" i="1" s="1"/>
  <c r="AH73" i="1"/>
  <c r="AI73" i="1"/>
  <c r="CW73" i="1" s="1"/>
  <c r="V73" i="1" s="1"/>
  <c r="Z212" i="6" s="1"/>
  <c r="AJ73" i="1"/>
  <c r="CS73" i="1"/>
  <c r="CT73" i="1"/>
  <c r="CV73" i="1"/>
  <c r="CX73" i="1"/>
  <c r="W73" i="1" s="1"/>
  <c r="FR73" i="1"/>
  <c r="GL73" i="1"/>
  <c r="GO73" i="1"/>
  <c r="GP73" i="1"/>
  <c r="GV73" i="1"/>
  <c r="GX73" i="1" s="1"/>
  <c r="B75" i="1"/>
  <c r="B22" i="1" s="1"/>
  <c r="C75" i="1"/>
  <c r="C22" i="1" s="1"/>
  <c r="D75" i="1"/>
  <c r="D22" i="1" s="1"/>
  <c r="F75" i="1"/>
  <c r="F22" i="1" s="1"/>
  <c r="G75" i="1"/>
  <c r="BX75" i="1"/>
  <c r="BX22" i="1" s="1"/>
  <c r="BZ75" i="1"/>
  <c r="CK75" i="1"/>
  <c r="CK22" i="1" s="1"/>
  <c r="CL75" i="1"/>
  <c r="FP75" i="1"/>
  <c r="FP22" i="1" s="1"/>
  <c r="FR75" i="1"/>
  <c r="FY75" i="1" s="1"/>
  <c r="GC75" i="1"/>
  <c r="GC22" i="1" s="1"/>
  <c r="GD75" i="1"/>
  <c r="B107" i="1"/>
  <c r="B18" i="1" s="1"/>
  <c r="C107" i="1"/>
  <c r="C18" i="1" s="1"/>
  <c r="D107" i="1"/>
  <c r="D18" i="1" s="1"/>
  <c r="F107" i="1"/>
  <c r="F18" i="1" s="1"/>
  <c r="G107" i="1"/>
  <c r="BB75" i="1" l="1"/>
  <c r="BB22" i="1" s="1"/>
  <c r="V70" i="1"/>
  <c r="AD60" i="1"/>
  <c r="CR60" i="1" s="1"/>
  <c r="CS60" i="1"/>
  <c r="FV75" i="1"/>
  <c r="GX67" i="1"/>
  <c r="W67" i="1"/>
  <c r="P67" i="1"/>
  <c r="U192" i="6" s="1"/>
  <c r="GX65" i="1"/>
  <c r="GK65" i="1"/>
  <c r="W65" i="1"/>
  <c r="S65" i="1"/>
  <c r="V190" i="6" s="1"/>
  <c r="U63" i="1"/>
  <c r="AD62" i="1"/>
  <c r="CR62" i="1" s="1"/>
  <c r="Q62" i="1" s="1"/>
  <c r="CS62" i="1"/>
  <c r="R62" i="1" s="1"/>
  <c r="GK62" i="1" s="1"/>
  <c r="U53" i="1"/>
  <c r="Y137" i="6" s="1"/>
  <c r="AB42" i="1"/>
  <c r="AB38" i="1"/>
  <c r="AB34" i="1"/>
  <c r="T64" i="1"/>
  <c r="P64" i="1"/>
  <c r="GX63" i="1"/>
  <c r="FQ75" i="1"/>
  <c r="W63" i="1"/>
  <c r="H117" i="5"/>
  <c r="U61" i="1"/>
  <c r="Y172" i="6" s="1"/>
  <c r="W61" i="1"/>
  <c r="GX57" i="1"/>
  <c r="S57" i="1"/>
  <c r="W57" i="1"/>
  <c r="U57" i="1"/>
  <c r="H105" i="5"/>
  <c r="GX53" i="1"/>
  <c r="W53" i="1"/>
  <c r="I52" i="1"/>
  <c r="V52" i="1" s="1"/>
  <c r="T50" i="1"/>
  <c r="P50" i="1"/>
  <c r="R48" i="1"/>
  <c r="GK48" i="1" s="1"/>
  <c r="I48" i="1"/>
  <c r="V48" i="1" s="1"/>
  <c r="S47" i="1"/>
  <c r="V131" i="6" s="1"/>
  <c r="W47" i="1"/>
  <c r="U47" i="1"/>
  <c r="Y131" i="6" s="1"/>
  <c r="R46" i="1"/>
  <c r="I46" i="1"/>
  <c r="U46" i="1" s="1"/>
  <c r="CS44" i="1"/>
  <c r="GX43" i="1"/>
  <c r="W43" i="1"/>
  <c r="R42" i="1"/>
  <c r="GK42" i="1" s="1"/>
  <c r="GX39" i="1"/>
  <c r="W39" i="1"/>
  <c r="R38" i="1"/>
  <c r="GK38" i="1" s="1"/>
  <c r="I38" i="1"/>
  <c r="T36" i="1"/>
  <c r="P36" i="1"/>
  <c r="I34" i="1"/>
  <c r="S34" i="1" s="1"/>
  <c r="W32" i="1"/>
  <c r="GX31" i="1"/>
  <c r="W31" i="1"/>
  <c r="U31" i="1"/>
  <c r="CQ29" i="1"/>
  <c r="P29" i="1" s="1"/>
  <c r="W28" i="1"/>
  <c r="GX27" i="1"/>
  <c r="U27" i="1"/>
  <c r="P27" i="1"/>
  <c r="U47" i="6" s="1"/>
  <c r="CR24" i="1"/>
  <c r="Q24" i="1" s="1"/>
  <c r="F212" i="6"/>
  <c r="E134" i="5"/>
  <c r="CZ64" i="1"/>
  <c r="Y64" i="1" s="1"/>
  <c r="CY64" i="1"/>
  <c r="X64" i="1" s="1"/>
  <c r="CZ50" i="1"/>
  <c r="Y50" i="1" s="1"/>
  <c r="CY50" i="1"/>
  <c r="X50" i="1" s="1"/>
  <c r="V111" i="6"/>
  <c r="K80" i="5"/>
  <c r="Y111" i="6"/>
  <c r="L86" i="5"/>
  <c r="L93" i="5"/>
  <c r="Q93" i="5" s="1"/>
  <c r="CZ36" i="1"/>
  <c r="Y36" i="1" s="1"/>
  <c r="CY36" i="1"/>
  <c r="X36" i="1" s="1"/>
  <c r="U89" i="6"/>
  <c r="K70" i="5"/>
  <c r="GK31" i="1"/>
  <c r="X72" i="6"/>
  <c r="K59" i="5"/>
  <c r="GK27" i="1"/>
  <c r="X47" i="6"/>
  <c r="K40" i="5"/>
  <c r="V194" i="6"/>
  <c r="K126" i="5"/>
  <c r="Y194" i="6"/>
  <c r="L132" i="5"/>
  <c r="L135" i="5"/>
  <c r="Q135" i="5" s="1"/>
  <c r="Y154" i="6"/>
  <c r="L111" i="5"/>
  <c r="Q111" i="5" s="1"/>
  <c r="L108" i="5"/>
  <c r="U56" i="6"/>
  <c r="K50" i="5"/>
  <c r="U73" i="1"/>
  <c r="Y212" i="6" s="1"/>
  <c r="Q73" i="1"/>
  <c r="W212" i="6" s="1"/>
  <c r="FU75" i="1"/>
  <c r="U122" i="5"/>
  <c r="S122" i="5"/>
  <c r="BB107" i="1"/>
  <c r="BB18" i="1" s="1"/>
  <c r="F88" i="1"/>
  <c r="EG75" i="1"/>
  <c r="P79" i="1" s="1"/>
  <c r="S73" i="1"/>
  <c r="V212" i="6" s="1"/>
  <c r="S134" i="5"/>
  <c r="U134" i="5"/>
  <c r="H134" i="5"/>
  <c r="W134" i="5" s="1"/>
  <c r="CS72" i="1"/>
  <c r="CS70" i="1"/>
  <c r="R70" i="1" s="1"/>
  <c r="GK70" i="1" s="1"/>
  <c r="R69" i="1"/>
  <c r="T69" i="1"/>
  <c r="AD69" i="1"/>
  <c r="H128" i="5"/>
  <c r="R128" i="5" s="1"/>
  <c r="CS68" i="1"/>
  <c r="R68" i="1" s="1"/>
  <c r="GK68" i="1" s="1"/>
  <c r="GX68" i="1"/>
  <c r="F192" i="6"/>
  <c r="E122" i="5"/>
  <c r="U66" i="1"/>
  <c r="CS66" i="1"/>
  <c r="R66" i="1" s="1"/>
  <c r="GK66" i="1" s="1"/>
  <c r="W66" i="1"/>
  <c r="S66" i="1"/>
  <c r="S121" i="5"/>
  <c r="U121" i="5"/>
  <c r="H121" i="5"/>
  <c r="W121" i="5" s="1"/>
  <c r="CP64" i="1"/>
  <c r="O64" i="1" s="1"/>
  <c r="AB64" i="1"/>
  <c r="CQ63" i="1"/>
  <c r="P63" i="1" s="1"/>
  <c r="C175" i="6"/>
  <c r="F174" i="6"/>
  <c r="C113" i="5"/>
  <c r="E112" i="5"/>
  <c r="CT61" i="1"/>
  <c r="S61" i="1" s="1"/>
  <c r="V172" i="6" s="1"/>
  <c r="U110" i="5"/>
  <c r="S110" i="5"/>
  <c r="CQ61" i="1"/>
  <c r="H110" i="5"/>
  <c r="W110" i="5" s="1"/>
  <c r="GX61" i="1"/>
  <c r="F172" i="6"/>
  <c r="E110" i="5"/>
  <c r="AB58" i="1"/>
  <c r="GX58" i="1"/>
  <c r="V154" i="6"/>
  <c r="K102" i="5"/>
  <c r="G167" i="6"/>
  <c r="G165" i="6"/>
  <c r="S100" i="5"/>
  <c r="H102" i="5"/>
  <c r="R102" i="5" s="1"/>
  <c r="U100" i="5"/>
  <c r="U92" i="5"/>
  <c r="S92" i="5"/>
  <c r="F137" i="6"/>
  <c r="E92" i="5"/>
  <c r="GK51" i="1"/>
  <c r="X135" i="6"/>
  <c r="F135" i="6"/>
  <c r="E91" i="5"/>
  <c r="F133" i="6"/>
  <c r="E90" i="5"/>
  <c r="S89" i="5"/>
  <c r="U89" i="5"/>
  <c r="CQ47" i="1"/>
  <c r="P47" i="1" s="1"/>
  <c r="U131" i="6" s="1"/>
  <c r="H89" i="5"/>
  <c r="W89" i="5" s="1"/>
  <c r="F131" i="6"/>
  <c r="E89" i="5"/>
  <c r="GK45" i="1"/>
  <c r="X129" i="6"/>
  <c r="F129" i="6"/>
  <c r="E88" i="5"/>
  <c r="S87" i="5"/>
  <c r="U87" i="5"/>
  <c r="GX42" i="1"/>
  <c r="G124" i="6"/>
  <c r="G122" i="6"/>
  <c r="H80" i="5"/>
  <c r="R80" i="5" s="1"/>
  <c r="U78" i="5"/>
  <c r="S78" i="5"/>
  <c r="C112" i="6"/>
  <c r="F111" i="6"/>
  <c r="C79" i="5"/>
  <c r="E78" i="5"/>
  <c r="U76" i="5"/>
  <c r="S76" i="5"/>
  <c r="CQ39" i="1"/>
  <c r="P39" i="1" s="1"/>
  <c r="U109" i="6" s="1"/>
  <c r="GX38" i="1"/>
  <c r="U75" i="5"/>
  <c r="S75" i="5"/>
  <c r="F107" i="6"/>
  <c r="E75" i="5"/>
  <c r="E74" i="5"/>
  <c r="F105" i="6"/>
  <c r="AD33" i="1"/>
  <c r="H69" i="5"/>
  <c r="R69" i="5" s="1"/>
  <c r="Y89" i="6"/>
  <c r="L77" i="5"/>
  <c r="Q77" i="5" s="1"/>
  <c r="L73" i="5"/>
  <c r="CX44" i="3"/>
  <c r="C90" i="6"/>
  <c r="F89" i="6"/>
  <c r="C66" i="5"/>
  <c r="E65" i="5"/>
  <c r="CQ31" i="1"/>
  <c r="P31" i="1" s="1"/>
  <c r="H60" i="5"/>
  <c r="CS29" i="1"/>
  <c r="R29" i="1" s="1"/>
  <c r="H49" i="5"/>
  <c r="R49" i="5" s="1"/>
  <c r="C48" i="6"/>
  <c r="F47" i="6"/>
  <c r="C37" i="5"/>
  <c r="E36" i="5"/>
  <c r="CX48" i="3"/>
  <c r="G18" i="1"/>
  <c r="AG222" i="6"/>
  <c r="C222" i="6"/>
  <c r="G22" i="1"/>
  <c r="C215" i="6"/>
  <c r="A137" i="5"/>
  <c r="R73" i="1"/>
  <c r="T73" i="1"/>
  <c r="G207" i="6"/>
  <c r="G205" i="6"/>
  <c r="S124" i="5"/>
  <c r="H126" i="5"/>
  <c r="U124" i="5"/>
  <c r="I71" i="1"/>
  <c r="T71" i="1" s="1"/>
  <c r="C195" i="6"/>
  <c r="F194" i="6"/>
  <c r="C125" i="5"/>
  <c r="E124" i="5"/>
  <c r="F190" i="6"/>
  <c r="E121" i="5"/>
  <c r="Y174" i="6"/>
  <c r="L120" i="5"/>
  <c r="L123" i="5"/>
  <c r="Q123" i="5" s="1"/>
  <c r="V174" i="6"/>
  <c r="K114" i="5"/>
  <c r="G185" i="6"/>
  <c r="G187" i="6"/>
  <c r="S112" i="5"/>
  <c r="H118" i="5" s="1"/>
  <c r="H114" i="5"/>
  <c r="R114" i="5" s="1"/>
  <c r="U112" i="5"/>
  <c r="H119" i="5" s="1"/>
  <c r="CD75" i="1"/>
  <c r="CC75" i="1"/>
  <c r="U58" i="1"/>
  <c r="CS58" i="1"/>
  <c r="R58" i="1" s="1"/>
  <c r="GK58" i="1" s="1"/>
  <c r="W58" i="1"/>
  <c r="S58" i="1"/>
  <c r="CP58" i="1" s="1"/>
  <c r="O58" i="1" s="1"/>
  <c r="GK57" i="1"/>
  <c r="X154" i="6"/>
  <c r="K104" i="5"/>
  <c r="AD57" i="1"/>
  <c r="H104" i="5"/>
  <c r="R104" i="5" s="1"/>
  <c r="C155" i="6"/>
  <c r="F154" i="6"/>
  <c r="C101" i="5"/>
  <c r="E100" i="5"/>
  <c r="U56" i="1"/>
  <c r="CS56" i="1"/>
  <c r="R56" i="1" s="1"/>
  <c r="GK56" i="1" s="1"/>
  <c r="W56" i="1"/>
  <c r="S56" i="1"/>
  <c r="Y139" i="6"/>
  <c r="L99" i="5"/>
  <c r="Q99" i="5" s="1"/>
  <c r="L98" i="5"/>
  <c r="V139" i="6"/>
  <c r="K95" i="5"/>
  <c r="G149" i="6"/>
  <c r="G151" i="6"/>
  <c r="U94" i="5"/>
  <c r="H97" i="5" s="1"/>
  <c r="H95" i="5"/>
  <c r="S94" i="5"/>
  <c r="H96" i="5" s="1"/>
  <c r="T53" i="1"/>
  <c r="CQ53" i="1"/>
  <c r="P53" i="1" s="1"/>
  <c r="U137" i="6" s="1"/>
  <c r="V53" i="1"/>
  <c r="Z137" i="6" s="1"/>
  <c r="CS52" i="1"/>
  <c r="R52" i="1" s="1"/>
  <c r="GK52" i="1" s="1"/>
  <c r="GX52" i="1"/>
  <c r="S51" i="1"/>
  <c r="V135" i="6" s="1"/>
  <c r="U91" i="5"/>
  <c r="S91" i="5"/>
  <c r="H91" i="5"/>
  <c r="W91" i="5" s="1"/>
  <c r="V50" i="1"/>
  <c r="GX49" i="1"/>
  <c r="U49" i="1"/>
  <c r="Y133" i="6" s="1"/>
  <c r="S49" i="1"/>
  <c r="V133" i="6" s="1"/>
  <c r="S90" i="5"/>
  <c r="U90" i="5"/>
  <c r="R47" i="1"/>
  <c r="T47" i="1"/>
  <c r="Q47" i="1"/>
  <c r="W131" i="6" s="1"/>
  <c r="T46" i="1"/>
  <c r="V46" i="1"/>
  <c r="W45" i="1"/>
  <c r="S45" i="1"/>
  <c r="V129" i="6" s="1"/>
  <c r="S88" i="5"/>
  <c r="U88" i="5"/>
  <c r="CQ45" i="1"/>
  <c r="P45" i="1" s="1"/>
  <c r="U129" i="6" s="1"/>
  <c r="H88" i="5"/>
  <c r="W88" i="5" s="1"/>
  <c r="CQ43" i="1"/>
  <c r="P43" i="1" s="1"/>
  <c r="U127" i="6" s="1"/>
  <c r="F127" i="6"/>
  <c r="E87" i="5"/>
  <c r="V42" i="1"/>
  <c r="CQ42" i="1"/>
  <c r="R41" i="1"/>
  <c r="T41" i="1"/>
  <c r="AD41" i="1"/>
  <c r="H82" i="5"/>
  <c r="R82" i="5" s="1"/>
  <c r="CS40" i="1"/>
  <c r="R40" i="1" s="1"/>
  <c r="GK40" i="1" s="1"/>
  <c r="CT39" i="1"/>
  <c r="S39" i="1" s="1"/>
  <c r="V109" i="6" s="1"/>
  <c r="E76" i="5"/>
  <c r="F109" i="6"/>
  <c r="V38" i="1"/>
  <c r="CQ38" i="1"/>
  <c r="CT37" i="1"/>
  <c r="S37" i="1" s="1"/>
  <c r="V107" i="6" s="1"/>
  <c r="V37" i="1"/>
  <c r="Z107" i="6" s="1"/>
  <c r="T37" i="1"/>
  <c r="R37" i="1"/>
  <c r="V36" i="1"/>
  <c r="GX35" i="1"/>
  <c r="U35" i="1"/>
  <c r="Y105" i="6" s="1"/>
  <c r="U74" i="5"/>
  <c r="S74" i="5"/>
  <c r="CQ35" i="1"/>
  <c r="P35" i="1" s="1"/>
  <c r="U105" i="6" s="1"/>
  <c r="V34" i="1"/>
  <c r="T34" i="1"/>
  <c r="CQ34" i="1"/>
  <c r="P34" i="1" s="1"/>
  <c r="Q34" i="1"/>
  <c r="CS33" i="1"/>
  <c r="R33" i="1" s="1"/>
  <c r="W33" i="1"/>
  <c r="CT33" i="1"/>
  <c r="S33" i="1" s="1"/>
  <c r="G100" i="6"/>
  <c r="S65" i="5"/>
  <c r="G102" i="6"/>
  <c r="H67" i="5"/>
  <c r="U65" i="5"/>
  <c r="H70" i="5"/>
  <c r="GX32" i="1"/>
  <c r="S32" i="1"/>
  <c r="U32" i="1"/>
  <c r="AD32" i="1"/>
  <c r="CR32" i="1" s="1"/>
  <c r="Q32" i="1" s="1"/>
  <c r="Y72" i="6"/>
  <c r="L64" i="5"/>
  <c r="Q64" i="5" s="1"/>
  <c r="L63" i="5"/>
  <c r="CT31" i="1"/>
  <c r="S31" i="1" s="1"/>
  <c r="G86" i="6"/>
  <c r="G84" i="6"/>
  <c r="S55" i="5"/>
  <c r="H61" i="5" s="1"/>
  <c r="H57" i="5"/>
  <c r="U55" i="5"/>
  <c r="H62" i="5" s="1"/>
  <c r="AD31" i="1"/>
  <c r="C73" i="6"/>
  <c r="F72" i="6"/>
  <c r="C56" i="5"/>
  <c r="E55" i="5"/>
  <c r="Y56" i="6"/>
  <c r="L54" i="5"/>
  <c r="Q54" i="5" s="1"/>
  <c r="L53" i="5"/>
  <c r="CT29" i="1"/>
  <c r="S29" i="1" s="1"/>
  <c r="G67" i="6"/>
  <c r="G69" i="6"/>
  <c r="H47" i="5"/>
  <c r="U45" i="5"/>
  <c r="H52" i="5" s="1"/>
  <c r="S45" i="5"/>
  <c r="H51" i="5" s="1"/>
  <c r="AD29" i="1"/>
  <c r="H48" i="5" s="1"/>
  <c r="CX20" i="3"/>
  <c r="C57" i="6"/>
  <c r="F56" i="6"/>
  <c r="C46" i="5"/>
  <c r="E45" i="5"/>
  <c r="U28" i="1"/>
  <c r="AD28" i="1"/>
  <c r="CR28" i="1" s="1"/>
  <c r="Q28" i="1" s="1"/>
  <c r="Y47" i="6"/>
  <c r="L44" i="5"/>
  <c r="Q44" i="5" s="1"/>
  <c r="L43" i="5"/>
  <c r="CT27" i="1"/>
  <c r="G54" i="6"/>
  <c r="G53" i="6"/>
  <c r="S36" i="5"/>
  <c r="H41" i="5" s="1"/>
  <c r="H38" i="5"/>
  <c r="U36" i="5"/>
  <c r="H42" i="5" s="1"/>
  <c r="AD27" i="1"/>
  <c r="Y38" i="6"/>
  <c r="L35" i="5"/>
  <c r="Q35" i="5" s="1"/>
  <c r="L34" i="5"/>
  <c r="CT25" i="1"/>
  <c r="S25" i="1" s="1"/>
  <c r="G44" i="6"/>
  <c r="G45" i="6"/>
  <c r="S29" i="5"/>
  <c r="H32" i="5" s="1"/>
  <c r="H31" i="5"/>
  <c r="U29" i="5"/>
  <c r="H33" i="5" s="1"/>
  <c r="AD25" i="1"/>
  <c r="CX2" i="3"/>
  <c r="C39" i="6"/>
  <c r="F38" i="6"/>
  <c r="C30" i="5"/>
  <c r="E29" i="5"/>
  <c r="CX64" i="3"/>
  <c r="CX16" i="3"/>
  <c r="FY22" i="1"/>
  <c r="EP75" i="1"/>
  <c r="CD22" i="1"/>
  <c r="AU75" i="1"/>
  <c r="CZ73" i="1"/>
  <c r="Y73" i="1" s="1"/>
  <c r="CY73" i="1"/>
  <c r="X73" i="1" s="1"/>
  <c r="FU22" i="1"/>
  <c r="EL75" i="1"/>
  <c r="GN64" i="1"/>
  <c r="GM64" i="1"/>
  <c r="CL22" i="1"/>
  <c r="BC75" i="1"/>
  <c r="GD22" i="1"/>
  <c r="EU75" i="1"/>
  <c r="ET75" i="1"/>
  <c r="AB73" i="1"/>
  <c r="G212" i="6" s="1"/>
  <c r="CQ73" i="1"/>
  <c r="P73" i="1" s="1"/>
  <c r="AB72" i="1"/>
  <c r="GX71" i="1"/>
  <c r="P71" i="1"/>
  <c r="U210" i="6" s="1"/>
  <c r="T70" i="1"/>
  <c r="Q70" i="1"/>
  <c r="U68" i="1"/>
  <c r="W68" i="1"/>
  <c r="S68" i="1"/>
  <c r="CP66" i="1"/>
  <c r="O66" i="1" s="1"/>
  <c r="AB66" i="1"/>
  <c r="CZ62" i="1"/>
  <c r="Y62" i="1" s="1"/>
  <c r="CY62" i="1"/>
  <c r="X62" i="1" s="1"/>
  <c r="CY54" i="1"/>
  <c r="X54" i="1" s="1"/>
  <c r="CZ54" i="1"/>
  <c r="Y54" i="1" s="1"/>
  <c r="CY66" i="1"/>
  <c r="X66" i="1" s="1"/>
  <c r="CZ66" i="1"/>
  <c r="Y66" i="1" s="1"/>
  <c r="CY61" i="1"/>
  <c r="X61" i="1" s="1"/>
  <c r="CZ61" i="1"/>
  <c r="Y61" i="1" s="1"/>
  <c r="CY57" i="1"/>
  <c r="X57" i="1" s="1"/>
  <c r="CZ57" i="1"/>
  <c r="Y57" i="1" s="1"/>
  <c r="GK49" i="1"/>
  <c r="CZ49" i="1"/>
  <c r="Y49" i="1" s="1"/>
  <c r="CY47" i="1"/>
  <c r="X47" i="1" s="1"/>
  <c r="CZ47" i="1"/>
  <c r="Y47" i="1" s="1"/>
  <c r="CP47" i="1"/>
  <c r="O47" i="1" s="1"/>
  <c r="FR22" i="1"/>
  <c r="EI75" i="1"/>
  <c r="CZ65" i="1"/>
  <c r="Y65" i="1" s="1"/>
  <c r="CY65" i="1"/>
  <c r="X65" i="1" s="1"/>
  <c r="F120" i="1"/>
  <c r="FV22" i="1"/>
  <c r="EM75" i="1"/>
  <c r="FQ22" i="1"/>
  <c r="GA75" i="1"/>
  <c r="EH75" i="1"/>
  <c r="S71" i="1"/>
  <c r="V210" i="6" s="1"/>
  <c r="V71" i="1"/>
  <c r="Z210" i="6" s="1"/>
  <c r="AD71" i="1"/>
  <c r="CR71" i="1" s="1"/>
  <c r="Q71" i="1" s="1"/>
  <c r="W210" i="6" s="1"/>
  <c r="CS71" i="1"/>
  <c r="R71" i="1" s="1"/>
  <c r="P70" i="1"/>
  <c r="AB70" i="1"/>
  <c r="CX114" i="3"/>
  <c r="CX118" i="3"/>
  <c r="CX111" i="3"/>
  <c r="CX115" i="3"/>
  <c r="CX119" i="3"/>
  <c r="CX113" i="3"/>
  <c r="CX117" i="3"/>
  <c r="CX116" i="3"/>
  <c r="CX112" i="3"/>
  <c r="I72" i="1"/>
  <c r="V72" i="1" s="1"/>
  <c r="CP62" i="1"/>
  <c r="O62" i="1" s="1"/>
  <c r="AB62" i="1"/>
  <c r="CY56" i="1"/>
  <c r="X56" i="1" s="1"/>
  <c r="CZ56" i="1"/>
  <c r="Y56" i="1" s="1"/>
  <c r="CR52" i="1"/>
  <c r="Q52" i="1" s="1"/>
  <c r="AB52" i="1"/>
  <c r="BZ22" i="1"/>
  <c r="CG75" i="1"/>
  <c r="AQ75" i="1"/>
  <c r="AB69" i="1"/>
  <c r="G194" i="6" s="1"/>
  <c r="CQ69" i="1"/>
  <c r="P69" i="1" s="1"/>
  <c r="EG22" i="1"/>
  <c r="EG107" i="1"/>
  <c r="U72" i="1"/>
  <c r="W71" i="1"/>
  <c r="AB71" i="1"/>
  <c r="G210" i="6" s="1"/>
  <c r="U70" i="1"/>
  <c r="W70" i="1"/>
  <c r="S70" i="1"/>
  <c r="CZ69" i="1"/>
  <c r="Y69" i="1" s="1"/>
  <c r="CY69" i="1"/>
  <c r="X69" i="1" s="1"/>
  <c r="CP68" i="1"/>
  <c r="O68" i="1" s="1"/>
  <c r="AB68" i="1"/>
  <c r="AD67" i="1"/>
  <c r="CR67" i="1" s="1"/>
  <c r="Q67" i="1" s="1"/>
  <c r="CS67" i="1"/>
  <c r="R67" i="1" s="1"/>
  <c r="BY75" i="1"/>
  <c r="AB65" i="1"/>
  <c r="G190" i="6" s="1"/>
  <c r="CQ65" i="1"/>
  <c r="P65" i="1" s="1"/>
  <c r="AD63" i="1"/>
  <c r="CS63" i="1"/>
  <c r="R63" i="1" s="1"/>
  <c r="CY51" i="1"/>
  <c r="X51" i="1" s="1"/>
  <c r="CZ51" i="1"/>
  <c r="Y51" i="1" s="1"/>
  <c r="CX102" i="3"/>
  <c r="CX106" i="3"/>
  <c r="CX110" i="3"/>
  <c r="CX103" i="3"/>
  <c r="CX107" i="3"/>
  <c r="CX105" i="3"/>
  <c r="CX109" i="3"/>
  <c r="CX104" i="3"/>
  <c r="CX108" i="3"/>
  <c r="CX94" i="3"/>
  <c r="CX98" i="3"/>
  <c r="CX95" i="3"/>
  <c r="CX99" i="3"/>
  <c r="CX93" i="3"/>
  <c r="CX97" i="3"/>
  <c r="CX101" i="3"/>
  <c r="CX100" i="3"/>
  <c r="CX96" i="3"/>
  <c r="T61" i="1"/>
  <c r="AB61" i="1"/>
  <c r="G172" i="6" s="1"/>
  <c r="AB60" i="1"/>
  <c r="P56" i="1"/>
  <c r="CP56" i="1" s="1"/>
  <c r="O56" i="1" s="1"/>
  <c r="AB56" i="1"/>
  <c r="CY55" i="1"/>
  <c r="X55" i="1" s="1"/>
  <c r="CS55" i="1"/>
  <c r="R55" i="1" s="1"/>
  <c r="X139" i="6" s="1"/>
  <c r="AD55" i="1"/>
  <c r="CR55" i="1" s="1"/>
  <c r="Q55" i="1" s="1"/>
  <c r="W139" i="6" s="1"/>
  <c r="U52" i="1"/>
  <c r="W52" i="1"/>
  <c r="S52" i="1"/>
  <c r="CR48" i="1"/>
  <c r="Q48" i="1" s="1"/>
  <c r="AB48" i="1"/>
  <c r="AO75" i="1"/>
  <c r="CX122" i="3"/>
  <c r="CX126" i="3"/>
  <c r="CX123" i="3"/>
  <c r="CX127" i="3"/>
  <c r="CX121" i="3"/>
  <c r="CX125" i="3"/>
  <c r="CX120" i="3"/>
  <c r="CX128" i="3"/>
  <c r="CX124" i="3"/>
  <c r="CY58" i="1"/>
  <c r="X58" i="1" s="1"/>
  <c r="CQ57" i="1"/>
  <c r="P57" i="1" s="1"/>
  <c r="AB57" i="1"/>
  <c r="G154" i="6" s="1"/>
  <c r="CQ54" i="1"/>
  <c r="P54" i="1" s="1"/>
  <c r="CP54" i="1" s="1"/>
  <c r="O54" i="1" s="1"/>
  <c r="AB54" i="1"/>
  <c r="CS53" i="1"/>
  <c r="R53" i="1" s="1"/>
  <c r="X137" i="6" s="1"/>
  <c r="AD53" i="1"/>
  <c r="CR53" i="1" s="1"/>
  <c r="Q53" i="1" s="1"/>
  <c r="CQ51" i="1"/>
  <c r="P51" i="1" s="1"/>
  <c r="AB51" i="1"/>
  <c r="G135" i="6" s="1"/>
  <c r="CP50" i="1"/>
  <c r="O50" i="1" s="1"/>
  <c r="CY49" i="1"/>
  <c r="X49" i="1" s="1"/>
  <c r="CR46" i="1"/>
  <c r="Q46" i="1" s="1"/>
  <c r="AB46" i="1"/>
  <c r="CY45" i="1"/>
  <c r="X45" i="1" s="1"/>
  <c r="CZ45" i="1"/>
  <c r="Y45" i="1" s="1"/>
  <c r="CP45" i="1"/>
  <c r="O45" i="1" s="1"/>
  <c r="P61" i="1"/>
  <c r="AD59" i="1"/>
  <c r="CR59" i="1" s="1"/>
  <c r="CZ58" i="1"/>
  <c r="Y58" i="1" s="1"/>
  <c r="CX78" i="3"/>
  <c r="CX82" i="3"/>
  <c r="CX79" i="3"/>
  <c r="CX83" i="3"/>
  <c r="CX77" i="3"/>
  <c r="CX81" i="3"/>
  <c r="CX84" i="3"/>
  <c r="CX80" i="3"/>
  <c r="I60" i="1"/>
  <c r="U60" i="1" s="1"/>
  <c r="P52" i="1"/>
  <c r="CP52" i="1" s="1"/>
  <c r="O52" i="1" s="1"/>
  <c r="AB50" i="1"/>
  <c r="GK46" i="1"/>
  <c r="AD43" i="1"/>
  <c r="CR43" i="1" s="1"/>
  <c r="Q43" i="1" s="1"/>
  <c r="CS43" i="1"/>
  <c r="R43" i="1" s="1"/>
  <c r="AB41" i="1"/>
  <c r="G111" i="6" s="1"/>
  <c r="CQ41" i="1"/>
  <c r="P41" i="1" s="1"/>
  <c r="AD39" i="1"/>
  <c r="CR39" i="1" s="1"/>
  <c r="Q39" i="1" s="1"/>
  <c r="W109" i="6" s="1"/>
  <c r="CS39" i="1"/>
  <c r="R39" i="1" s="1"/>
  <c r="CZ37" i="1"/>
  <c r="Y37" i="1" s="1"/>
  <c r="CY37" i="1"/>
  <c r="X37" i="1" s="1"/>
  <c r="AD35" i="1"/>
  <c r="CR35" i="1" s="1"/>
  <c r="Q35" i="1" s="1"/>
  <c r="CS35" i="1"/>
  <c r="R35" i="1" s="1"/>
  <c r="CY35" i="1" s="1"/>
  <c r="X35" i="1" s="1"/>
  <c r="CY31" i="1"/>
  <c r="X31" i="1" s="1"/>
  <c r="CZ31" i="1"/>
  <c r="Y31" i="1" s="1"/>
  <c r="AB31" i="1"/>
  <c r="G72" i="6" s="1"/>
  <c r="CZ28" i="1"/>
  <c r="Y28" i="1" s="1"/>
  <c r="CY28" i="1"/>
  <c r="X28" i="1" s="1"/>
  <c r="AB25" i="1"/>
  <c r="G38" i="6" s="1"/>
  <c r="CR25" i="1"/>
  <c r="Q25" i="1" s="1"/>
  <c r="W38" i="6" s="1"/>
  <c r="CX86" i="3"/>
  <c r="CX90" i="3"/>
  <c r="CX87" i="3"/>
  <c r="CX91" i="3"/>
  <c r="CX85" i="3"/>
  <c r="CX89" i="3"/>
  <c r="CX88" i="3"/>
  <c r="CX92" i="3"/>
  <c r="AD49" i="1"/>
  <c r="CR49" i="1" s="1"/>
  <c r="Q49" i="1" s="1"/>
  <c r="AB47" i="1"/>
  <c r="G131" i="6" s="1"/>
  <c r="AB43" i="1"/>
  <c r="G127" i="6" s="1"/>
  <c r="P42" i="1"/>
  <c r="CX54" i="3"/>
  <c r="CX58" i="3"/>
  <c r="CX62" i="3"/>
  <c r="CX51" i="3"/>
  <c r="CX55" i="3"/>
  <c r="CX59" i="3"/>
  <c r="CX53" i="3"/>
  <c r="CX57" i="3"/>
  <c r="CX61" i="3"/>
  <c r="CX56" i="3"/>
  <c r="CX60" i="3"/>
  <c r="CX52" i="3"/>
  <c r="I44" i="1"/>
  <c r="W44" i="1" s="1"/>
  <c r="CP39" i="1"/>
  <c r="O39" i="1" s="1"/>
  <c r="P38" i="1"/>
  <c r="CZ32" i="1"/>
  <c r="Y32" i="1" s="1"/>
  <c r="CY32" i="1"/>
  <c r="X32" i="1" s="1"/>
  <c r="AB45" i="1"/>
  <c r="G129" i="6" s="1"/>
  <c r="AB44" i="1"/>
  <c r="U42" i="1"/>
  <c r="W42" i="1"/>
  <c r="S42" i="1"/>
  <c r="CZ41" i="1"/>
  <c r="Y41" i="1" s="1"/>
  <c r="CY41" i="1"/>
  <c r="X41" i="1" s="1"/>
  <c r="P40" i="1"/>
  <c r="AB40" i="1"/>
  <c r="U38" i="1"/>
  <c r="W38" i="1"/>
  <c r="S38" i="1"/>
  <c r="CQ37" i="1"/>
  <c r="P37" i="1" s="1"/>
  <c r="U107" i="6" s="1"/>
  <c r="CP36" i="1"/>
  <c r="O36" i="1" s="1"/>
  <c r="CP32" i="1"/>
  <c r="O32" i="1" s="1"/>
  <c r="AD30" i="1"/>
  <c r="CS30" i="1"/>
  <c r="R30" i="1" s="1"/>
  <c r="CY30" i="1" s="1"/>
  <c r="X30" i="1" s="1"/>
  <c r="I59" i="1"/>
  <c r="T42" i="1"/>
  <c r="Q42" i="1"/>
  <c r="GX40" i="1"/>
  <c r="U40" i="1"/>
  <c r="W40" i="1"/>
  <c r="S40" i="1"/>
  <c r="T38" i="1"/>
  <c r="Q38" i="1"/>
  <c r="AB36" i="1"/>
  <c r="AB33" i="1"/>
  <c r="G89" i="6" s="1"/>
  <c r="CZ29" i="1"/>
  <c r="Y29" i="1" s="1"/>
  <c r="CY29" i="1"/>
  <c r="X29" i="1" s="1"/>
  <c r="AB39" i="1"/>
  <c r="G109" i="6" s="1"/>
  <c r="AD37" i="1"/>
  <c r="CR37" i="1" s="1"/>
  <c r="Q37" i="1" s="1"/>
  <c r="W107" i="6" s="1"/>
  <c r="AB35" i="1"/>
  <c r="G105" i="6" s="1"/>
  <c r="AB32" i="1"/>
  <c r="CX30" i="3"/>
  <c r="CX34" i="3"/>
  <c r="CX31" i="3"/>
  <c r="CX29" i="3"/>
  <c r="CX33" i="3"/>
  <c r="V25" i="1"/>
  <c r="Z38" i="6" s="1"/>
  <c r="R25" i="1"/>
  <c r="X38" i="6" s="1"/>
  <c r="CX66" i="3"/>
  <c r="CX70" i="3"/>
  <c r="CX74" i="3"/>
  <c r="CX63" i="3"/>
  <c r="CX67" i="3"/>
  <c r="CX71" i="3"/>
  <c r="CX65" i="3"/>
  <c r="CX69" i="3"/>
  <c r="CX73" i="3"/>
  <c r="CX72" i="3"/>
  <c r="CX68" i="3"/>
  <c r="CX6" i="3"/>
  <c r="CX7" i="3"/>
  <c r="CX8" i="3"/>
  <c r="P25" i="1"/>
  <c r="U38" i="6" s="1"/>
  <c r="AB29" i="1"/>
  <c r="G56" i="6" s="1"/>
  <c r="CR29" i="1"/>
  <c r="Q29" i="1" s="1"/>
  <c r="AB28" i="1"/>
  <c r="CQ28" i="1"/>
  <c r="P28" i="1" s="1"/>
  <c r="CP28" i="1" s="1"/>
  <c r="O28" i="1" s="1"/>
  <c r="W27" i="1"/>
  <c r="S27" i="1"/>
  <c r="AB27" i="1"/>
  <c r="G47" i="6" s="1"/>
  <c r="AD26" i="1"/>
  <c r="CS26" i="1"/>
  <c r="R26" i="1" s="1"/>
  <c r="CZ26" i="1" s="1"/>
  <c r="Y26" i="1" s="1"/>
  <c r="GX25" i="1"/>
  <c r="W25" i="1"/>
  <c r="CX32" i="3"/>
  <c r="CX26" i="3"/>
  <c r="CX23" i="3"/>
  <c r="CX27" i="3"/>
  <c r="CX25" i="3"/>
  <c r="CX3" i="3"/>
  <c r="CX5" i="3"/>
  <c r="CX4" i="3"/>
  <c r="CX38" i="3"/>
  <c r="CX42" i="3"/>
  <c r="CX35" i="3"/>
  <c r="CX39" i="3"/>
  <c r="CX37" i="3"/>
  <c r="CX41" i="3"/>
  <c r="CX10" i="3"/>
  <c r="CX14" i="3"/>
  <c r="CX11" i="3"/>
  <c r="CX15" i="3"/>
  <c r="CX9" i="3"/>
  <c r="CX13" i="3"/>
  <c r="P24" i="1"/>
  <c r="CX28" i="3"/>
  <c r="CX12" i="3"/>
  <c r="CX46" i="3"/>
  <c r="CX50" i="3"/>
  <c r="CX43" i="3"/>
  <c r="CX47" i="3"/>
  <c r="CX45" i="3"/>
  <c r="CX49" i="3"/>
  <c r="CX18" i="3"/>
  <c r="CX22" i="3"/>
  <c r="CX19" i="3"/>
  <c r="CX17" i="3"/>
  <c r="CX21" i="3"/>
  <c r="T24" i="1"/>
  <c r="W24" i="1"/>
  <c r="S24" i="1"/>
  <c r="CX40" i="3"/>
  <c r="CX24" i="3"/>
  <c r="CP34" i="1" l="1"/>
  <c r="O34" i="1" s="1"/>
  <c r="GX34" i="1"/>
  <c r="W34" i="1"/>
  <c r="S46" i="1"/>
  <c r="W46" i="1"/>
  <c r="S48" i="1"/>
  <c r="T48" i="1"/>
  <c r="U34" i="1"/>
  <c r="U48" i="1"/>
  <c r="CZ35" i="1"/>
  <c r="Y35" i="1" s="1"/>
  <c r="AB53" i="1"/>
  <c r="G137" i="6" s="1"/>
  <c r="V60" i="1"/>
  <c r="GN58" i="1"/>
  <c r="R34" i="1"/>
  <c r="GK34" i="1" s="1"/>
  <c r="GX46" i="1"/>
  <c r="GX48" i="1"/>
  <c r="P46" i="1"/>
  <c r="CP46" i="1" s="1"/>
  <c r="O46" i="1" s="1"/>
  <c r="P48" i="1"/>
  <c r="CP48" i="1" s="1"/>
  <c r="O48" i="1" s="1"/>
  <c r="W48" i="1"/>
  <c r="T52" i="1"/>
  <c r="H71" i="5"/>
  <c r="H72" i="5"/>
  <c r="V47" i="6"/>
  <c r="K38" i="5"/>
  <c r="CP29" i="1"/>
  <c r="O29" i="1" s="1"/>
  <c r="W56" i="6"/>
  <c r="K48" i="5"/>
  <c r="AA56" i="6"/>
  <c r="H67" i="6"/>
  <c r="T45" i="5"/>
  <c r="K51" i="5" s="1"/>
  <c r="P59" i="1"/>
  <c r="U170" i="6" s="1"/>
  <c r="F170" i="6"/>
  <c r="E109" i="5"/>
  <c r="AB105" i="6"/>
  <c r="V74" i="5"/>
  <c r="H122" i="6"/>
  <c r="AA111" i="6"/>
  <c r="T78" i="5"/>
  <c r="CP49" i="1"/>
  <c r="O49" i="1" s="1"/>
  <c r="W133" i="6"/>
  <c r="AB72" i="6"/>
  <c r="H86" i="6"/>
  <c r="V55" i="5"/>
  <c r="K62" i="5" s="1"/>
  <c r="GK35" i="1"/>
  <c r="X105" i="6"/>
  <c r="AA107" i="6"/>
  <c r="T75" i="5"/>
  <c r="GK39" i="1"/>
  <c r="X109" i="6"/>
  <c r="U111" i="6"/>
  <c r="K83" i="5"/>
  <c r="CY43" i="1"/>
  <c r="X43" i="1" s="1"/>
  <c r="X127" i="6"/>
  <c r="CP61" i="1"/>
  <c r="O61" i="1" s="1"/>
  <c r="U172" i="6"/>
  <c r="AB129" i="6"/>
  <c r="V88" i="5"/>
  <c r="AA133" i="6"/>
  <c r="T90" i="5"/>
  <c r="CP53" i="1"/>
  <c r="O53" i="1" s="1"/>
  <c r="W137" i="6"/>
  <c r="CP55" i="1"/>
  <c r="O55" i="1" s="1"/>
  <c r="U154" i="6"/>
  <c r="K105" i="5"/>
  <c r="AA135" i="6"/>
  <c r="T91" i="5"/>
  <c r="CR63" i="1"/>
  <c r="Q63" i="1" s="1"/>
  <c r="H115" i="5"/>
  <c r="CP65" i="1"/>
  <c r="O65" i="1" s="1"/>
  <c r="U190" i="6"/>
  <c r="CP67" i="1"/>
  <c r="O67" i="1" s="1"/>
  <c r="W192" i="6"/>
  <c r="AB194" i="6"/>
  <c r="H207" i="6"/>
  <c r="V124" i="5"/>
  <c r="Q72" i="1"/>
  <c r="W72" i="1"/>
  <c r="U194" i="6"/>
  <c r="K129" i="5"/>
  <c r="AB190" i="6"/>
  <c r="V121" i="5"/>
  <c r="AB131" i="6"/>
  <c r="V89" i="5"/>
  <c r="AB133" i="6"/>
  <c r="V90" i="5"/>
  <c r="AB154" i="6"/>
  <c r="H167" i="6"/>
  <c r="V100" i="5"/>
  <c r="AA172" i="6"/>
  <c r="T110" i="5"/>
  <c r="CP73" i="1"/>
  <c r="O73" i="1" s="1"/>
  <c r="U212" i="6"/>
  <c r="AB212" i="6"/>
  <c r="V134" i="5"/>
  <c r="G46" i="6"/>
  <c r="V38" i="6"/>
  <c r="K31" i="5"/>
  <c r="L137" i="5"/>
  <c r="CR27" i="1"/>
  <c r="Q27" i="1" s="1"/>
  <c r="H39" i="5"/>
  <c r="W44" i="5" s="1"/>
  <c r="R38" i="5"/>
  <c r="G44" i="5"/>
  <c r="O44" i="5" s="1"/>
  <c r="G55" i="6"/>
  <c r="V72" i="6"/>
  <c r="K57" i="5"/>
  <c r="R67" i="5"/>
  <c r="G104" i="6"/>
  <c r="H74" i="5"/>
  <c r="W74" i="5" s="1"/>
  <c r="CR41" i="1"/>
  <c r="Q41" i="1" s="1"/>
  <c r="CP41" i="1" s="1"/>
  <c r="O41" i="1" s="1"/>
  <c r="H81" i="5"/>
  <c r="GK41" i="1"/>
  <c r="X111" i="6"/>
  <c r="K82" i="5"/>
  <c r="X131" i="6"/>
  <c r="GK47" i="1"/>
  <c r="W99" i="5"/>
  <c r="G99" i="5"/>
  <c r="O99" i="5" s="1"/>
  <c r="R95" i="5"/>
  <c r="S109" i="5"/>
  <c r="CC22" i="1"/>
  <c r="AT75" i="1"/>
  <c r="W123" i="5"/>
  <c r="F210" i="6"/>
  <c r="E133" i="5"/>
  <c r="U71" i="1"/>
  <c r="Y210" i="6" s="1"/>
  <c r="R126" i="5"/>
  <c r="G209" i="6"/>
  <c r="GK29" i="1"/>
  <c r="X56" i="6"/>
  <c r="K49" i="5"/>
  <c r="U72" i="6"/>
  <c r="K60" i="5"/>
  <c r="CR33" i="1"/>
  <c r="Q33" i="1" s="1"/>
  <c r="H68" i="5"/>
  <c r="W77" i="5" s="1"/>
  <c r="H85" i="5"/>
  <c r="G126" i="6"/>
  <c r="H87" i="5"/>
  <c r="W87" i="5" s="1"/>
  <c r="H92" i="5"/>
  <c r="W92" i="5" s="1"/>
  <c r="G169" i="6"/>
  <c r="U174" i="6"/>
  <c r="K117" i="5"/>
  <c r="U133" i="5"/>
  <c r="H69" i="6"/>
  <c r="AB56" i="6"/>
  <c r="V45" i="5"/>
  <c r="K52" i="5" s="1"/>
  <c r="AB111" i="6"/>
  <c r="H124" i="6"/>
  <c r="V78" i="5"/>
  <c r="AA105" i="6"/>
  <c r="T74" i="5"/>
  <c r="H109" i="6"/>
  <c r="K76" i="5"/>
  <c r="H84" i="6"/>
  <c r="AA72" i="6"/>
  <c r="T55" i="5"/>
  <c r="K61" i="5" s="1"/>
  <c r="CP35" i="1"/>
  <c r="O35" i="1" s="1"/>
  <c r="W105" i="6"/>
  <c r="V75" i="5"/>
  <c r="AB107" i="6"/>
  <c r="CP43" i="1"/>
  <c r="O43" i="1" s="1"/>
  <c r="W127" i="6"/>
  <c r="T129" i="6"/>
  <c r="H129" i="6"/>
  <c r="K88" i="5"/>
  <c r="AA129" i="6"/>
  <c r="T88" i="5"/>
  <c r="CP51" i="1"/>
  <c r="O51" i="1" s="1"/>
  <c r="U135" i="6"/>
  <c r="GM58" i="1"/>
  <c r="H149" i="6"/>
  <c r="AA139" i="6"/>
  <c r="T94" i="5"/>
  <c r="K96" i="5" s="1"/>
  <c r="AB135" i="6"/>
  <c r="V91" i="5"/>
  <c r="X174" i="6"/>
  <c r="K116" i="5"/>
  <c r="CY63" i="1"/>
  <c r="X63" i="1" s="1"/>
  <c r="CY67" i="1"/>
  <c r="X67" i="1" s="1"/>
  <c r="X192" i="6"/>
  <c r="H205" i="6"/>
  <c r="AA194" i="6"/>
  <c r="T124" i="5"/>
  <c r="GK71" i="1"/>
  <c r="X210" i="6"/>
  <c r="AA190" i="6"/>
  <c r="T121" i="5"/>
  <c r="H131" i="6"/>
  <c r="T131" i="6"/>
  <c r="K89" i="5"/>
  <c r="AA131" i="6"/>
  <c r="T89" i="5"/>
  <c r="H165" i="6"/>
  <c r="AA154" i="6"/>
  <c r="T100" i="5"/>
  <c r="AB172" i="6"/>
  <c r="V110" i="5"/>
  <c r="AB55" i="1"/>
  <c r="AA212" i="6"/>
  <c r="T134" i="5"/>
  <c r="R31" i="5"/>
  <c r="G35" i="5"/>
  <c r="O35" i="5" s="1"/>
  <c r="W35" i="5"/>
  <c r="W54" i="5"/>
  <c r="R47" i="5"/>
  <c r="G54" i="5"/>
  <c r="O54" i="5" s="1"/>
  <c r="G71" i="6"/>
  <c r="V56" i="6"/>
  <c r="K47" i="5"/>
  <c r="CR31" i="1"/>
  <c r="Q31" i="1" s="1"/>
  <c r="H58" i="5"/>
  <c r="W64" i="5" s="1"/>
  <c r="R57" i="5"/>
  <c r="G88" i="6"/>
  <c r="CY33" i="1"/>
  <c r="X33" i="1" s="1"/>
  <c r="V89" i="6"/>
  <c r="K67" i="5"/>
  <c r="CZ33" i="1"/>
  <c r="Y33" i="1" s="1"/>
  <c r="GK33" i="1"/>
  <c r="X89" i="6"/>
  <c r="K69" i="5"/>
  <c r="GK37" i="1"/>
  <c r="X107" i="6"/>
  <c r="H90" i="5"/>
  <c r="W90" i="5" s="1"/>
  <c r="CR57" i="1"/>
  <c r="Q57" i="1" s="1"/>
  <c r="H103" i="5"/>
  <c r="H109" i="5"/>
  <c r="W109" i="5" s="1"/>
  <c r="U109" i="5"/>
  <c r="H107" i="5" s="1"/>
  <c r="H122" i="5"/>
  <c r="W122" i="5" s="1"/>
  <c r="H131" i="5"/>
  <c r="X212" i="6"/>
  <c r="GK73" i="1"/>
  <c r="H75" i="5"/>
  <c r="W75" i="5" s="1"/>
  <c r="H76" i="5"/>
  <c r="W76" i="5" s="1"/>
  <c r="H84" i="5"/>
  <c r="H106" i="5"/>
  <c r="CR69" i="1"/>
  <c r="Q69" i="1" s="1"/>
  <c r="H127" i="5"/>
  <c r="GK69" i="1"/>
  <c r="X194" i="6"/>
  <c r="K128" i="5"/>
  <c r="H133" i="5"/>
  <c r="W133" i="5" s="1"/>
  <c r="S133" i="5"/>
  <c r="H130" i="5" s="1"/>
  <c r="GN29" i="1"/>
  <c r="GM29" i="1"/>
  <c r="GN35" i="1"/>
  <c r="GM35" i="1"/>
  <c r="GN49" i="1"/>
  <c r="GM49" i="1"/>
  <c r="CP25" i="1"/>
  <c r="O25" i="1" s="1"/>
  <c r="DU75" i="1"/>
  <c r="W59" i="1"/>
  <c r="AB49" i="1"/>
  <c r="G133" i="6" s="1"/>
  <c r="BY22" i="1"/>
  <c r="CI75" i="1"/>
  <c r="AP75" i="1"/>
  <c r="CP71" i="1"/>
  <c r="O71" i="1" s="1"/>
  <c r="CP24" i="1"/>
  <c r="O24" i="1" s="1"/>
  <c r="AB26" i="1"/>
  <c r="CR26" i="1"/>
  <c r="Q26" i="1" s="1"/>
  <c r="GK25" i="1"/>
  <c r="CY40" i="1"/>
  <c r="X40" i="1" s="1"/>
  <c r="CZ40" i="1"/>
  <c r="Y40" i="1" s="1"/>
  <c r="CZ25" i="1"/>
  <c r="Y25" i="1" s="1"/>
  <c r="CP37" i="1"/>
  <c r="O37" i="1" s="1"/>
  <c r="Q60" i="1"/>
  <c r="GM45" i="1"/>
  <c r="GN45" i="1"/>
  <c r="GM50" i="1"/>
  <c r="GN50" i="1"/>
  <c r="GK53" i="1"/>
  <c r="CZ53" i="1"/>
  <c r="Y53" i="1" s="1"/>
  <c r="R59" i="1"/>
  <c r="CY52" i="1"/>
  <c r="X52" i="1" s="1"/>
  <c r="CZ52" i="1"/>
  <c r="Y52" i="1" s="1"/>
  <c r="GM52" i="1" s="1"/>
  <c r="GM56" i="1"/>
  <c r="GN56" i="1"/>
  <c r="GM65" i="1"/>
  <c r="GN65" i="1"/>
  <c r="AQ22" i="1"/>
  <c r="F85" i="1"/>
  <c r="AQ107" i="1"/>
  <c r="W60" i="1"/>
  <c r="AJ75" i="1" s="1"/>
  <c r="EH22" i="1"/>
  <c r="EH107" i="1"/>
  <c r="P84" i="1"/>
  <c r="V16" i="2" s="1"/>
  <c r="V18" i="2" s="1"/>
  <c r="S60" i="1"/>
  <c r="AB67" i="1"/>
  <c r="G192" i="6" s="1"/>
  <c r="ET22" i="1"/>
  <c r="P88" i="1"/>
  <c r="ET107" i="1"/>
  <c r="EL22" i="1"/>
  <c r="P93" i="1"/>
  <c r="U16" i="2" s="1"/>
  <c r="U18" i="2" s="1"/>
  <c r="EL107" i="1"/>
  <c r="AU22" i="1"/>
  <c r="AU107" i="1"/>
  <c r="F94" i="1"/>
  <c r="AB30" i="1"/>
  <c r="CR30" i="1"/>
  <c r="Q30" i="1" s="1"/>
  <c r="CP30" i="1" s="1"/>
  <c r="O30" i="1" s="1"/>
  <c r="CY38" i="1"/>
  <c r="X38" i="1" s="1"/>
  <c r="CZ38" i="1"/>
  <c r="Y38" i="1" s="1"/>
  <c r="GX44" i="1"/>
  <c r="P44" i="1"/>
  <c r="T44" i="1"/>
  <c r="U44" i="1"/>
  <c r="AH75" i="1" s="1"/>
  <c r="GK43" i="1"/>
  <c r="CZ43" i="1"/>
  <c r="Y43" i="1" s="1"/>
  <c r="GM51" i="1"/>
  <c r="GN51" i="1"/>
  <c r="S59" i="1"/>
  <c r="V170" i="6" s="1"/>
  <c r="GM62" i="1"/>
  <c r="GN62" i="1"/>
  <c r="CY71" i="1"/>
  <c r="X71" i="1" s="1"/>
  <c r="CZ71" i="1"/>
  <c r="Y71" i="1" s="1"/>
  <c r="CY24" i="1"/>
  <c r="X24" i="1" s="1"/>
  <c r="CZ24" i="1"/>
  <c r="Y24" i="1" s="1"/>
  <c r="EB75" i="1"/>
  <c r="GM28" i="1"/>
  <c r="GN28" i="1"/>
  <c r="GK30" i="1"/>
  <c r="CZ30" i="1"/>
  <c r="Y30" i="1" s="1"/>
  <c r="AB37" i="1"/>
  <c r="G107" i="6" s="1"/>
  <c r="CZ39" i="1"/>
  <c r="Y39" i="1" s="1"/>
  <c r="CY39" i="1"/>
  <c r="X39" i="1" s="1"/>
  <c r="Q44" i="1"/>
  <c r="S44" i="1"/>
  <c r="GN52" i="1"/>
  <c r="Q59" i="1"/>
  <c r="CY53" i="1"/>
  <c r="X53" i="1" s="1"/>
  <c r="V59" i="1"/>
  <c r="Z170" i="6" s="1"/>
  <c r="AO22" i="1"/>
  <c r="F79" i="1"/>
  <c r="AO107" i="1"/>
  <c r="GK55" i="1"/>
  <c r="CZ55" i="1"/>
  <c r="Y55" i="1" s="1"/>
  <c r="AB59" i="1"/>
  <c r="G170" i="6" s="1"/>
  <c r="GK63" i="1"/>
  <c r="CZ63" i="1"/>
  <c r="Y63" i="1" s="1"/>
  <c r="R72" i="1"/>
  <c r="GK72" i="1" s="1"/>
  <c r="CG22" i="1"/>
  <c r="AX75" i="1"/>
  <c r="GA22" i="1"/>
  <c r="ER75" i="1"/>
  <c r="EI22" i="1"/>
  <c r="P85" i="1"/>
  <c r="EI107" i="1"/>
  <c r="GM47" i="1"/>
  <c r="GN47" i="1"/>
  <c r="AB63" i="1"/>
  <c r="CY68" i="1"/>
  <c r="X68" i="1" s="1"/>
  <c r="CZ68" i="1"/>
  <c r="Y68" i="1" s="1"/>
  <c r="GN68" i="1" s="1"/>
  <c r="EU22" i="1"/>
  <c r="EU107" i="1"/>
  <c r="P91" i="1"/>
  <c r="CY42" i="1"/>
  <c r="X42" i="1" s="1"/>
  <c r="CZ42" i="1"/>
  <c r="Y42" i="1" s="1"/>
  <c r="CY70" i="1"/>
  <c r="X70" i="1" s="1"/>
  <c r="CZ70" i="1"/>
  <c r="Y70" i="1" s="1"/>
  <c r="CP70" i="1"/>
  <c r="O70" i="1" s="1"/>
  <c r="GM73" i="1"/>
  <c r="GN73" i="1"/>
  <c r="EP22" i="1"/>
  <c r="P82" i="1"/>
  <c r="EP107" i="1"/>
  <c r="GK26" i="1"/>
  <c r="CY27" i="1"/>
  <c r="X27" i="1" s="1"/>
  <c r="CZ27" i="1"/>
  <c r="Y27" i="1" s="1"/>
  <c r="DX75" i="1"/>
  <c r="CY26" i="1"/>
  <c r="X26" i="1" s="1"/>
  <c r="CP27" i="1"/>
  <c r="O27" i="1" s="1"/>
  <c r="CY25" i="1"/>
  <c r="X25" i="1" s="1"/>
  <c r="GM32" i="1"/>
  <c r="GN32" i="1"/>
  <c r="GN36" i="1"/>
  <c r="GM36" i="1"/>
  <c r="CP40" i="1"/>
  <c r="O40" i="1" s="1"/>
  <c r="V44" i="1"/>
  <c r="AI75" i="1" s="1"/>
  <c r="CP38" i="1"/>
  <c r="O38" i="1" s="1"/>
  <c r="CP42" i="1"/>
  <c r="O42" i="1" s="1"/>
  <c r="R44" i="1"/>
  <c r="GK44" i="1" s="1"/>
  <c r="DV75" i="1"/>
  <c r="GX60" i="1"/>
  <c r="T60" i="1"/>
  <c r="P60" i="1"/>
  <c r="CP60" i="1" s="1"/>
  <c r="O60" i="1" s="1"/>
  <c r="GX59" i="1"/>
  <c r="GB75" i="1" s="1"/>
  <c r="GM61" i="1"/>
  <c r="GN61" i="1"/>
  <c r="GM54" i="1"/>
  <c r="GN54" i="1"/>
  <c r="R60" i="1"/>
  <c r="GK60" i="1" s="1"/>
  <c r="GK67" i="1"/>
  <c r="CZ67" i="1"/>
  <c r="Y67" i="1" s="1"/>
  <c r="GM68" i="1"/>
  <c r="EG18" i="1"/>
  <c r="P111" i="1"/>
  <c r="U59" i="1"/>
  <c r="GX72" i="1"/>
  <c r="P72" i="1"/>
  <c r="S72" i="1"/>
  <c r="EM22" i="1"/>
  <c r="EM107" i="1"/>
  <c r="P94" i="1"/>
  <c r="T59" i="1"/>
  <c r="DY75" i="1" s="1"/>
  <c r="GM66" i="1"/>
  <c r="GN66" i="1"/>
  <c r="BC22" i="1"/>
  <c r="F91" i="1"/>
  <c r="BC107" i="1"/>
  <c r="T72" i="1"/>
  <c r="T109" i="6" l="1"/>
  <c r="CJ75" i="1"/>
  <c r="CZ48" i="1"/>
  <c r="Y48" i="1" s="1"/>
  <c r="CY48" i="1"/>
  <c r="X48" i="1" s="1"/>
  <c r="GM48" i="1" s="1"/>
  <c r="CY46" i="1"/>
  <c r="X46" i="1" s="1"/>
  <c r="CZ46" i="1"/>
  <c r="Y46" i="1" s="1"/>
  <c r="CY34" i="1"/>
  <c r="X34" i="1" s="1"/>
  <c r="CZ34" i="1"/>
  <c r="Y34" i="1" s="1"/>
  <c r="W111" i="5"/>
  <c r="G64" i="5"/>
  <c r="O64" i="5" s="1"/>
  <c r="J54" i="5"/>
  <c r="P54" i="5" s="1"/>
  <c r="G135" i="5"/>
  <c r="O135" i="5" s="1"/>
  <c r="T111" i="6"/>
  <c r="H126" i="6"/>
  <c r="H111" i="6"/>
  <c r="GN41" i="1"/>
  <c r="GM41" i="1"/>
  <c r="DZ75" i="1"/>
  <c r="Y170" i="6"/>
  <c r="AG75" i="1"/>
  <c r="AA38" i="6"/>
  <c r="H44" i="6"/>
  <c r="T29" i="5"/>
  <c r="K32" i="5" s="1"/>
  <c r="AB47" i="6"/>
  <c r="H54" i="6"/>
  <c r="V36" i="5"/>
  <c r="K42" i="5" s="1"/>
  <c r="G174" i="6"/>
  <c r="G189" i="6"/>
  <c r="GN55" i="1"/>
  <c r="H151" i="6"/>
  <c r="AB139" i="6"/>
  <c r="V94" i="5"/>
  <c r="K97" i="5" s="1"/>
  <c r="J99" i="5" s="1"/>
  <c r="P99" i="5" s="1"/>
  <c r="GN53" i="1"/>
  <c r="AA137" i="6"/>
  <c r="T92" i="5"/>
  <c r="AB109" i="6"/>
  <c r="V76" i="5"/>
  <c r="EA75" i="1"/>
  <c r="AB210" i="6"/>
  <c r="V133" i="5"/>
  <c r="AB137" i="6"/>
  <c r="V92" i="5"/>
  <c r="H45" i="6"/>
  <c r="AB38" i="6"/>
  <c r="V29" i="5"/>
  <c r="K33" i="5" s="1"/>
  <c r="J35" i="5" s="1"/>
  <c r="P35" i="5" s="1"/>
  <c r="H210" i="6"/>
  <c r="T210" i="6"/>
  <c r="K133" i="5"/>
  <c r="GM53" i="1"/>
  <c r="W194" i="6"/>
  <c r="K127" i="5"/>
  <c r="W154" i="6"/>
  <c r="K103" i="5"/>
  <c r="H102" i="6"/>
  <c r="AB89" i="6"/>
  <c r="V65" i="5"/>
  <c r="G22" i="5"/>
  <c r="AA192" i="6"/>
  <c r="T122" i="5"/>
  <c r="H127" i="6"/>
  <c r="T127" i="6"/>
  <c r="K87" i="5"/>
  <c r="T105" i="6"/>
  <c r="H105" i="6"/>
  <c r="K74" i="5"/>
  <c r="W135" i="5"/>
  <c r="W93" i="5"/>
  <c r="G93" i="5"/>
  <c r="O93" i="5" s="1"/>
  <c r="W47" i="6"/>
  <c r="K39" i="5"/>
  <c r="T212" i="6"/>
  <c r="H212" i="6"/>
  <c r="K134" i="5"/>
  <c r="CP69" i="1"/>
  <c r="O69" i="1" s="1"/>
  <c r="G123" i="5"/>
  <c r="O123" i="5" s="1"/>
  <c r="CP57" i="1"/>
  <c r="O57" i="1" s="1"/>
  <c r="GM67" i="1"/>
  <c r="AB192" i="6"/>
  <c r="V122" i="5"/>
  <c r="T47" i="6"/>
  <c r="H55" i="6"/>
  <c r="H47" i="6"/>
  <c r="H53" i="6"/>
  <c r="AA47" i="6"/>
  <c r="T36" i="5"/>
  <c r="K41" i="5" s="1"/>
  <c r="H187" i="6"/>
  <c r="AB174" i="6"/>
  <c r="V112" i="5"/>
  <c r="K119" i="5" s="1"/>
  <c r="CP59" i="1"/>
  <c r="O59" i="1" s="1"/>
  <c r="W170" i="6"/>
  <c r="GM39" i="1"/>
  <c r="AA109" i="6"/>
  <c r="T76" i="5"/>
  <c r="AA210" i="6"/>
  <c r="T133" i="5"/>
  <c r="K130" i="5" s="1"/>
  <c r="GN43" i="1"/>
  <c r="AB127" i="6"/>
  <c r="V87" i="5"/>
  <c r="CP44" i="1"/>
  <c r="O44" i="1" s="1"/>
  <c r="GK59" i="1"/>
  <c r="X170" i="6"/>
  <c r="H107" i="6"/>
  <c r="T107" i="6"/>
  <c r="K75" i="5"/>
  <c r="DW75" i="1"/>
  <c r="H46" i="6"/>
  <c r="H38" i="6"/>
  <c r="T38" i="6"/>
  <c r="G111" i="5"/>
  <c r="O111" i="5" s="1"/>
  <c r="AA89" i="6"/>
  <c r="T65" i="5"/>
  <c r="H100" i="6"/>
  <c r="W72" i="6"/>
  <c r="K58" i="5"/>
  <c r="J64" i="5" s="1"/>
  <c r="P64" i="5" s="1"/>
  <c r="CP31" i="1"/>
  <c r="O31" i="1" s="1"/>
  <c r="G139" i="6"/>
  <c r="G153" i="6"/>
  <c r="AA174" i="6"/>
  <c r="H185" i="6"/>
  <c r="T112" i="5"/>
  <c r="K118" i="5" s="1"/>
  <c r="H135" i="6"/>
  <c r="T135" i="6"/>
  <c r="K91" i="5"/>
  <c r="W89" i="6"/>
  <c r="K68" i="5"/>
  <c r="CP33" i="1"/>
  <c r="O33" i="1" s="1"/>
  <c r="F93" i="1"/>
  <c r="F16" i="2" s="1"/>
  <c r="F18" i="2" s="1"/>
  <c r="AT107" i="1"/>
  <c r="AT22" i="1"/>
  <c r="W111" i="6"/>
  <c r="K81" i="5"/>
  <c r="G77" i="5"/>
  <c r="O77" i="5" s="1"/>
  <c r="K131" i="5"/>
  <c r="H192" i="6"/>
  <c r="T192" i="6"/>
  <c r="K122" i="5"/>
  <c r="T190" i="6"/>
  <c r="H190" i="6"/>
  <c r="K121" i="5"/>
  <c r="CP63" i="1"/>
  <c r="O63" i="1" s="1"/>
  <c r="GM63" i="1" s="1"/>
  <c r="W174" i="6"/>
  <c r="K115" i="5"/>
  <c r="H153" i="6"/>
  <c r="T139" i="6"/>
  <c r="H139" i="6"/>
  <c r="H137" i="6"/>
  <c r="T137" i="6"/>
  <c r="K92" i="5"/>
  <c r="T172" i="6"/>
  <c r="H172" i="6"/>
  <c r="K110" i="5"/>
  <c r="AA127" i="6"/>
  <c r="T87" i="5"/>
  <c r="K84" i="5" s="1"/>
  <c r="T133" i="6"/>
  <c r="H133" i="6"/>
  <c r="K90" i="5"/>
  <c r="H71" i="6"/>
  <c r="H56" i="6"/>
  <c r="T56" i="6"/>
  <c r="AH22" i="1"/>
  <c r="U75" i="1"/>
  <c r="GB22" i="1"/>
  <c r="ES75" i="1"/>
  <c r="AG22" i="1"/>
  <c r="T75" i="1"/>
  <c r="AJ22" i="1"/>
  <c r="W75" i="1"/>
  <c r="GM27" i="1"/>
  <c r="GN27" i="1"/>
  <c r="AX22" i="1"/>
  <c r="F82" i="1"/>
  <c r="AX107" i="1"/>
  <c r="BC18" i="1"/>
  <c r="F123" i="1"/>
  <c r="DZ22" i="1"/>
  <c r="DM75" i="1"/>
  <c r="DV22" i="1"/>
  <c r="DI75" i="1"/>
  <c r="EP18" i="1"/>
  <c r="P114" i="1"/>
  <c r="EI18" i="1"/>
  <c r="P117" i="1"/>
  <c r="EA22" i="1"/>
  <c r="DN75" i="1"/>
  <c r="AU18" i="1"/>
  <c r="F126" i="1"/>
  <c r="GM55" i="1"/>
  <c r="GN39" i="1"/>
  <c r="GM37" i="1"/>
  <c r="GN37" i="1"/>
  <c r="DW22" i="1"/>
  <c r="DJ75" i="1"/>
  <c r="AC75" i="1"/>
  <c r="CI22" i="1"/>
  <c r="AZ75" i="1"/>
  <c r="DU22" i="1"/>
  <c r="DH75" i="1"/>
  <c r="FW75" i="1"/>
  <c r="FZ75" i="1"/>
  <c r="FX75" i="1"/>
  <c r="GN63" i="1"/>
  <c r="CZ72" i="1"/>
  <c r="Y72" i="1" s="1"/>
  <c r="CY72" i="1"/>
  <c r="X72" i="1" s="1"/>
  <c r="EU18" i="1"/>
  <c r="P123" i="1"/>
  <c r="CJ22" i="1"/>
  <c r="BA75" i="1"/>
  <c r="DY22" i="1"/>
  <c r="DL75" i="1"/>
  <c r="AF75" i="1"/>
  <c r="GN30" i="1"/>
  <c r="GM30" i="1"/>
  <c r="ET18" i="1"/>
  <c r="P120" i="1"/>
  <c r="GN24" i="1"/>
  <c r="GM24" i="1"/>
  <c r="GN25" i="1"/>
  <c r="GM25" i="1"/>
  <c r="DT75" i="1"/>
  <c r="GM43" i="1"/>
  <c r="CP72" i="1"/>
  <c r="O72" i="1" s="1"/>
  <c r="GM42" i="1"/>
  <c r="GN42" i="1"/>
  <c r="AI22" i="1"/>
  <c r="V75" i="1"/>
  <c r="AE75" i="1"/>
  <c r="CY59" i="1"/>
  <c r="X59" i="1" s="1"/>
  <c r="CZ59" i="1"/>
  <c r="Y59" i="1" s="1"/>
  <c r="EL18" i="1"/>
  <c r="P125" i="1"/>
  <c r="I18" i="5" s="1"/>
  <c r="AQ18" i="1"/>
  <c r="F117" i="1"/>
  <c r="AD75" i="1"/>
  <c r="CP26" i="1"/>
  <c r="O26" i="1" s="1"/>
  <c r="GN71" i="1"/>
  <c r="GM71" i="1"/>
  <c r="GN67" i="1"/>
  <c r="GM70" i="1"/>
  <c r="GN70" i="1"/>
  <c r="CZ60" i="1"/>
  <c r="Y60" i="1" s="1"/>
  <c r="CY60" i="1"/>
  <c r="X60" i="1" s="1"/>
  <c r="GM60" i="1" s="1"/>
  <c r="ED75" i="1"/>
  <c r="EM18" i="1"/>
  <c r="P126" i="1"/>
  <c r="GM38" i="1"/>
  <c r="GN38" i="1"/>
  <c r="GM40" i="1"/>
  <c r="GN40" i="1"/>
  <c r="DX22" i="1"/>
  <c r="DK75" i="1"/>
  <c r="ER22" i="1"/>
  <c r="ER107" i="1"/>
  <c r="P86" i="1"/>
  <c r="AO18" i="1"/>
  <c r="F111" i="1"/>
  <c r="CZ44" i="1"/>
  <c r="Y44" i="1" s="1"/>
  <c r="AL75" i="1" s="1"/>
  <c r="CY44" i="1"/>
  <c r="X44" i="1" s="1"/>
  <c r="EB22" i="1"/>
  <c r="DO75" i="1"/>
  <c r="EH18" i="1"/>
  <c r="P116" i="1"/>
  <c r="I19" i="5" s="1"/>
  <c r="AP22" i="1"/>
  <c r="AP107" i="1"/>
  <c r="F84" i="1"/>
  <c r="G16" i="2" s="1"/>
  <c r="G18" i="2" s="1"/>
  <c r="GN48" i="1" l="1"/>
  <c r="GM34" i="1"/>
  <c r="GN34" i="1"/>
  <c r="GN46" i="1"/>
  <c r="GM46" i="1"/>
  <c r="K71" i="5"/>
  <c r="K72" i="5"/>
  <c r="J77" i="5" s="1"/>
  <c r="P77" i="5" s="1"/>
  <c r="G16" i="5"/>
  <c r="K85" i="5"/>
  <c r="J44" i="5"/>
  <c r="P44" i="5" s="1"/>
  <c r="GN44" i="1"/>
  <c r="GN59" i="1"/>
  <c r="AA170" i="6"/>
  <c r="T109" i="5"/>
  <c r="K106" i="5" s="1"/>
  <c r="J135" i="5"/>
  <c r="P135" i="5" s="1"/>
  <c r="J93" i="5"/>
  <c r="P93" i="5" s="1"/>
  <c r="T72" i="6"/>
  <c r="H88" i="6"/>
  <c r="H72" i="6"/>
  <c r="GM31" i="1"/>
  <c r="GN31" i="1"/>
  <c r="G137" i="5"/>
  <c r="H170" i="6"/>
  <c r="T170" i="6"/>
  <c r="K109" i="5"/>
  <c r="T154" i="6"/>
  <c r="H169" i="6"/>
  <c r="H154" i="6"/>
  <c r="GN57" i="1"/>
  <c r="GM57" i="1"/>
  <c r="T194" i="6"/>
  <c r="H209" i="6"/>
  <c r="H194" i="6"/>
  <c r="GM69" i="1"/>
  <c r="GN69" i="1"/>
  <c r="G17" i="5"/>
  <c r="AB170" i="6"/>
  <c r="V109" i="5"/>
  <c r="K107" i="5" s="1"/>
  <c r="J111" i="5" s="1"/>
  <c r="P111" i="5" s="1"/>
  <c r="H189" i="6"/>
  <c r="H174" i="6"/>
  <c r="T174" i="6"/>
  <c r="AT18" i="1"/>
  <c r="F125" i="1"/>
  <c r="H104" i="6"/>
  <c r="H89" i="6"/>
  <c r="T89" i="6"/>
  <c r="H215" i="6" s="1"/>
  <c r="GM33" i="1"/>
  <c r="GN33" i="1"/>
  <c r="H222" i="6"/>
  <c r="J123" i="5"/>
  <c r="P123" i="5" s="1"/>
  <c r="AL22" i="1"/>
  <c r="Y75" i="1"/>
  <c r="AE22" i="1"/>
  <c r="R75" i="1"/>
  <c r="DJ22" i="1"/>
  <c r="DJ107" i="1"/>
  <c r="P89" i="1"/>
  <c r="T22" i="1"/>
  <c r="T107" i="1"/>
  <c r="F96" i="1"/>
  <c r="AK75" i="1"/>
  <c r="ER18" i="1"/>
  <c r="P118" i="1"/>
  <c r="V22" i="1"/>
  <c r="V107" i="1"/>
  <c r="F98" i="1"/>
  <c r="GN72" i="1"/>
  <c r="GM72" i="1"/>
  <c r="BA22" i="1"/>
  <c r="F95" i="1"/>
  <c r="H16" i="2" s="1"/>
  <c r="H18" i="2" s="1"/>
  <c r="BA107" i="1"/>
  <c r="FZ22" i="1"/>
  <c r="EQ75" i="1"/>
  <c r="AZ22" i="1"/>
  <c r="AZ107" i="1"/>
  <c r="F86" i="1"/>
  <c r="DM22" i="1"/>
  <c r="DM107" i="1"/>
  <c r="P97" i="1"/>
  <c r="AX18" i="1"/>
  <c r="F114" i="1"/>
  <c r="AP18" i="1"/>
  <c r="F116" i="1"/>
  <c r="AD22" i="1"/>
  <c r="Q75" i="1"/>
  <c r="FX22" i="1"/>
  <c r="EO75" i="1"/>
  <c r="DN22" i="1"/>
  <c r="DN107" i="1"/>
  <c r="P98" i="1"/>
  <c r="ES22" i="1"/>
  <c r="ES107" i="1"/>
  <c r="P95" i="1"/>
  <c r="W16" i="2" s="1"/>
  <c r="W18" i="2" s="1"/>
  <c r="DO22" i="1"/>
  <c r="P99" i="1"/>
  <c r="DO107" i="1"/>
  <c r="GM44" i="1"/>
  <c r="GN60" i="1"/>
  <c r="FT75" i="1"/>
  <c r="AF22" i="1"/>
  <c r="S75" i="1"/>
  <c r="FW22" i="1"/>
  <c r="EN75" i="1"/>
  <c r="EC75" i="1"/>
  <c r="W22" i="1"/>
  <c r="F99" i="1"/>
  <c r="W107" i="1"/>
  <c r="GM59" i="1"/>
  <c r="FS75" i="1" s="1"/>
  <c r="U22" i="1"/>
  <c r="F97" i="1"/>
  <c r="U107" i="1"/>
  <c r="DT22" i="1"/>
  <c r="DG75" i="1"/>
  <c r="DK22" i="1"/>
  <c r="P90" i="1"/>
  <c r="Y16" i="2" s="1"/>
  <c r="Y18" i="2" s="1"/>
  <c r="DK107" i="1"/>
  <c r="ED22" i="1"/>
  <c r="DQ75" i="1"/>
  <c r="GN26" i="1"/>
  <c r="CB75" i="1" s="1"/>
  <c r="GM26" i="1"/>
  <c r="CA75" i="1" s="1"/>
  <c r="AB75" i="1"/>
  <c r="DL22" i="1"/>
  <c r="P96" i="1"/>
  <c r="DL107" i="1"/>
  <c r="DH22" i="1"/>
  <c r="DH107" i="1"/>
  <c r="P78" i="1"/>
  <c r="AC22" i="1"/>
  <c r="P75" i="1"/>
  <c r="CF75" i="1"/>
  <c r="CE75" i="1"/>
  <c r="CH75" i="1"/>
  <c r="DI22" i="1"/>
  <c r="DI107" i="1"/>
  <c r="P87" i="1"/>
  <c r="J137" i="5" l="1"/>
  <c r="CA22" i="1"/>
  <c r="AR75" i="1"/>
  <c r="CB22" i="1"/>
  <c r="AS75" i="1"/>
  <c r="CE22" i="1"/>
  <c r="AV75" i="1"/>
  <c r="W18" i="1"/>
  <c r="F131" i="1"/>
  <c r="R22" i="1"/>
  <c r="F89" i="1"/>
  <c r="R107" i="1"/>
  <c r="CF22" i="1"/>
  <c r="AW75" i="1"/>
  <c r="AZ18" i="1"/>
  <c r="F118" i="1"/>
  <c r="BA18" i="1"/>
  <c r="F127" i="1"/>
  <c r="FS22" i="1"/>
  <c r="EJ75" i="1"/>
  <c r="V18" i="1"/>
  <c r="F130" i="1"/>
  <c r="AK22" i="1"/>
  <c r="X75" i="1"/>
  <c r="U18" i="1"/>
  <c r="F129" i="1"/>
  <c r="EN22" i="1"/>
  <c r="P80" i="1"/>
  <c r="EN107" i="1"/>
  <c r="DI18" i="1"/>
  <c r="P119" i="1"/>
  <c r="AB22" i="1"/>
  <c r="O75" i="1"/>
  <c r="DG22" i="1"/>
  <c r="P77" i="1"/>
  <c r="DG107" i="1"/>
  <c r="S22" i="1"/>
  <c r="F90" i="1"/>
  <c r="J16" i="2" s="1"/>
  <c r="J18" i="2" s="1"/>
  <c r="S107" i="1"/>
  <c r="DN18" i="1"/>
  <c r="P130" i="1"/>
  <c r="DM18" i="1"/>
  <c r="P129" i="1"/>
  <c r="I21" i="5" s="1"/>
  <c r="G21" i="5" s="1"/>
  <c r="DJ18" i="1"/>
  <c r="P121" i="1"/>
  <c r="Y22" i="1"/>
  <c r="F101" i="1"/>
  <c r="Y107" i="1"/>
  <c r="FT22" i="1"/>
  <c r="EK75" i="1"/>
  <c r="EO22" i="1"/>
  <c r="EO107" i="1"/>
  <c r="P81" i="1"/>
  <c r="DH18" i="1"/>
  <c r="P110" i="1"/>
  <c r="DQ22" i="1"/>
  <c r="P101" i="1"/>
  <c r="DQ107" i="1"/>
  <c r="P22" i="1"/>
  <c r="P107" i="1"/>
  <c r="F78" i="1"/>
  <c r="CH22" i="1"/>
  <c r="AY75" i="1"/>
  <c r="DL18" i="1"/>
  <c r="P128" i="1"/>
  <c r="DK18" i="1"/>
  <c r="P122" i="1"/>
  <c r="I22" i="5" s="1"/>
  <c r="EC22" i="1"/>
  <c r="DP75" i="1"/>
  <c r="DO18" i="1"/>
  <c r="P131" i="1"/>
  <c r="ES18" i="1"/>
  <c r="P127" i="1"/>
  <c r="I20" i="5" s="1"/>
  <c r="Q22" i="1"/>
  <c r="F87" i="1"/>
  <c r="Q107" i="1"/>
  <c r="EQ22" i="1"/>
  <c r="P83" i="1"/>
  <c r="EQ107" i="1"/>
  <c r="T18" i="1"/>
  <c r="F128" i="1"/>
  <c r="AS22" i="1" l="1"/>
  <c r="AS107" i="1"/>
  <c r="F92" i="1"/>
  <c r="E16" i="2" s="1"/>
  <c r="Q18" i="1"/>
  <c r="F119" i="1"/>
  <c r="P18" i="1"/>
  <c r="F110" i="1"/>
  <c r="EO18" i="1"/>
  <c r="P113" i="1"/>
  <c r="Y18" i="1"/>
  <c r="F133" i="1"/>
  <c r="DG18" i="1"/>
  <c r="P109" i="1"/>
  <c r="X22" i="1"/>
  <c r="X107" i="1"/>
  <c r="F100" i="1"/>
  <c r="EJ22" i="1"/>
  <c r="EJ107" i="1"/>
  <c r="P102" i="1"/>
  <c r="P103" i="1" s="1"/>
  <c r="G218" i="6" s="1"/>
  <c r="R18" i="1"/>
  <c r="F121" i="1"/>
  <c r="DP22" i="1"/>
  <c r="DP107" i="1"/>
  <c r="P100" i="1"/>
  <c r="EN18" i="1"/>
  <c r="P112" i="1"/>
  <c r="S18" i="1"/>
  <c r="F122" i="1"/>
  <c r="AV22" i="1"/>
  <c r="F80" i="1"/>
  <c r="AV107" i="1"/>
  <c r="AR22" i="1"/>
  <c r="F102" i="1"/>
  <c r="F103" i="1" s="1"/>
  <c r="AR107" i="1"/>
  <c r="O22" i="1"/>
  <c r="F77" i="1"/>
  <c r="O107" i="1"/>
  <c r="EQ18" i="1"/>
  <c r="P115" i="1"/>
  <c r="AY22" i="1"/>
  <c r="F83" i="1"/>
  <c r="AY107" i="1"/>
  <c r="DQ18" i="1"/>
  <c r="P133" i="1"/>
  <c r="EK22" i="1"/>
  <c r="EK107" i="1"/>
  <c r="P92" i="1"/>
  <c r="T16" i="2" s="1"/>
  <c r="AW22" i="1"/>
  <c r="F81" i="1"/>
  <c r="AW107" i="1"/>
  <c r="AV18" i="1" l="1"/>
  <c r="F112" i="1"/>
  <c r="DP18" i="1"/>
  <c r="P132" i="1"/>
  <c r="P104" i="1"/>
  <c r="G219" i="6" s="1"/>
  <c r="P105" i="1"/>
  <c r="G220" i="6" s="1"/>
  <c r="X18" i="1"/>
  <c r="F132" i="1"/>
  <c r="I16" i="2"/>
  <c r="I18" i="2" s="1"/>
  <c r="E18" i="2"/>
  <c r="X16" i="2"/>
  <c r="X18" i="2" s="1"/>
  <c r="T18" i="2"/>
  <c r="AW18" i="1"/>
  <c r="F113" i="1"/>
  <c r="EK18" i="1"/>
  <c r="P124" i="1"/>
  <c r="I17" i="5" s="1"/>
  <c r="AY18" i="1"/>
  <c r="F115" i="1"/>
  <c r="AR18" i="1"/>
  <c r="F134" i="1"/>
  <c r="F135" i="1" s="1"/>
  <c r="EJ18" i="1"/>
  <c r="P134" i="1"/>
  <c r="P135" i="1" s="1"/>
  <c r="AS18" i="1"/>
  <c r="F124" i="1"/>
  <c r="O18" i="1"/>
  <c r="F109" i="1"/>
  <c r="F104" i="1"/>
  <c r="F105" i="1" s="1"/>
  <c r="G224" i="6" l="1"/>
  <c r="J139" i="5"/>
  <c r="P136" i="1"/>
  <c r="F136" i="1"/>
  <c r="F137" i="1" s="1"/>
  <c r="P137" i="1" l="1"/>
  <c r="G225" i="6"/>
  <c r="J140" i="5"/>
  <c r="G226" i="6" l="1"/>
  <c r="F31" i="6"/>
  <c r="J141" i="5"/>
  <c r="I16" i="5"/>
</calcChain>
</file>

<file path=xl/sharedStrings.xml><?xml version="1.0" encoding="utf-8"?>
<sst xmlns="http://schemas.openxmlformats.org/spreadsheetml/2006/main" count="4356" uniqueCount="419">
  <si>
    <t>Smeta.RU  (495) 974-1589</t>
  </si>
  <si>
    <t>_PS_</t>
  </si>
  <si>
    <t>Smeta.RU</t>
  </si>
  <si>
    <t>НИЯУ МИФИ  Доп. раб. место  MCCS-0027251</t>
  </si>
  <si>
    <t/>
  </si>
  <si>
    <t>Капитальный ремонт помещения №35 ОТИ НИЯУ МИФИ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</si>
  <si>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</si>
  <si>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</si>
  <si>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</si>
  <si>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</si>
  <si>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</si>
  <si>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</si>
  <si>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</si>
  <si>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</si>
  <si>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</si>
  <si>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</si>
  <si>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</si>
  <si>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</si>
  <si>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</si>
  <si>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</si>
  <si>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</si>
  <si>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</si>
  <si>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 и релина</t>
  </si>
  <si>
    <t>100 м2</t>
  </si>
  <si>
    <t>ФЕР-2001, 57-2-1, приказ Минстроя России №1039/пр от 30.12.2016г.</t>
  </si>
  <si>
    <t>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</si>
  <si>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</si>
  <si>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</si>
  <si>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</si>
  <si>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</t>
  </si>
  <si>
    <t>)*1,15</t>
  </si>
  <si>
    <t>Общестроительные работы</t>
  </si>
  <si>
    <t>ФЕР-11</t>
  </si>
  <si>
    <t>Поправка: МДС 81-35.2004, п.4.7</t>
  </si>
  <si>
    <t>*0,9</t>
  </si>
  <si>
    <t>*0,85</t>
  </si>
  <si>
    <t>4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</si>
  <si>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</si>
  <si>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</si>
  <si>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</si>
  <si>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*5</t>
  </si>
  <si>
    <t>*5)*1,25</t>
  </si>
  <si>
    <t>*5)*1,15</t>
  </si>
  <si>
    <t>5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</si>
  <si>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</si>
  <si>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</si>
  <si>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</si>
  <si>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5,1</t>
  </si>
  <si>
    <t>01.6.03.04</t>
  </si>
  <si>
    <t>Линолеум на теплозвукоизолирующей подоснове</t>
  </si>
  <si>
    <t>м2</t>
  </si>
  <si>
    <t>5,2</t>
  </si>
  <si>
    <t>01.6.03.04-0112</t>
  </si>
  <si>
    <t>Линолеум коммерческий гомогенный "ТАРКЕТТ iQ MONOLIT" (толщина 2 мм, класс 34/43, пож. безопасность Г1, В2, РП1, Д2, Т2)</t>
  </si>
  <si>
    <t>ФССЦ-2001, 01.6.03.04-0112, приказ Минстроя России №1039/пр от 30.12.2016г.</t>
  </si>
  <si>
    <t>5,3</t>
  </si>
  <si>
    <t>14.1.02.04-0101</t>
  </si>
  <si>
    <t>Клей «Бустилат»</t>
  </si>
  <si>
    <t>т</t>
  </si>
  <si>
    <t>ФССЦ-2001, 14.1.02.04-0101, приказ Минстроя России №1039/пр от 30.12.2016г.</t>
  </si>
  <si>
    <t>6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</si>
  <si>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</si>
  <si>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</si>
  <si>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</si>
  <si>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6,1</t>
  </si>
  <si>
    <t>11.3.03.14-0002</t>
  </si>
  <si>
    <t>Заглушка торцевая для пластикового плинтуса левая, высота 49 мм</t>
  </si>
  <si>
    <t>100 шт.</t>
  </si>
  <si>
    <t>ФССЦ-2001, 11.3.03.14-0002, приказ Минстроя России №1039/пр от 30.12.2016г.</t>
  </si>
  <si>
    <t>6,2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</si>
  <si>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</si>
  <si>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</si>
  <si>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</si>
  <si>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</si>
  <si>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6,3</t>
  </si>
  <si>
    <t>11.3.03.14-0012</t>
  </si>
  <si>
    <t>Заглушки торцевая для пластикового плинтуса правая, высота 49 мм</t>
  </si>
  <si>
    <t>ФССЦ-2001, 11.3.03.14-0012, приказ Минстроя России №1039/пр от 30.12.2016г.</t>
  </si>
  <si>
    <t>6,4</t>
  </si>
  <si>
    <t>11.3.03.14-0022</t>
  </si>
  <si>
    <t>Соединитель для пластикового плинтуса, высота 49 мм</t>
  </si>
  <si>
    <t>ФССЦ-2001, 11.3.03.14-0022, приказ Минстроя России №1039/пр от 30.12.2016г.</t>
  </si>
  <si>
    <t>6,5</t>
  </si>
  <si>
    <t>11.3.03.14-0032</t>
  </si>
  <si>
    <t>Уголок внутренний для пластикового плинтуса, высота 49 мм</t>
  </si>
  <si>
    <t>ФССЦ-2001, 11.3.03.14-0032, приказ Минстроя России №1039/пр от 30.12.2016г.</t>
  </si>
  <si>
    <t>6,6</t>
  </si>
  <si>
    <t>11.3.03.14-0034</t>
  </si>
  <si>
    <t>Уголок наружный для пластикового плинтуса, высота 49 мм</t>
  </si>
  <si>
    <t>ФССЦ-2001, 11.3.03.14-0034, приказ Минстроя России №1039/пр от 30.12.2016г.</t>
  </si>
  <si>
    <t>7</t>
  </si>
  <si>
    <t>13-06-003-01</t>
  </si>
  <si>
    <t>Очистка поверхности щетками стен и потолка от красок</t>
  </si>
  <si>
    <t>ФЕР-2001, 13-06-003-01, приказ Минстроя России №1039/пр от 30.12.2016г.</t>
  </si>
  <si>
    <t>Защита строительных конструкций</t>
  </si>
  <si>
    <t>ФЕР-13</t>
  </si>
  <si>
    <t>8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</si>
  <si>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</si>
  <si>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</si>
  <si>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</si>
  <si>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Отделочные работы</t>
  </si>
  <si>
    <t>ФЕР-15</t>
  </si>
  <si>
    <t>8,1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</si>
  <si>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</si>
  <si>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</si>
  <si>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</si>
  <si>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8,2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</si>
  <si>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</si>
  <si>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</si>
  <si>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</si>
  <si>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9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</si>
  <si>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</si>
  <si>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</si>
  <si>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</si>
  <si>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9,1</t>
  </si>
  <si>
    <t>14.3.02.01-0014</t>
  </si>
  <si>
    <t>Краска акриловая Alpina RENOVA, CAPAROL водно-дисперсионная</t>
  </si>
  <si>
    <t>ФССЦ-2001, 14.3.02.01-0014, приказ Минстроя России №1039/пр от 30.12.2016г.</t>
  </si>
  <si>
    <t>9,2</t>
  </si>
  <si>
    <t>10</t>
  </si>
  <si>
    <t>15-04-007-02</t>
  </si>
  <si>
    <t>Окраска водно-дисперсионными акриловыми составами улучшенная по штукатурке потолков</t>
  </si>
  <si>
    <t>ФЕР-2001, 15-04-007-02, приказ Минстроя России №1039/пр от 30.12.2016г.</t>
  </si>
  <si>
    <t>10,1</t>
  </si>
  <si>
    <t>10,2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</si>
  <si>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</si>
  <si>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</si>
  <si>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</si>
  <si>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</si>
  <si>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</si>
  <si>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</si>
  <si>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</si>
  <si>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</si>
  <si>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</si>
  <si>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</si>
  <si>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</si>
  <si>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</si>
  <si>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</si>
  <si>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</si>
  <si>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</si>
  <si>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</si>
  <si>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</si>
  <si>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</si>
  <si>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</si>
  <si>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</si>
  <si>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</si>
  <si>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</si>
  <si>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</si>
  <si>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</si>
  <si>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</si>
  <si>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</si>
  <si>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</si>
  <si>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</si>
  <si>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</si>
  <si>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</si>
  <si>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</si>
  <si>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</si>
  <si>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</si>
  <si>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</si>
  <si>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</si>
  <si>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</si>
  <si>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</si>
  <si>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</si>
  <si>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</si>
  <si>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</si>
  <si>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</si>
  <si>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</si>
  <si>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</si>
  <si>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</si>
  <si>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</si>
  <si>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</si>
  <si>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</si>
  <si>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</si>
  <si>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</si>
  <si>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</si>
  <si>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</si>
  <si>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</si>
  <si>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</si>
  <si>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</si>
  <si>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</si>
  <si>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</si>
  <si>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</si>
  <si>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</si>
  <si>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</si>
  <si>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</si>
  <si>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</si>
  <si>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</si>
  <si>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</si>
  <si>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</si>
  <si>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</si>
  <si>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</si>
  <si>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</si>
  <si>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</si>
  <si>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</si>
  <si>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</si>
  <si>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</si>
  <si>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</si>
  <si>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</si>
  <si>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</si>
  <si>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</si>
  <si>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</si>
  <si>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</si>
  <si>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</si>
  <si>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</si>
  <si>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</si>
  <si>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</si>
  <si>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</si>
  <si>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</si>
  <si>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</si>
  <si>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</si>
  <si>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</si>
  <si>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</si>
  <si>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</si>
  <si>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</si>
  <si>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</si>
  <si>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</si>
  <si>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</si>
  <si>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</si>
  <si>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</si>
  <si>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</si>
  <si>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</si>
  <si>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</si>
  <si>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</si>
  <si>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</si>
  <si>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</si>
  <si>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</si>
  <si>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</si>
  <si>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</si>
  <si>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</si>
  <si>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</si>
  <si>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</si>
  <si>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</si>
  <si>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</si>
  <si>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</si>
  <si>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</si>
  <si>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</si>
  <si>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</si>
  <si>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</si>
  <si>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</si>
  <si>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</si>
  <si>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</si>
  <si>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</si>
  <si>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</si>
  <si>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</si>
  <si>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</si>
  <si>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</si>
  <si>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</si>
  <si>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</si>
  <si>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</si>
  <si>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</si>
  <si>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</si>
  <si>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</si>
  <si>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</si>
  <si>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</si>
  <si>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</si>
  <si>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</si>
  <si>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</si>
  <si>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</si>
  <si>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</si>
  <si>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</si>
  <si>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</si>
  <si>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</si>
  <si>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</si>
  <si>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</si>
  <si>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01.7.03.01-0001</t>
  </si>
  <si>
    <t>ФССЦ-2001, 01.7.03.01-0001, приказ Минстроя России №1039/пр от 30.12.2016г.</t>
  </si>
  <si>
    <t>Вода</t>
  </si>
  <si>
    <t>м3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</si>
  <si>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</si>
  <si>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</si>
  <si>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</si>
  <si>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</si>
  <si>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</si>
  <si>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</si>
  <si>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кг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</si>
  <si>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</si>
  <si>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</si>
  <si>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</si>
  <si>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</si>
  <si>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</si>
  <si>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</si>
  <si>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</si>
  <si>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</si>
  <si>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</si>
  <si>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</si>
  <si>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</si>
  <si>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</si>
  <si>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</si>
  <si>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</si>
  <si>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</si>
  <si>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</si>
  <si>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</si>
  <si>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</si>
  <si>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</si>
  <si>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</si>
  <si>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1-100-32</t>
  </si>
  <si>
    <t>Рабочий среднего разряда 3.2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</si>
  <si>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</si>
  <si>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</si>
  <si>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</si>
  <si>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</si>
  <si>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</si>
  <si>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</si>
  <si>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01.7.07.07</t>
  </si>
  <si>
    <t>Строительный мусор</t>
  </si>
  <si>
    <t>14.1.06.05</t>
  </si>
  <si>
    <t>Состав клеящий</t>
  </si>
  <si>
    <t>11.3.03.06</t>
  </si>
  <si>
    <t>Плинтуса для полов пластиковые</t>
  </si>
  <si>
    <t>11.3.03.14</t>
  </si>
  <si>
    <t>Уголок наружный для пластикового плинтуса</t>
  </si>
  <si>
    <t>шт.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</si>
  <si>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</si>
  <si>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</si>
  <si>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</si>
  <si>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</si>
  <si>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04.3.02.09</t>
  </si>
  <si>
    <t>Смеси на цементной основе</t>
  </si>
  <si>
    <t>14.4.01.21</t>
  </si>
  <si>
    <t>Грунтовка</t>
  </si>
  <si>
    <t>14.3.02.01</t>
  </si>
  <si>
    <t>Краска акриловая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</si>
  <si>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</si>
  <si>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</si>
  <si>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</si>
  <si>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</si>
  <si>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</si>
  <si>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</si>
  <si>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</si>
  <si>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</si>
  <si>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</si>
  <si>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</si>
  <si>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</si>
  <si>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</si>
  <si>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</si>
  <si>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</si>
  <si>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</si>
  <si>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</si>
  <si>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</si>
  <si>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</si>
  <si>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</si>
  <si>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</si>
  <si>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</si>
  <si>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</si>
  <si>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</si>
  <si>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</si>
  <si>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</si>
  <si>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</si>
  <si>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</si>
  <si>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</si>
  <si>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</si>
  <si>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</si>
  <si>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</si>
  <si>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</si>
  <si>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</si>
  <si>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</si>
  <si>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</si>
  <si>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</si>
  <si>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</si>
  <si>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</si>
  <si>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</si>
  <si>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</si>
  <si>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</si>
  <si>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</si>
  <si>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</si>
  <si>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</si>
  <si>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</si>
  <si>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</si>
  <si>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</si>
  <si>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</si>
  <si>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</si>
  <si>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</si>
  <si>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</si>
  <si>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</si>
  <si>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</si>
  <si>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</si>
  <si>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</si>
  <si>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</si>
  <si>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</si>
  <si>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</si>
  <si>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</si>
  <si>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</si>
  <si>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</si>
  <si>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</si>
  <si>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</si>
  <si>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</si>
  <si>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</si>
  <si>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</si>
  <si>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</si>
  <si>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</si>
  <si>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</si>
  <si>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</si>
  <si>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</si>
  <si>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</si>
  <si>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</si>
  <si>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</si>
  <si>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</si>
  <si>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</si>
  <si>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</si>
  <si>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</si>
  <si>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</si>
  <si>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</si>
  <si>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</si>
  <si>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</si>
  <si>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</si>
  <si>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</si>
  <si>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 с поправкой</t>
  </si>
  <si>
    <t>СП с поправкой</t>
  </si>
  <si>
    <t xml:space="preserve">Стоимость материалов 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</si>
  <si>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</si>
  <si>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</si>
  <si>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</si>
  <si>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</si>
  <si>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</si>
  <si>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</si>
  <si>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</si>
  <si>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Составлена в ценах IV квартал 2017 года</t>
  </si>
  <si>
    <t>Капитальный ремонт помещения №35 лаборатории СХД 2-го этажа здания учебного корпуса Озерского технологического института -филиала НИЯУ МИФИ(ОТИ НИЯУ МИФИ) по адресу: Челябинская обл., г. Озерск, проспект Победы, д48</t>
  </si>
  <si>
    <t>Приложение № 1 к Приложению № 5
к извещению о проведении
запроса котировок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</si>
</sst>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0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2" fillId="0" borderId="0" xfId="0" applyFont="1" applyBorder="1" applyAlignment="1">
      <alignment horizontal="center" vertical="top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5" fillId="0" borderId="0" xfId="0" applyFont="1" applyAlignment="1">
      <alignment horizontal="left"/>
    </xf>
    <xf numFmtId="0" fontId="20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2" fillId="0" borderId="15" xfId="0" applyFont="1" applyBorder="1" applyAlignment="1">
      <alignment horizontal="center" vertical="top" shrinkToFi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8"/>
  <sheetViews>
    <sheetView tabSelected="1" zoomScaleNormal="100" workbookViewId="0">
      <selection activeCell="AM25" sqref="AM25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2" t="str">
        <f>Source!B1</f>
        <v>Smeta.RU  (495) 974-1589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12" ht="46.5" customHeight="1" x14ac:dyDescent="0.25">
      <c r="A3" s="15"/>
      <c r="B3" s="88"/>
      <c r="C3" s="88"/>
      <c r="D3" s="88"/>
      <c r="E3" s="88"/>
      <c r="F3" s="14"/>
      <c r="G3" s="14"/>
      <c r="H3" s="89" t="s">
        <v>418</v>
      </c>
      <c r="I3" s="88"/>
      <c r="J3" s="88"/>
      <c r="K3" s="88"/>
      <c r="L3" s="88"/>
    </row>
    <row r="4" spans="1:12" ht="14.25" x14ac:dyDescent="0.2">
      <c r="A4" s="14"/>
      <c r="B4" s="71"/>
      <c r="C4" s="71"/>
      <c r="D4" s="71"/>
      <c r="E4" s="71"/>
      <c r="F4" s="14"/>
      <c r="G4" s="14"/>
      <c r="H4" s="71"/>
      <c r="I4" s="71"/>
      <c r="J4" s="71"/>
      <c r="K4" s="71"/>
      <c r="L4" s="71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2" ht="15.75" x14ac:dyDescent="0.25">
      <c r="A6" s="18"/>
      <c r="B6" s="84" t="s">
        <v>415</v>
      </c>
      <c r="C6" s="84"/>
      <c r="D6" s="84"/>
      <c r="E6" s="84"/>
      <c r="F6" s="84"/>
      <c r="G6" s="84"/>
      <c r="H6" s="84"/>
      <c r="I6" s="84"/>
      <c r="J6" s="84"/>
      <c r="K6" s="84"/>
      <c r="L6" s="18"/>
    </row>
    <row r="7" spans="1:12" ht="15.75" x14ac:dyDescent="0.25">
      <c r="A7" s="18"/>
      <c r="B7" s="19"/>
      <c r="C7" s="19"/>
      <c r="D7" s="19"/>
      <c r="E7" s="19"/>
      <c r="F7" s="19"/>
      <c r="G7" s="19"/>
      <c r="H7" s="19"/>
      <c r="I7" s="19"/>
      <c r="J7" s="19"/>
      <c r="K7" s="19"/>
      <c r="L7" s="18"/>
    </row>
    <row r="8" spans="1:12" ht="18" hidden="1" x14ac:dyDescent="0.25">
      <c r="A8" s="18"/>
      <c r="B8" s="85"/>
      <c r="C8" s="85"/>
      <c r="D8" s="85"/>
      <c r="E8" s="85"/>
      <c r="F8" s="85"/>
      <c r="G8" s="85"/>
      <c r="H8" s="85"/>
      <c r="I8" s="85"/>
      <c r="J8" s="85"/>
      <c r="K8" s="85"/>
      <c r="L8" s="18"/>
    </row>
    <row r="9" spans="1:12" ht="14.25" hidden="1" x14ac:dyDescent="0.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pans="1:12" ht="54.75" customHeight="1" x14ac:dyDescent="0.25">
      <c r="A10" s="14"/>
      <c r="B10" s="85" t="s">
        <v>417</v>
      </c>
      <c r="C10" s="85"/>
      <c r="D10" s="85"/>
      <c r="E10" s="85"/>
      <c r="F10" s="85"/>
      <c r="G10" s="85"/>
      <c r="H10" s="85"/>
      <c r="I10" s="85"/>
      <c r="J10" s="85"/>
      <c r="K10" s="85"/>
      <c r="L10" s="20"/>
    </row>
    <row r="11" spans="1:12" ht="14.25" x14ac:dyDescent="0.2">
      <c r="A11" s="14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17"/>
    </row>
    <row r="12" spans="1:12" ht="14.25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2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ht="14.25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2" ht="14.25" x14ac:dyDescent="0.2">
      <c r="A15" s="14"/>
      <c r="B15" s="14"/>
      <c r="C15" s="14"/>
      <c r="D15" s="14"/>
      <c r="E15" s="21"/>
      <c r="F15" s="21"/>
      <c r="G15" s="87" t="s">
        <v>323</v>
      </c>
      <c r="H15" s="87"/>
      <c r="I15" s="87" t="s">
        <v>324</v>
      </c>
      <c r="J15" s="87"/>
      <c r="K15" s="14"/>
      <c r="L15" s="14"/>
    </row>
    <row r="16" spans="1:12" ht="15" x14ac:dyDescent="0.25">
      <c r="A16" s="14"/>
      <c r="B16" s="14"/>
      <c r="C16" s="80" t="s">
        <v>325</v>
      </c>
      <c r="D16" s="80"/>
      <c r="E16" s="80"/>
      <c r="F16" s="80"/>
      <c r="G16" s="79">
        <f>SUM(O1:O138)/1000</f>
        <v>20.21726</v>
      </c>
      <c r="H16" s="79"/>
      <c r="I16" s="79">
        <f>(Source!P137/1000)</f>
        <v>145.14795000000001</v>
      </c>
      <c r="J16" s="79"/>
      <c r="K16" s="81" t="s">
        <v>326</v>
      </c>
      <c r="L16" s="81"/>
    </row>
    <row r="17" spans="1:22" ht="14.25" x14ac:dyDescent="0.2">
      <c r="A17" s="14"/>
      <c r="B17" s="14"/>
      <c r="C17" s="83" t="s">
        <v>327</v>
      </c>
      <c r="D17" s="83"/>
      <c r="E17" s="83"/>
      <c r="F17" s="83"/>
      <c r="G17" s="79">
        <f>SUM(W1:W138)/1000</f>
        <v>20.21726</v>
      </c>
      <c r="H17" s="79"/>
      <c r="I17" s="79">
        <f>(Source!P124)/1000</f>
        <v>123.00674000000001</v>
      </c>
      <c r="J17" s="79"/>
      <c r="K17" s="81" t="s">
        <v>326</v>
      </c>
      <c r="L17" s="81"/>
    </row>
    <row r="18" spans="1:22" ht="14.25" x14ac:dyDescent="0.2">
      <c r="A18" s="14"/>
      <c r="B18" s="14"/>
      <c r="C18" s="83" t="s">
        <v>328</v>
      </c>
      <c r="D18" s="83"/>
      <c r="E18" s="83"/>
      <c r="F18" s="83"/>
      <c r="G18" s="79">
        <f>SUM(X1:X138)/1000</f>
        <v>0</v>
      </c>
      <c r="H18" s="79"/>
      <c r="I18" s="79">
        <f>(Source!P125)/1000</f>
        <v>0</v>
      </c>
      <c r="J18" s="79"/>
      <c r="K18" s="81" t="s">
        <v>326</v>
      </c>
      <c r="L18" s="81"/>
    </row>
    <row r="19" spans="1:22" ht="14.25" x14ac:dyDescent="0.2">
      <c r="A19" s="14"/>
      <c r="B19" s="14"/>
      <c r="C19" s="83" t="s">
        <v>329</v>
      </c>
      <c r="D19" s="83"/>
      <c r="E19" s="83"/>
      <c r="F19" s="83"/>
      <c r="G19" s="79">
        <f>SUM(Y1:Y138)/1000</f>
        <v>0</v>
      </c>
      <c r="H19" s="79"/>
      <c r="I19" s="79">
        <f>(Source!P116)/1000</f>
        <v>0</v>
      </c>
      <c r="J19" s="79"/>
      <c r="K19" s="81" t="s">
        <v>326</v>
      </c>
      <c r="L19" s="81"/>
    </row>
    <row r="20" spans="1:22" ht="14.25" x14ac:dyDescent="0.2">
      <c r="A20" s="14"/>
      <c r="B20" s="14"/>
      <c r="C20" s="83" t="s">
        <v>330</v>
      </c>
      <c r="D20" s="83"/>
      <c r="E20" s="83"/>
      <c r="F20" s="83"/>
      <c r="G20" s="79">
        <f>SUM(Z1:Z138)/1000</f>
        <v>0</v>
      </c>
      <c r="H20" s="79"/>
      <c r="I20" s="79">
        <f>(Source!P126+Source!P127)/1000</f>
        <v>0</v>
      </c>
      <c r="J20" s="79"/>
      <c r="K20" s="81" t="s">
        <v>326</v>
      </c>
      <c r="L20" s="81"/>
    </row>
    <row r="21" spans="1:22" ht="15" x14ac:dyDescent="0.25">
      <c r="A21" s="14"/>
      <c r="B21" s="14"/>
      <c r="C21" s="80" t="s">
        <v>331</v>
      </c>
      <c r="D21" s="80"/>
      <c r="E21" s="80"/>
      <c r="F21" s="80"/>
      <c r="G21" s="79">
        <f>I21</f>
        <v>277.08518199999997</v>
      </c>
      <c r="H21" s="79"/>
      <c r="I21" s="79">
        <f>(Source!P129+Source!P130)</f>
        <v>277.08518199999997</v>
      </c>
      <c r="J21" s="79"/>
      <c r="K21" s="81" t="s">
        <v>332</v>
      </c>
      <c r="L21" s="81"/>
    </row>
    <row r="22" spans="1:22" ht="15" x14ac:dyDescent="0.25">
      <c r="A22" s="14"/>
      <c r="B22" s="14"/>
      <c r="C22" s="80" t="s">
        <v>333</v>
      </c>
      <c r="D22" s="80"/>
      <c r="E22" s="80"/>
      <c r="F22" s="80"/>
      <c r="G22" s="79">
        <f>SUM(R1:R138)/1000</f>
        <v>2.3769</v>
      </c>
      <c r="H22" s="79"/>
      <c r="I22" s="79">
        <f>((Source!P122 + Source!P121)/1000)</f>
        <v>14.451709999999999</v>
      </c>
      <c r="J22" s="79"/>
      <c r="K22" s="81" t="s">
        <v>326</v>
      </c>
      <c r="L22" s="81"/>
    </row>
    <row r="23" spans="1:2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22" ht="14.25" x14ac:dyDescent="0.2">
      <c r="A24" s="82" t="s">
        <v>416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</row>
    <row r="25" spans="1:22" ht="57" x14ac:dyDescent="0.2">
      <c r="A25" s="22" t="s">
        <v>334</v>
      </c>
      <c r="B25" s="22" t="s">
        <v>335</v>
      </c>
      <c r="C25" s="22" t="s">
        <v>336</v>
      </c>
      <c r="D25" s="22" t="s">
        <v>337</v>
      </c>
      <c r="E25" s="22" t="s">
        <v>338</v>
      </c>
      <c r="F25" s="22" t="s">
        <v>339</v>
      </c>
      <c r="G25" s="22" t="s">
        <v>340</v>
      </c>
      <c r="H25" s="22" t="s">
        <v>341</v>
      </c>
      <c r="I25" s="22" t="s">
        <v>342</v>
      </c>
      <c r="J25" s="22" t="s">
        <v>343</v>
      </c>
      <c r="K25" s="22" t="s">
        <v>344</v>
      </c>
      <c r="L25" s="22" t="s">
        <v>345</v>
      </c>
    </row>
    <row r="26" spans="1:22" ht="14.25" x14ac:dyDescent="0.2">
      <c r="A26" s="23">
        <v>1</v>
      </c>
      <c r="B26" s="23">
        <v>2</v>
      </c>
      <c r="C26" s="23">
        <v>3</v>
      </c>
      <c r="D26" s="23">
        <v>4</v>
      </c>
      <c r="E26" s="23">
        <v>5</v>
      </c>
      <c r="F26" s="23">
        <v>6</v>
      </c>
      <c r="G26" s="23">
        <v>7</v>
      </c>
      <c r="H26" s="23">
        <v>8</v>
      </c>
      <c r="I26" s="23">
        <v>9</v>
      </c>
      <c r="J26" s="23">
        <v>10</v>
      </c>
      <c r="K26" s="23">
        <v>11</v>
      </c>
      <c r="L26" s="24">
        <v>12</v>
      </c>
    </row>
    <row r="28" spans="1:22" ht="16.5" x14ac:dyDescent="0.25">
      <c r="A28" s="74" t="str">
        <f>CONCATENATE("Локальная смета: ",IF(Source!G20&lt;&gt;"Новая локальная смета", Source!G20, ""))</f>
        <v xml:space="preserve">Локальная смета: 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</row>
    <row r="29" spans="1:22" ht="28.5" x14ac:dyDescent="0.2">
      <c r="A29" s="51" t="str">
        <f>Source!E25</f>
        <v>1</v>
      </c>
      <c r="B29" s="52" t="str">
        <f>Source!F25</f>
        <v>57-3-1</v>
      </c>
      <c r="C29" s="52" t="str">
        <f>Source!G25</f>
        <v>Разборка плинтусов деревянных и из пластмассовых материалов</v>
      </c>
      <c r="D29" s="33" t="str">
        <f>Source!H25</f>
        <v>100 м</v>
      </c>
      <c r="E29" s="13">
        <f>Source!I25</f>
        <v>0.24</v>
      </c>
      <c r="F29" s="34">
        <f>Source!AL25+Source!AM25+Source!AO25</f>
        <v>29.41</v>
      </c>
      <c r="G29" s="35"/>
      <c r="H29" s="36"/>
      <c r="I29" s="35" t="str">
        <f>Source!BO25</f>
        <v/>
      </c>
      <c r="J29" s="35"/>
      <c r="K29" s="36"/>
      <c r="L29" s="37"/>
      <c r="S29">
        <f>ROUND((Source!FX25/100)*((ROUND(Source!AF25*Source!I25, 2)+ROUND(Source!AE25*Source!I25, 2))), 2)</f>
        <v>5.65</v>
      </c>
      <c r="T29">
        <f>Source!X25</f>
        <v>34.340000000000003</v>
      </c>
      <c r="U29">
        <f>ROUND((Source!FY25/100)*((ROUND(Source!AF25*Source!I25, 2)+ROUND(Source!AE25*Source!I25, 2))), 2)</f>
        <v>4.8</v>
      </c>
      <c r="V29">
        <f>Source!Y25</f>
        <v>29.19</v>
      </c>
    </row>
    <row r="30" spans="1:22" x14ac:dyDescent="0.2">
      <c r="C30" s="27" t="str">
        <f>"Объем: "&amp;Source!I25&amp;"=24/"&amp;"100"</f>
        <v>Объем: 0,24=24/100</v>
      </c>
    </row>
    <row r="31" spans="1:22" ht="14.25" x14ac:dyDescent="0.2">
      <c r="A31" s="51"/>
      <c r="B31" s="52"/>
      <c r="C31" s="52" t="s">
        <v>346</v>
      </c>
      <c r="D31" s="33"/>
      <c r="E31" s="13"/>
      <c r="F31" s="34">
        <f>Source!AO25</f>
        <v>29.41</v>
      </c>
      <c r="G31" s="35" t="str">
        <f>Source!DG25</f>
        <v/>
      </c>
      <c r="H31" s="36">
        <f>ROUND(Source!AF25*Source!I25, 2)</f>
        <v>7.06</v>
      </c>
      <c r="I31" s="35"/>
      <c r="J31" s="35">
        <f>IF(Source!BA25&lt;&gt; 0, Source!BA25, 1)</f>
        <v>6.08</v>
      </c>
      <c r="K31" s="36">
        <f>Source!S25</f>
        <v>42.92</v>
      </c>
      <c r="L31" s="37"/>
      <c r="R31">
        <f>H31</f>
        <v>7.06</v>
      </c>
    </row>
    <row r="32" spans="1:22" ht="14.25" x14ac:dyDescent="0.2">
      <c r="A32" s="51"/>
      <c r="B32" s="52"/>
      <c r="C32" s="52" t="s">
        <v>347</v>
      </c>
      <c r="D32" s="33" t="s">
        <v>348</v>
      </c>
      <c r="E32" s="13">
        <f>Source!BZ25</f>
        <v>80</v>
      </c>
      <c r="F32" s="55"/>
      <c r="G32" s="35"/>
      <c r="H32" s="36">
        <f>SUM(S29:S34)</f>
        <v>5.65</v>
      </c>
      <c r="I32" s="38"/>
      <c r="J32" s="31">
        <f>Source!AT25</f>
        <v>80</v>
      </c>
      <c r="K32" s="36">
        <f>SUM(T29:T34)</f>
        <v>34.340000000000003</v>
      </c>
      <c r="L32" s="37"/>
    </row>
    <row r="33" spans="1:26" ht="14.25" x14ac:dyDescent="0.2">
      <c r="A33" s="51"/>
      <c r="B33" s="52"/>
      <c r="C33" s="52" t="s">
        <v>349</v>
      </c>
      <c r="D33" s="33" t="s">
        <v>348</v>
      </c>
      <c r="E33" s="13">
        <f>Source!CA25</f>
        <v>68</v>
      </c>
      <c r="F33" s="55"/>
      <c r="G33" s="35"/>
      <c r="H33" s="36">
        <f>SUM(U29:U34)</f>
        <v>4.8</v>
      </c>
      <c r="I33" s="38"/>
      <c r="J33" s="31">
        <f>Source!AU25</f>
        <v>68</v>
      </c>
      <c r="K33" s="36">
        <f>SUM(V29:V34)</f>
        <v>29.19</v>
      </c>
      <c r="L33" s="37"/>
    </row>
    <row r="34" spans="1:26" ht="14.25" x14ac:dyDescent="0.2">
      <c r="A34" s="53"/>
      <c r="B34" s="54"/>
      <c r="C34" s="54" t="s">
        <v>350</v>
      </c>
      <c r="D34" s="39" t="s">
        <v>351</v>
      </c>
      <c r="E34" s="40">
        <f>Source!AQ25</f>
        <v>3.77</v>
      </c>
      <c r="F34" s="41"/>
      <c r="G34" s="42" t="str">
        <f>Source!DI25</f>
        <v/>
      </c>
      <c r="H34" s="43"/>
      <c r="I34" s="42"/>
      <c r="J34" s="42"/>
      <c r="K34" s="43"/>
      <c r="L34" s="44">
        <f>Source!U25</f>
        <v>0.90479999999999994</v>
      </c>
    </row>
    <row r="35" spans="1:26" ht="15" x14ac:dyDescent="0.25">
      <c r="G35" s="73">
        <f>H31+H32+H33</f>
        <v>17.510000000000002</v>
      </c>
      <c r="H35" s="73"/>
      <c r="J35" s="73">
        <f>K31+K32+K33</f>
        <v>106.45</v>
      </c>
      <c r="K35" s="73"/>
      <c r="L35" s="45">
        <f>Source!U25</f>
        <v>0.90479999999999994</v>
      </c>
      <c r="O35" s="28">
        <f>G35</f>
        <v>17.510000000000002</v>
      </c>
      <c r="P35" s="28">
        <f>J35</f>
        <v>106.45</v>
      </c>
      <c r="Q35" s="28">
        <f>L35</f>
        <v>0.90479999999999994</v>
      </c>
      <c r="W35">
        <f>IF(Source!BI25&lt;=1,H31+H32+H33, 0)</f>
        <v>17.510000000000002</v>
      </c>
      <c r="X35">
        <f>IF(Source!BI25=2,H31+H32+H33, 0)</f>
        <v>0</v>
      </c>
      <c r="Y35">
        <f>IF(Source!BI25=3,H31+H32+H33, 0)</f>
        <v>0</v>
      </c>
      <c r="Z35">
        <f>IF(Source!BI25=4,H31+H32+H33, 0)</f>
        <v>0</v>
      </c>
    </row>
    <row r="36" spans="1:26" ht="28.5" x14ac:dyDescent="0.2">
      <c r="A36" s="51" t="str">
        <f>Source!E27</f>
        <v>2</v>
      </c>
      <c r="B36" s="52" t="str">
        <f>Source!F27</f>
        <v>57-2-1</v>
      </c>
      <c r="C36" s="52" t="str">
        <f>Source!G27</f>
        <v>Разборка покрытий полов из линолеума и релина</v>
      </c>
      <c r="D36" s="33" t="str">
        <f>Source!H27</f>
        <v>100 м2</v>
      </c>
      <c r="E36" s="13">
        <f>Source!I27</f>
        <v>0.39900000000000002</v>
      </c>
      <c r="F36" s="34">
        <f>Source!AL27+Source!AM27+Source!AO27</f>
        <v>92.9</v>
      </c>
      <c r="G36" s="35"/>
      <c r="H36" s="36"/>
      <c r="I36" s="35" t="str">
        <f>Source!BO27</f>
        <v/>
      </c>
      <c r="J36" s="35"/>
      <c r="K36" s="36"/>
      <c r="L36" s="37"/>
      <c r="S36">
        <f>ROUND((Source!FX27/100)*((ROUND(Source!AF27*Source!I27, 2)+ROUND(Source!AE27*Source!I27, 2))), 2)</f>
        <v>28.92</v>
      </c>
      <c r="T36">
        <f>Source!X27</f>
        <v>175.83</v>
      </c>
      <c r="U36">
        <f>ROUND((Source!FY27/100)*((ROUND(Source!AF27*Source!I27, 2)+ROUND(Source!AE27*Source!I27, 2))), 2)</f>
        <v>24.58</v>
      </c>
      <c r="V36">
        <f>Source!Y27</f>
        <v>149.46</v>
      </c>
    </row>
    <row r="37" spans="1:26" x14ac:dyDescent="0.2">
      <c r="C37" s="27" t="str">
        <f>"Объем: "&amp;Source!I27&amp;"=39,9/"&amp;"100"</f>
        <v>Объем: 0,399=39,9/100</v>
      </c>
    </row>
    <row r="38" spans="1:26" ht="14.25" x14ac:dyDescent="0.2">
      <c r="A38" s="51"/>
      <c r="B38" s="52"/>
      <c r="C38" s="52" t="s">
        <v>346</v>
      </c>
      <c r="D38" s="33"/>
      <c r="E38" s="13"/>
      <c r="F38" s="34">
        <f>Source!AO27</f>
        <v>88.84</v>
      </c>
      <c r="G38" s="35" t="str">
        <f>Source!DG27</f>
        <v/>
      </c>
      <c r="H38" s="36">
        <f>ROUND(Source!AF27*Source!I27, 2)</f>
        <v>35.450000000000003</v>
      </c>
      <c r="I38" s="35"/>
      <c r="J38" s="35">
        <f>IF(Source!BA27&lt;&gt; 0, Source!BA27, 1)</f>
        <v>6.08</v>
      </c>
      <c r="K38" s="36">
        <f>Source!S27</f>
        <v>215.52</v>
      </c>
      <c r="L38" s="37"/>
      <c r="R38">
        <f>H38</f>
        <v>35.450000000000003</v>
      </c>
    </row>
    <row r="39" spans="1:26" ht="14.25" x14ac:dyDescent="0.2">
      <c r="A39" s="51"/>
      <c r="B39" s="52"/>
      <c r="C39" s="52" t="s">
        <v>146</v>
      </c>
      <c r="D39" s="33"/>
      <c r="E39" s="13"/>
      <c r="F39" s="34">
        <f>Source!AM27</f>
        <v>4.0599999999999996</v>
      </c>
      <c r="G39" s="35" t="str">
        <f>Source!DE27</f>
        <v/>
      </c>
      <c r="H39" s="36">
        <f>ROUND(Source!AD27*Source!I27, 2)</f>
        <v>1.62</v>
      </c>
      <c r="I39" s="35"/>
      <c r="J39" s="35">
        <f>IF(Source!BB27&lt;&gt; 0, Source!BB27, 1)</f>
        <v>6.08</v>
      </c>
      <c r="K39" s="36">
        <f>Source!Q27</f>
        <v>9.85</v>
      </c>
      <c r="L39" s="37"/>
    </row>
    <row r="40" spans="1:26" ht="14.25" x14ac:dyDescent="0.2">
      <c r="A40" s="51"/>
      <c r="B40" s="52"/>
      <c r="C40" s="52" t="s">
        <v>352</v>
      </c>
      <c r="D40" s="33"/>
      <c r="E40" s="13"/>
      <c r="F40" s="34">
        <f>Source!AN27</f>
        <v>1.76</v>
      </c>
      <c r="G40" s="35" t="str">
        <f>Source!DF27</f>
        <v/>
      </c>
      <c r="H40" s="46">
        <f>ROUND(Source!AE27*Source!I27, 2)</f>
        <v>0.7</v>
      </c>
      <c r="I40" s="35"/>
      <c r="J40" s="35">
        <f>IF(Source!BS27&lt;&gt; 0, Source!BS27, 1)</f>
        <v>6.08</v>
      </c>
      <c r="K40" s="46">
        <f>Source!R27</f>
        <v>4.2699999999999996</v>
      </c>
      <c r="L40" s="37"/>
      <c r="R40">
        <f>H40</f>
        <v>0.7</v>
      </c>
    </row>
    <row r="41" spans="1:26" ht="14.25" x14ac:dyDescent="0.2">
      <c r="A41" s="51"/>
      <c r="B41" s="52"/>
      <c r="C41" s="52" t="s">
        <v>347</v>
      </c>
      <c r="D41" s="33" t="s">
        <v>348</v>
      </c>
      <c r="E41" s="13">
        <f>Source!BZ27</f>
        <v>80</v>
      </c>
      <c r="F41" s="55"/>
      <c r="G41" s="35"/>
      <c r="H41" s="36">
        <f>SUM(S36:S43)</f>
        <v>28.92</v>
      </c>
      <c r="I41" s="38"/>
      <c r="J41" s="31">
        <f>Source!AT27</f>
        <v>80</v>
      </c>
      <c r="K41" s="36">
        <f>SUM(T36:T43)</f>
        <v>175.83</v>
      </c>
      <c r="L41" s="37"/>
    </row>
    <row r="42" spans="1:26" ht="14.25" x14ac:dyDescent="0.2">
      <c r="A42" s="51"/>
      <c r="B42" s="52"/>
      <c r="C42" s="52" t="s">
        <v>349</v>
      </c>
      <c r="D42" s="33" t="s">
        <v>348</v>
      </c>
      <c r="E42" s="13">
        <f>Source!CA27</f>
        <v>68</v>
      </c>
      <c r="F42" s="55"/>
      <c r="G42" s="35"/>
      <c r="H42" s="36">
        <f>SUM(U36:U43)</f>
        <v>24.58</v>
      </c>
      <c r="I42" s="38"/>
      <c r="J42" s="31">
        <f>Source!AU27</f>
        <v>68</v>
      </c>
      <c r="K42" s="36">
        <f>SUM(V36:V43)</f>
        <v>149.46</v>
      </c>
      <c r="L42" s="37"/>
    </row>
    <row r="43" spans="1:26" ht="14.25" x14ac:dyDescent="0.2">
      <c r="A43" s="53"/>
      <c r="B43" s="54"/>
      <c r="C43" s="54" t="s">
        <v>350</v>
      </c>
      <c r="D43" s="39" t="s">
        <v>351</v>
      </c>
      <c r="E43" s="40">
        <f>Source!AQ27</f>
        <v>11.39</v>
      </c>
      <c r="F43" s="41"/>
      <c r="G43" s="42" t="str">
        <f>Source!DI27</f>
        <v/>
      </c>
      <c r="H43" s="43"/>
      <c r="I43" s="42"/>
      <c r="J43" s="42"/>
      <c r="K43" s="43"/>
      <c r="L43" s="44">
        <f>Source!U27</f>
        <v>4.5446100000000005</v>
      </c>
    </row>
    <row r="44" spans="1:26" ht="15" x14ac:dyDescent="0.25">
      <c r="G44" s="73">
        <f>H38+H39+H41+H42</f>
        <v>90.570000000000007</v>
      </c>
      <c r="H44" s="73"/>
      <c r="J44" s="73">
        <f>K38+K39+K41+K42</f>
        <v>550.66000000000008</v>
      </c>
      <c r="K44" s="73"/>
      <c r="L44" s="45">
        <f>Source!U27</f>
        <v>4.5446100000000005</v>
      </c>
      <c r="O44" s="28">
        <f>G44</f>
        <v>90.570000000000007</v>
      </c>
      <c r="P44" s="28">
        <f>J44</f>
        <v>550.66000000000008</v>
      </c>
      <c r="Q44" s="28">
        <f>L44</f>
        <v>4.5446100000000005</v>
      </c>
      <c r="W44">
        <f>IF(Source!BI27&lt;=1,H38+H39+H41+H42, 0)</f>
        <v>90.570000000000007</v>
      </c>
      <c r="X44">
        <f>IF(Source!BI27=2,H38+H39+H41+H42, 0)</f>
        <v>0</v>
      </c>
      <c r="Y44">
        <f>IF(Source!BI27=3,H38+H39+H41+H42, 0)</f>
        <v>0</v>
      </c>
      <c r="Z44">
        <f>IF(Source!BI27=4,H38+H39+H41+H42, 0)</f>
        <v>0</v>
      </c>
    </row>
    <row r="45" spans="1:26" ht="42.75" x14ac:dyDescent="0.2">
      <c r="A45" s="51" t="str">
        <f>Source!E29</f>
        <v>3</v>
      </c>
      <c r="B45" s="52" t="str">
        <f>Source!F29</f>
        <v>11-01-011-08</v>
      </c>
      <c r="C45" s="52" t="str">
        <f>Source!G29</f>
        <v>Устройство стяжек из выравнивающей смеси типа "Ветонит" 5000, толщиной 5 мм</v>
      </c>
      <c r="D45" s="33" t="str">
        <f>Source!H29</f>
        <v>100 м2</v>
      </c>
      <c r="E45" s="13">
        <f>Source!I29</f>
        <v>0.39900000000000002</v>
      </c>
      <c r="F45" s="34">
        <f>Source!AL29+Source!AM29+Source!AO29</f>
        <v>11028.89</v>
      </c>
      <c r="G45" s="35"/>
      <c r="H45" s="36"/>
      <c r="I45" s="35" t="str">
        <f>Source!BO29</f>
        <v/>
      </c>
      <c r="J45" s="35"/>
      <c r="K45" s="36"/>
      <c r="L45" s="37"/>
      <c r="S45">
        <f>ROUND((Source!FX29/100)*((ROUND(Source!AF29*Source!I29, 2)+ROUND(Source!AE29*Source!I29, 2))), 2)</f>
        <v>164.3</v>
      </c>
      <c r="T45">
        <f>Source!X29</f>
        <v>1001.69</v>
      </c>
      <c r="U45">
        <f>ROUND((Source!FY29/100)*((ROUND(Source!AF29*Source!I29, 2)+ROUND(Source!AE29*Source!I29, 2))), 2)</f>
        <v>94.62</v>
      </c>
      <c r="V45">
        <f>Source!Y29</f>
        <v>577.54999999999995</v>
      </c>
    </row>
    <row r="46" spans="1:26" x14ac:dyDescent="0.2">
      <c r="C46" s="27" t="str">
        <f>"Объем: "&amp;Source!I29&amp;"=39,9/"&amp;"100"</f>
        <v>Объем: 0,399=39,9/100</v>
      </c>
    </row>
    <row r="47" spans="1:26" ht="14.25" x14ac:dyDescent="0.2">
      <c r="A47" s="51"/>
      <c r="B47" s="52"/>
      <c r="C47" s="52" t="s">
        <v>346</v>
      </c>
      <c r="D47" s="33"/>
      <c r="E47" s="13"/>
      <c r="F47" s="34">
        <f>Source!AO29</f>
        <v>321.33</v>
      </c>
      <c r="G47" s="35" t="str">
        <f>Source!DG29</f>
        <v>)*1,15</v>
      </c>
      <c r="H47" s="36">
        <f>ROUND(Source!AF29*Source!I29, 2)</f>
        <v>147.44</v>
      </c>
      <c r="I47" s="35"/>
      <c r="J47" s="35">
        <f>IF(Source!BA29&lt;&gt; 0, Source!BA29, 1)</f>
        <v>6.08</v>
      </c>
      <c r="K47" s="36">
        <f>Source!S29</f>
        <v>896.45</v>
      </c>
      <c r="L47" s="37"/>
      <c r="R47">
        <f>H47</f>
        <v>147.44</v>
      </c>
    </row>
    <row r="48" spans="1:26" ht="14.25" x14ac:dyDescent="0.2">
      <c r="A48" s="51"/>
      <c r="B48" s="52"/>
      <c r="C48" s="52" t="s">
        <v>146</v>
      </c>
      <c r="D48" s="33"/>
      <c r="E48" s="13"/>
      <c r="F48" s="34">
        <f>Source!AM29</f>
        <v>6.23</v>
      </c>
      <c r="G48" s="35" t="str">
        <f>Source!DE29</f>
        <v>)*1,25</v>
      </c>
      <c r="H48" s="36">
        <f>ROUND(Source!AD29*Source!I29, 2)</f>
        <v>3.11</v>
      </c>
      <c r="I48" s="35"/>
      <c r="J48" s="35">
        <f>IF(Source!BB29&lt;&gt; 0, Source!BB29, 1)</f>
        <v>6.08</v>
      </c>
      <c r="K48" s="36">
        <f>Source!Q29</f>
        <v>18.89</v>
      </c>
      <c r="L48" s="37"/>
    </row>
    <row r="49" spans="1:26" ht="14.25" x14ac:dyDescent="0.2">
      <c r="A49" s="51"/>
      <c r="B49" s="52"/>
      <c r="C49" s="52" t="s">
        <v>352</v>
      </c>
      <c r="D49" s="33"/>
      <c r="E49" s="13"/>
      <c r="F49" s="34">
        <f>Source!AN29</f>
        <v>1.97</v>
      </c>
      <c r="G49" s="35" t="str">
        <f>Source!DF29</f>
        <v>)*1,25</v>
      </c>
      <c r="H49" s="46">
        <f>ROUND(Source!AE29*Source!I29, 2)</f>
        <v>0.98</v>
      </c>
      <c r="I49" s="35"/>
      <c r="J49" s="35">
        <f>IF(Source!BS29&lt;&gt; 0, Source!BS29, 1)</f>
        <v>6.08</v>
      </c>
      <c r="K49" s="46">
        <f>Source!R29</f>
        <v>5.97</v>
      </c>
      <c r="L49" s="37"/>
      <c r="R49">
        <f>H49</f>
        <v>0.98</v>
      </c>
    </row>
    <row r="50" spans="1:26" ht="14.25" x14ac:dyDescent="0.2">
      <c r="A50" s="51"/>
      <c r="B50" s="52"/>
      <c r="C50" s="52" t="s">
        <v>353</v>
      </c>
      <c r="D50" s="33"/>
      <c r="E50" s="13"/>
      <c r="F50" s="34">
        <f>Source!AL29</f>
        <v>10701.33</v>
      </c>
      <c r="G50" s="35" t="str">
        <f>Source!DD29</f>
        <v/>
      </c>
      <c r="H50" s="36">
        <f>ROUND(Source!AC29*Source!I29, 2)</f>
        <v>4269.83</v>
      </c>
      <c r="I50" s="35"/>
      <c r="J50" s="35">
        <f>IF(Source!BC29&lt;&gt; 0, Source!BC29, 1)</f>
        <v>6.08</v>
      </c>
      <c r="K50" s="36">
        <f>Source!P29</f>
        <v>25960.57</v>
      </c>
      <c r="L50" s="37"/>
    </row>
    <row r="51" spans="1:26" ht="14.25" x14ac:dyDescent="0.2">
      <c r="A51" s="51"/>
      <c r="B51" s="52"/>
      <c r="C51" s="52" t="s">
        <v>347</v>
      </c>
      <c r="D51" s="33" t="s">
        <v>348</v>
      </c>
      <c r="E51" s="13">
        <f>Source!BZ29</f>
        <v>123</v>
      </c>
      <c r="F51" s="71" t="str">
        <f>CONCATENATE(" )", Source!DL29, Source!FT29, "=", Source!FX29)</f>
        <v xml:space="preserve"> )*0,9=110,7</v>
      </c>
      <c r="G51" s="72"/>
      <c r="H51" s="36">
        <f>SUM(S45:S53)</f>
        <v>164.3</v>
      </c>
      <c r="I51" s="38"/>
      <c r="J51" s="31">
        <f>Source!AT29</f>
        <v>111</v>
      </c>
      <c r="K51" s="36">
        <f>SUM(T45:T53)</f>
        <v>1001.69</v>
      </c>
      <c r="L51" s="37"/>
    </row>
    <row r="52" spans="1:26" ht="14.25" x14ac:dyDescent="0.2">
      <c r="A52" s="51"/>
      <c r="B52" s="52"/>
      <c r="C52" s="52" t="s">
        <v>349</v>
      </c>
      <c r="D52" s="33" t="s">
        <v>348</v>
      </c>
      <c r="E52" s="13">
        <f>Source!CA29</f>
        <v>75</v>
      </c>
      <c r="F52" s="71" t="str">
        <f>CONCATENATE(" )", Source!DM29, Source!FU29, "=", Source!FY29)</f>
        <v xml:space="preserve"> )*0,85=63,75</v>
      </c>
      <c r="G52" s="72"/>
      <c r="H52" s="36">
        <f>SUM(U45:U53)</f>
        <v>94.62</v>
      </c>
      <c r="I52" s="38"/>
      <c r="J52" s="31">
        <f>Source!AU29</f>
        <v>64</v>
      </c>
      <c r="K52" s="36">
        <f>SUM(V45:V53)</f>
        <v>577.54999999999995</v>
      </c>
      <c r="L52" s="37"/>
    </row>
    <row r="53" spans="1:26" ht="14.25" x14ac:dyDescent="0.2">
      <c r="A53" s="53"/>
      <c r="B53" s="54"/>
      <c r="C53" s="54" t="s">
        <v>350</v>
      </c>
      <c r="D53" s="39" t="s">
        <v>351</v>
      </c>
      <c r="E53" s="40">
        <f>Source!AQ29</f>
        <v>37.67</v>
      </c>
      <c r="F53" s="41"/>
      <c r="G53" s="42" t="str">
        <f>Source!DI29</f>
        <v>)*1,15</v>
      </c>
      <c r="H53" s="43"/>
      <c r="I53" s="42"/>
      <c r="J53" s="42"/>
      <c r="K53" s="43"/>
      <c r="L53" s="44">
        <f>Source!U29</f>
        <v>17.284879499999999</v>
      </c>
    </row>
    <row r="54" spans="1:26" ht="15" x14ac:dyDescent="0.25">
      <c r="G54" s="73">
        <f>H47+H48+H50+H51+H52</f>
        <v>4679.3</v>
      </c>
      <c r="H54" s="73"/>
      <c r="J54" s="73">
        <f>K47+K48+K50+K51+K52</f>
        <v>28455.149999999998</v>
      </c>
      <c r="K54" s="73"/>
      <c r="L54" s="45">
        <f>Source!U29</f>
        <v>17.284879499999999</v>
      </c>
      <c r="O54" s="28">
        <f>G54</f>
        <v>4679.3</v>
      </c>
      <c r="P54" s="28">
        <f>J54</f>
        <v>28455.149999999998</v>
      </c>
      <c r="Q54" s="28">
        <f>L54</f>
        <v>17.284879499999999</v>
      </c>
      <c r="W54">
        <f>IF(Source!BI29&lt;=1,H47+H48+H50+H51+H52, 0)</f>
        <v>4679.3</v>
      </c>
      <c r="X54">
        <f>IF(Source!BI29=2,H47+H48+H50+H51+H52, 0)</f>
        <v>0</v>
      </c>
      <c r="Y54">
        <f>IF(Source!BI29=3,H47+H48+H50+H51+H52, 0)</f>
        <v>0</v>
      </c>
      <c r="Z54">
        <f>IF(Source!BI29=4,H47+H48+H50+H51+H52, 0)</f>
        <v>0</v>
      </c>
    </row>
    <row r="55" spans="1:26" ht="42.75" x14ac:dyDescent="0.2">
      <c r="A55" s="51" t="str">
        <f>Source!E31</f>
        <v>4</v>
      </c>
      <c r="B55" s="52" t="str">
        <f>Source!F31</f>
        <v>11-01-011-10</v>
      </c>
      <c r="C55" s="52" t="str">
        <f>Source!G31</f>
        <v>Устройство стяжек на каждый последующий слой толщиной 1 мм добавлять к расценке 11-01-011-08</v>
      </c>
      <c r="D55" s="33" t="str">
        <f>Source!H31</f>
        <v>100 м2</v>
      </c>
      <c r="E55" s="13">
        <f>Source!I31</f>
        <v>0.39900000000000002</v>
      </c>
      <c r="F55" s="34">
        <f>Source!AL31+Source!AM31+Source!AO31</f>
        <v>2070.6</v>
      </c>
      <c r="G55" s="35"/>
      <c r="H55" s="36"/>
      <c r="I55" s="35" t="str">
        <f>Source!BO31</f>
        <v/>
      </c>
      <c r="J55" s="35"/>
      <c r="K55" s="36"/>
      <c r="L55" s="37"/>
      <c r="S55">
        <f>ROUND((Source!FX31/100)*((ROUND(Source!AF31*Source!I31, 2)+ROUND(Source!AE31*Source!I31, 2))), 2)</f>
        <v>53.38</v>
      </c>
      <c r="T55">
        <f>Source!X31</f>
        <v>325.47000000000003</v>
      </c>
      <c r="U55">
        <f>ROUND((Source!FY31/100)*((ROUND(Source!AF31*Source!I31, 2)+ROUND(Source!AE31*Source!I31, 2))), 2)</f>
        <v>30.74</v>
      </c>
      <c r="V55">
        <f>Source!Y31</f>
        <v>187.66</v>
      </c>
    </row>
    <row r="56" spans="1:26" x14ac:dyDescent="0.2">
      <c r="C56" s="27" t="str">
        <f>"Объем: "&amp;Source!I31&amp;"=39,9/"&amp;"100"</f>
        <v>Объем: 0,399=39,9/100</v>
      </c>
    </row>
    <row r="57" spans="1:26" ht="14.25" x14ac:dyDescent="0.2">
      <c r="A57" s="51"/>
      <c r="B57" s="52"/>
      <c r="C57" s="52" t="s">
        <v>346</v>
      </c>
      <c r="D57" s="33"/>
      <c r="E57" s="13"/>
      <c r="F57" s="34">
        <f>Source!AO31</f>
        <v>20.64</v>
      </c>
      <c r="G57" s="35" t="str">
        <f>Source!DG31</f>
        <v>*5)*1,15</v>
      </c>
      <c r="H57" s="36">
        <f>ROUND(Source!AF31*Source!I31, 2)</f>
        <v>47.35</v>
      </c>
      <c r="I57" s="35"/>
      <c r="J57" s="35">
        <f>IF(Source!BA31&lt;&gt; 0, Source!BA31, 1)</f>
        <v>6.08</v>
      </c>
      <c r="K57" s="36">
        <f>Source!S31</f>
        <v>287.91000000000003</v>
      </c>
      <c r="L57" s="37"/>
      <c r="R57">
        <f>H57</f>
        <v>47.35</v>
      </c>
    </row>
    <row r="58" spans="1:26" ht="14.25" x14ac:dyDescent="0.2">
      <c r="A58" s="51"/>
      <c r="B58" s="52"/>
      <c r="C58" s="52" t="s">
        <v>146</v>
      </c>
      <c r="D58" s="33"/>
      <c r="E58" s="13"/>
      <c r="F58" s="34">
        <f>Source!AM31</f>
        <v>1.21</v>
      </c>
      <c r="G58" s="35" t="str">
        <f>Source!DE31</f>
        <v>*5)*1,25</v>
      </c>
      <c r="H58" s="36">
        <f>ROUND(Source!AD31*Source!I31, 2)</f>
        <v>3.02</v>
      </c>
      <c r="I58" s="35"/>
      <c r="J58" s="35">
        <f>IF(Source!BB31&lt;&gt; 0, Source!BB31, 1)</f>
        <v>6.08</v>
      </c>
      <c r="K58" s="36">
        <f>Source!Q31</f>
        <v>18.350000000000001</v>
      </c>
      <c r="L58" s="37"/>
    </row>
    <row r="59" spans="1:26" ht="14.25" x14ac:dyDescent="0.2">
      <c r="A59" s="51"/>
      <c r="B59" s="52"/>
      <c r="C59" s="52" t="s">
        <v>352</v>
      </c>
      <c r="D59" s="33"/>
      <c r="E59" s="13"/>
      <c r="F59" s="34">
        <f>Source!AN31</f>
        <v>0.35</v>
      </c>
      <c r="G59" s="35" t="str">
        <f>Source!DF31</f>
        <v>*5)*1,25</v>
      </c>
      <c r="H59" s="46">
        <f>ROUND(Source!AE31*Source!I31, 2)</f>
        <v>0.87</v>
      </c>
      <c r="I59" s="35"/>
      <c r="J59" s="35">
        <f>IF(Source!BS31&lt;&gt; 0, Source!BS31, 1)</f>
        <v>6.08</v>
      </c>
      <c r="K59" s="46">
        <f>Source!R31</f>
        <v>5.31</v>
      </c>
      <c r="L59" s="37"/>
      <c r="R59">
        <f>H59</f>
        <v>0.87</v>
      </c>
    </row>
    <row r="60" spans="1:26" ht="14.25" x14ac:dyDescent="0.2">
      <c r="A60" s="51"/>
      <c r="B60" s="52"/>
      <c r="C60" s="52" t="s">
        <v>353</v>
      </c>
      <c r="D60" s="33"/>
      <c r="E60" s="13"/>
      <c r="F60" s="34">
        <f>Source!AL31</f>
        <v>2048.75</v>
      </c>
      <c r="G60" s="35" t="str">
        <f>Source!DD31</f>
        <v>*5</v>
      </c>
      <c r="H60" s="36">
        <f>ROUND(Source!AC31*Source!I31, 2)</f>
        <v>4087.26</v>
      </c>
      <c r="I60" s="35"/>
      <c r="J60" s="35">
        <f>IF(Source!BC31&lt;&gt; 0, Source!BC31, 1)</f>
        <v>6.08</v>
      </c>
      <c r="K60" s="36">
        <f>Source!P31</f>
        <v>24850.52</v>
      </c>
      <c r="L60" s="37"/>
    </row>
    <row r="61" spans="1:26" ht="14.25" x14ac:dyDescent="0.2">
      <c r="A61" s="51"/>
      <c r="B61" s="52"/>
      <c r="C61" s="52" t="s">
        <v>347</v>
      </c>
      <c r="D61" s="33" t="s">
        <v>348</v>
      </c>
      <c r="E61" s="13">
        <f>Source!BZ31</f>
        <v>123</v>
      </c>
      <c r="F61" s="71" t="str">
        <f>CONCATENATE(" )", Source!DL31, Source!FT31, "=", Source!FX31)</f>
        <v xml:space="preserve"> )*0,9=110,7</v>
      </c>
      <c r="G61" s="72"/>
      <c r="H61" s="36">
        <f>SUM(S55:S63)</f>
        <v>53.38</v>
      </c>
      <c r="I61" s="38"/>
      <c r="J61" s="31">
        <f>Source!AT31</f>
        <v>111</v>
      </c>
      <c r="K61" s="36">
        <f>SUM(T55:T63)</f>
        <v>325.47000000000003</v>
      </c>
      <c r="L61" s="37"/>
    </row>
    <row r="62" spans="1:26" ht="14.25" x14ac:dyDescent="0.2">
      <c r="A62" s="51"/>
      <c r="B62" s="52"/>
      <c r="C62" s="52" t="s">
        <v>349</v>
      </c>
      <c r="D62" s="33" t="s">
        <v>348</v>
      </c>
      <c r="E62" s="13">
        <f>Source!CA31</f>
        <v>75</v>
      </c>
      <c r="F62" s="71" t="str">
        <f>CONCATENATE(" )", Source!DM31, Source!FU31, "=", Source!FY31)</f>
        <v xml:space="preserve"> )*0,85=63,75</v>
      </c>
      <c r="G62" s="72"/>
      <c r="H62" s="36">
        <f>SUM(U55:U63)</f>
        <v>30.74</v>
      </c>
      <c r="I62" s="38"/>
      <c r="J62" s="31">
        <f>Source!AU31</f>
        <v>64</v>
      </c>
      <c r="K62" s="36">
        <f>SUM(V55:V63)</f>
        <v>187.66</v>
      </c>
      <c r="L62" s="37"/>
    </row>
    <row r="63" spans="1:26" ht="14.25" x14ac:dyDescent="0.2">
      <c r="A63" s="53"/>
      <c r="B63" s="54"/>
      <c r="C63" s="54" t="s">
        <v>350</v>
      </c>
      <c r="D63" s="39" t="s">
        <v>351</v>
      </c>
      <c r="E63" s="40">
        <f>Source!AQ31</f>
        <v>2.42</v>
      </c>
      <c r="F63" s="41"/>
      <c r="G63" s="42" t="str">
        <f>Source!DI31</f>
        <v>*5)*1,15</v>
      </c>
      <c r="H63" s="43"/>
      <c r="I63" s="42"/>
      <c r="J63" s="42"/>
      <c r="K63" s="43"/>
      <c r="L63" s="44">
        <f>Source!U31</f>
        <v>5.5520849999999999</v>
      </c>
    </row>
    <row r="64" spans="1:26" ht="15" x14ac:dyDescent="0.25">
      <c r="G64" s="73">
        <f>H57+H58+H60+H61+H62</f>
        <v>4221.75</v>
      </c>
      <c r="H64" s="73"/>
      <c r="J64" s="73">
        <f>K57+K58+K60+K61+K62</f>
        <v>25669.91</v>
      </c>
      <c r="K64" s="73"/>
      <c r="L64" s="45">
        <f>Source!U31</f>
        <v>5.5520849999999999</v>
      </c>
      <c r="O64" s="28">
        <f>G64</f>
        <v>4221.75</v>
      </c>
      <c r="P64" s="28">
        <f>J64</f>
        <v>25669.91</v>
      </c>
      <c r="Q64" s="28">
        <f>L64</f>
        <v>5.5520849999999999</v>
      </c>
      <c r="W64">
        <f>IF(Source!BI31&lt;=1,H57+H58+H60+H61+H62, 0)</f>
        <v>4221.75</v>
      </c>
      <c r="X64">
        <f>IF(Source!BI31=2,H57+H58+H60+H61+H62, 0)</f>
        <v>0</v>
      </c>
      <c r="Y64">
        <f>IF(Source!BI31=3,H57+H58+H60+H61+H62, 0)</f>
        <v>0</v>
      </c>
      <c r="Z64">
        <f>IF(Source!BI31=4,H57+H58+H60+H61+H62, 0)</f>
        <v>0</v>
      </c>
    </row>
    <row r="65" spans="1:26" ht="28.5" x14ac:dyDescent="0.2">
      <c r="A65" s="51" t="str">
        <f>Source!E33</f>
        <v>5</v>
      </c>
      <c r="B65" s="52" t="str">
        <f>Source!F33</f>
        <v>11-01-036-01</v>
      </c>
      <c r="C65" s="52" t="str">
        <f>Source!G33</f>
        <v>Устройство покрытий из линолеума на клее</v>
      </c>
      <c r="D65" s="33" t="str">
        <f>Source!H33</f>
        <v>100 м2</v>
      </c>
      <c r="E65" s="13">
        <f>Source!I33</f>
        <v>0.39900000000000002</v>
      </c>
      <c r="F65" s="34">
        <f>Source!AL33+Source!AM33+Source!AO33</f>
        <v>397.04999999999995</v>
      </c>
      <c r="G65" s="35"/>
      <c r="H65" s="36"/>
      <c r="I65" s="35" t="str">
        <f>Source!BO33</f>
        <v/>
      </c>
      <c r="J65" s="35"/>
      <c r="K65" s="36"/>
      <c r="L65" s="37"/>
      <c r="S65">
        <f>ROUND((Source!FX33/100)*((ROUND(Source!AF33*Source!I33, 2)+ROUND(Source!AE33*Source!I33, 2))), 2)</f>
        <v>184.78</v>
      </c>
      <c r="T65">
        <f>Source!X33</f>
        <v>1126.53</v>
      </c>
      <c r="U65">
        <f>ROUND((Source!FY33/100)*((ROUND(Source!AF33*Source!I33, 2)+ROUND(Source!AE33*Source!I33, 2))), 2)</f>
        <v>106.41</v>
      </c>
      <c r="V65">
        <f>Source!Y33</f>
        <v>649.53</v>
      </c>
    </row>
    <row r="66" spans="1:26" x14ac:dyDescent="0.2">
      <c r="C66" s="27" t="str">
        <f>"Объем: "&amp;Source!I33&amp;"=39,9/"&amp;"100"</f>
        <v>Объем: 0,399=39,9/100</v>
      </c>
    </row>
    <row r="67" spans="1:26" ht="14.25" x14ac:dyDescent="0.2">
      <c r="A67" s="51"/>
      <c r="B67" s="52"/>
      <c r="C67" s="52" t="s">
        <v>346</v>
      </c>
      <c r="D67" s="33"/>
      <c r="E67" s="13"/>
      <c r="F67" s="34">
        <f>Source!AO33</f>
        <v>352.34</v>
      </c>
      <c r="G67" s="35" t="str">
        <f>Source!DG33</f>
        <v>)*1,15</v>
      </c>
      <c r="H67" s="36">
        <f>ROUND(Source!AF33*Source!I33, 2)</f>
        <v>161.66999999999999</v>
      </c>
      <c r="I67" s="35"/>
      <c r="J67" s="35">
        <f>IF(Source!BA33&lt;&gt; 0, Source!BA33, 1)</f>
        <v>6.08</v>
      </c>
      <c r="K67" s="36">
        <f>Source!S33</f>
        <v>982.96</v>
      </c>
      <c r="L67" s="37"/>
      <c r="R67">
        <f>H67</f>
        <v>161.66999999999999</v>
      </c>
    </row>
    <row r="68" spans="1:26" ht="14.25" x14ac:dyDescent="0.2">
      <c r="A68" s="51"/>
      <c r="B68" s="52"/>
      <c r="C68" s="52" t="s">
        <v>146</v>
      </c>
      <c r="D68" s="33"/>
      <c r="E68" s="13"/>
      <c r="F68" s="34">
        <f>Source!AM33</f>
        <v>43.8</v>
      </c>
      <c r="G68" s="35" t="str">
        <f>Source!DE33</f>
        <v>)*1,25</v>
      </c>
      <c r="H68" s="36">
        <f>ROUND(Source!AD33*Source!I33, 2)</f>
        <v>21.85</v>
      </c>
      <c r="I68" s="35"/>
      <c r="J68" s="35">
        <f>IF(Source!BB33&lt;&gt; 0, Source!BB33, 1)</f>
        <v>6.08</v>
      </c>
      <c r="K68" s="36">
        <f>Source!Q33</f>
        <v>132.82</v>
      </c>
      <c r="L68" s="37"/>
    </row>
    <row r="69" spans="1:26" ht="14.25" x14ac:dyDescent="0.2">
      <c r="A69" s="51"/>
      <c r="B69" s="52"/>
      <c r="C69" s="52" t="s">
        <v>352</v>
      </c>
      <c r="D69" s="33"/>
      <c r="E69" s="13"/>
      <c r="F69" s="34">
        <f>Source!AN33</f>
        <v>10.53</v>
      </c>
      <c r="G69" s="35" t="str">
        <f>Source!DF33</f>
        <v>)*1,25</v>
      </c>
      <c r="H69" s="46">
        <f>ROUND(Source!AE33*Source!I33, 2)</f>
        <v>5.25</v>
      </c>
      <c r="I69" s="35"/>
      <c r="J69" s="35">
        <f>IF(Source!BS33&lt;&gt; 0, Source!BS33, 1)</f>
        <v>6.08</v>
      </c>
      <c r="K69" s="46">
        <f>Source!R33</f>
        <v>31.93</v>
      </c>
      <c r="L69" s="37"/>
      <c r="R69">
        <f>H69</f>
        <v>5.25</v>
      </c>
    </row>
    <row r="70" spans="1:26" ht="14.25" x14ac:dyDescent="0.2">
      <c r="A70" s="51"/>
      <c r="B70" s="52"/>
      <c r="C70" s="52" t="s">
        <v>353</v>
      </c>
      <c r="D70" s="33"/>
      <c r="E70" s="13"/>
      <c r="F70" s="34">
        <f>Source!AL33</f>
        <v>0.91</v>
      </c>
      <c r="G70" s="35" t="str">
        <f>Source!DD33</f>
        <v/>
      </c>
      <c r="H70" s="36">
        <f>ROUND(Source!AC33*Source!I33, 2)</f>
        <v>0.36</v>
      </c>
      <c r="I70" s="35"/>
      <c r="J70" s="35">
        <f>IF(Source!BC33&lt;&gt; 0, Source!BC33, 1)</f>
        <v>6.08</v>
      </c>
      <c r="K70" s="36">
        <f>Source!P33</f>
        <v>2.21</v>
      </c>
      <c r="L70" s="37"/>
    </row>
    <row r="71" spans="1:26" ht="14.25" x14ac:dyDescent="0.2">
      <c r="A71" s="51"/>
      <c r="B71" s="52"/>
      <c r="C71" s="52" t="s">
        <v>347</v>
      </c>
      <c r="D71" s="33" t="s">
        <v>348</v>
      </c>
      <c r="E71" s="13">
        <f>Source!BZ33</f>
        <v>123</v>
      </c>
      <c r="F71" s="71" t="str">
        <f>CONCATENATE(" )", Source!DL33, Source!FT33, "=", Source!FX33)</f>
        <v xml:space="preserve"> )*0,9=110,7</v>
      </c>
      <c r="G71" s="72"/>
      <c r="H71" s="36">
        <f>SUM(S65:S76)</f>
        <v>184.78</v>
      </c>
      <c r="I71" s="38"/>
      <c r="J71" s="31">
        <f>Source!AT33</f>
        <v>111</v>
      </c>
      <c r="K71" s="36">
        <f>SUM(T65:T76)</f>
        <v>1126.53</v>
      </c>
      <c r="L71" s="37"/>
    </row>
    <row r="72" spans="1:26" ht="14.25" x14ac:dyDescent="0.2">
      <c r="A72" s="51"/>
      <c r="B72" s="52"/>
      <c r="C72" s="52" t="s">
        <v>349</v>
      </c>
      <c r="D72" s="33" t="s">
        <v>348</v>
      </c>
      <c r="E72" s="13">
        <f>Source!CA33</f>
        <v>75</v>
      </c>
      <c r="F72" s="71" t="str">
        <f>CONCATENATE(" )", Source!DM33, Source!FU33, "=", Source!FY33)</f>
        <v xml:space="preserve"> )*0,85=63,75</v>
      </c>
      <c r="G72" s="72"/>
      <c r="H72" s="36">
        <f>SUM(U65:U76)</f>
        <v>106.41</v>
      </c>
      <c r="I72" s="38"/>
      <c r="J72" s="31">
        <f>Source!AU33</f>
        <v>64</v>
      </c>
      <c r="K72" s="36">
        <f>SUM(V65:V76)</f>
        <v>649.53</v>
      </c>
      <c r="L72" s="37"/>
    </row>
    <row r="73" spans="1:26" ht="14.25" x14ac:dyDescent="0.2">
      <c r="A73" s="51"/>
      <c r="B73" s="52"/>
      <c r="C73" s="52" t="s">
        <v>350</v>
      </c>
      <c r="D73" s="33" t="s">
        <v>351</v>
      </c>
      <c r="E73" s="13">
        <f>Source!AQ33</f>
        <v>42.4</v>
      </c>
      <c r="F73" s="34"/>
      <c r="G73" s="35" t="str">
        <f>Source!DI33</f>
        <v>)*1,15</v>
      </c>
      <c r="H73" s="36"/>
      <c r="I73" s="35"/>
      <c r="J73" s="35"/>
      <c r="K73" s="36"/>
      <c r="L73" s="47">
        <f>Source!U33</f>
        <v>19.45524</v>
      </c>
    </row>
    <row r="74" spans="1:26" ht="28.5" x14ac:dyDescent="0.2">
      <c r="A74" s="51" t="str">
        <f>Source!E35</f>
        <v>5,1</v>
      </c>
      <c r="B74" s="52" t="str">
        <f>Source!F35</f>
        <v>01.6.03.04</v>
      </c>
      <c r="C74" s="52" t="str">
        <f>Source!G35</f>
        <v>Линолеум на теплозвукоизолирующей подоснове</v>
      </c>
      <c r="D74" s="33" t="str">
        <f>Source!H35</f>
        <v>м2</v>
      </c>
      <c r="E74" s="13">
        <f>Source!I35</f>
        <v>40.698</v>
      </c>
      <c r="F74" s="34">
        <f>Source!AL35+Source!AM35+Source!AO35</f>
        <v>0</v>
      </c>
      <c r="G74" s="48" t="s">
        <v>4</v>
      </c>
      <c r="H74" s="36">
        <f>ROUND(Source!AC35*Source!I35, 2)+ROUND(Source!AD35*Source!I35, 2)+ROUND(Source!AF35*Source!I35, 2)</f>
        <v>0</v>
      </c>
      <c r="I74" s="35"/>
      <c r="J74" s="35">
        <f>IF(Source!BC35&lt;&gt; 0, Source!BC35, 1)</f>
        <v>6.08</v>
      </c>
      <c r="K74" s="36">
        <f>Source!O35</f>
        <v>0</v>
      </c>
      <c r="L74" s="37"/>
      <c r="S74">
        <f>ROUND((Source!FX35/100)*((ROUND(Source!AF35*Source!I35, 2)+ROUND(Source!AE35*Source!I35, 2))), 2)</f>
        <v>0</v>
      </c>
      <c r="T74">
        <f>Source!X35</f>
        <v>0</v>
      </c>
      <c r="U74">
        <f>ROUND((Source!FY35/100)*((ROUND(Source!AF35*Source!I35, 2)+ROUND(Source!AE35*Source!I35, 2))), 2)</f>
        <v>0</v>
      </c>
      <c r="V74">
        <f>Source!Y35</f>
        <v>0</v>
      </c>
      <c r="W74">
        <f>IF(Source!BI35&lt;=1,H74, 0)</f>
        <v>0</v>
      </c>
      <c r="X74">
        <f>IF(Source!BI35=2,H74, 0)</f>
        <v>0</v>
      </c>
      <c r="Y74">
        <f>IF(Source!BI35=3,H74, 0)</f>
        <v>0</v>
      </c>
      <c r="Z74">
        <f>IF(Source!BI35=4,H74, 0)</f>
        <v>0</v>
      </c>
    </row>
    <row r="75" spans="1:26" ht="57" x14ac:dyDescent="0.2">
      <c r="A75" s="51" t="str">
        <f>Source!E37</f>
        <v>5,2</v>
      </c>
      <c r="B75" s="52" t="str">
        <f>Source!F37</f>
        <v>01.6.03.04-0112</v>
      </c>
      <c r="C75" s="52" t="str">
        <f>Source!G37</f>
        <v>Линолеум коммерческий гомогенный "ТАРКЕТТ iQ MONOLIT" (толщина 2 мм, класс 34/43, пож. безопасность Г1, В2, РП1, Д2, Т2)</v>
      </c>
      <c r="D75" s="33" t="str">
        <f>Source!H37</f>
        <v>м2</v>
      </c>
      <c r="E75" s="13">
        <f>Source!I37</f>
        <v>40.698</v>
      </c>
      <c r="F75" s="34">
        <f>Source!AL37+Source!AM37+Source!AO37</f>
        <v>71.47</v>
      </c>
      <c r="G75" s="48" t="s">
        <v>4</v>
      </c>
      <c r="H75" s="36">
        <f>ROUND(Source!AC37*Source!I37, 2)+ROUND(Source!AD37*Source!I37, 2)+ROUND(Source!AF37*Source!I37, 2)</f>
        <v>2908.69</v>
      </c>
      <c r="I75" s="35"/>
      <c r="J75" s="35">
        <f>IF(Source!BC37&lt;&gt; 0, Source!BC37, 1)</f>
        <v>6.08</v>
      </c>
      <c r="K75" s="36">
        <f>Source!O37</f>
        <v>17684.810000000001</v>
      </c>
      <c r="L75" s="37"/>
      <c r="S75">
        <f>ROUND((Source!FX37/100)*((ROUND(Source!AF37*Source!I37, 2)+ROUND(Source!AE37*Source!I37, 2))), 2)</f>
        <v>0</v>
      </c>
      <c r="T75">
        <f>Source!X37</f>
        <v>0</v>
      </c>
      <c r="U75">
        <f>ROUND((Source!FY37/100)*((ROUND(Source!AF37*Source!I37, 2)+ROUND(Source!AE37*Source!I37, 2))), 2)</f>
        <v>0</v>
      </c>
      <c r="V75">
        <f>Source!Y37</f>
        <v>0</v>
      </c>
      <c r="W75">
        <f>IF(Source!BI37&lt;=1,H75, 0)</f>
        <v>2908.69</v>
      </c>
      <c r="X75">
        <f>IF(Source!BI37=2,H75, 0)</f>
        <v>0</v>
      </c>
      <c r="Y75">
        <f>IF(Source!BI37=3,H75, 0)</f>
        <v>0</v>
      </c>
      <c r="Z75">
        <f>IF(Source!BI37=4,H75, 0)</f>
        <v>0</v>
      </c>
    </row>
    <row r="76" spans="1:26" ht="28.5" x14ac:dyDescent="0.2">
      <c r="A76" s="53" t="str">
        <f>Source!E39</f>
        <v>5,3</v>
      </c>
      <c r="B76" s="54" t="str">
        <f>Source!F39</f>
        <v>14.1.02.04-0101</v>
      </c>
      <c r="C76" s="54" t="str">
        <f>Source!G39</f>
        <v>Клей «Бустилат»</v>
      </c>
      <c r="D76" s="39" t="str">
        <f>Source!H39</f>
        <v>т</v>
      </c>
      <c r="E76" s="40">
        <f>Source!I39</f>
        <v>1.9949999999999999E-2</v>
      </c>
      <c r="F76" s="41">
        <f>Source!AL39+Source!AM39+Source!AO39</f>
        <v>11300</v>
      </c>
      <c r="G76" s="49" t="s">
        <v>4</v>
      </c>
      <c r="H76" s="43">
        <f>ROUND(Source!AC39*Source!I39, 2)+ROUND(Source!AD39*Source!I39, 2)+ROUND(Source!AF39*Source!I39, 2)</f>
        <v>225.44</v>
      </c>
      <c r="I76" s="42"/>
      <c r="J76" s="42">
        <f>IF(Source!BC39&lt;&gt; 0, Source!BC39, 1)</f>
        <v>6.08</v>
      </c>
      <c r="K76" s="43">
        <f>Source!O39</f>
        <v>1370.64</v>
      </c>
      <c r="L76" s="50"/>
      <c r="S76">
        <f>ROUND((Source!FX39/100)*((ROUND(Source!AF39*Source!I39, 2)+ROUND(Source!AE39*Source!I39, 2))), 2)</f>
        <v>0</v>
      </c>
      <c r="T76">
        <f>Source!X39</f>
        <v>0</v>
      </c>
      <c r="U76">
        <f>ROUND((Source!FY39/100)*((ROUND(Source!AF39*Source!I39, 2)+ROUND(Source!AE39*Source!I39, 2))), 2)</f>
        <v>0</v>
      </c>
      <c r="V76">
        <f>Source!Y39</f>
        <v>0</v>
      </c>
      <c r="W76">
        <f>IF(Source!BI39&lt;=1,H76, 0)</f>
        <v>225.44</v>
      </c>
      <c r="X76">
        <f>IF(Source!BI39=2,H76, 0)</f>
        <v>0</v>
      </c>
      <c r="Y76">
        <f>IF(Source!BI39=3,H76, 0)</f>
        <v>0</v>
      </c>
      <c r="Z76">
        <f>IF(Source!BI39=4,H76, 0)</f>
        <v>0</v>
      </c>
    </row>
    <row r="77" spans="1:26" ht="15" x14ac:dyDescent="0.25">
      <c r="G77" s="73">
        <f>H67+H68+H70+H71+H72+SUM(H74:H76)</f>
        <v>3609.2</v>
      </c>
      <c r="H77" s="73"/>
      <c r="J77" s="73">
        <f>K67+K68+K70+K71+K72+SUM(K74:K76)</f>
        <v>21949.5</v>
      </c>
      <c r="K77" s="73"/>
      <c r="L77" s="45">
        <f>Source!U33</f>
        <v>19.45524</v>
      </c>
      <c r="O77" s="28">
        <f>G77</f>
        <v>3609.2</v>
      </c>
      <c r="P77" s="28">
        <f>J77</f>
        <v>21949.5</v>
      </c>
      <c r="Q77" s="28">
        <f>L77</f>
        <v>19.45524</v>
      </c>
      <c r="W77">
        <f>IF(Source!BI33&lt;=1,H67+H68+H70+H71+H72, 0)</f>
        <v>475.06999999999994</v>
      </c>
      <c r="X77">
        <f>IF(Source!BI33=2,H67+H68+H70+H71+H72, 0)</f>
        <v>0</v>
      </c>
      <c r="Y77">
        <f>IF(Source!BI33=3,H67+H68+H70+H71+H72, 0)</f>
        <v>0</v>
      </c>
      <c r="Z77">
        <f>IF(Source!BI33=4,H67+H68+H70+H71+H72, 0)</f>
        <v>0</v>
      </c>
    </row>
    <row r="78" spans="1:26" ht="42.75" x14ac:dyDescent="0.2">
      <c r="A78" s="51" t="str">
        <f>Source!E41</f>
        <v>6</v>
      </c>
      <c r="B78" s="52" t="str">
        <f>Source!F41</f>
        <v>11-01-040-03</v>
      </c>
      <c r="C78" s="52" t="str">
        <f>Source!G41</f>
        <v>Устройство плинтусов поливинилхлоридных на винтах самонарезающих</v>
      </c>
      <c r="D78" s="33" t="str">
        <f>Source!H41</f>
        <v>100 м</v>
      </c>
      <c r="E78" s="13">
        <f>Source!I41</f>
        <v>0.24</v>
      </c>
      <c r="F78" s="34">
        <f>Source!AL41+Source!AM41+Source!AO41</f>
        <v>137.09</v>
      </c>
      <c r="G78" s="35"/>
      <c r="H78" s="36"/>
      <c r="I78" s="35" t="str">
        <f>Source!BO41</f>
        <v/>
      </c>
      <c r="J78" s="35"/>
      <c r="K78" s="36"/>
      <c r="L78" s="37"/>
      <c r="S78">
        <f>ROUND((Source!FX41/100)*((ROUND(Source!AF41*Source!I41, 2)+ROUND(Source!AE41*Source!I41, 2))), 2)</f>
        <v>18.87</v>
      </c>
      <c r="T78">
        <f>Source!X41</f>
        <v>115.07</v>
      </c>
      <c r="U78">
        <f>ROUND((Source!FY41/100)*((ROUND(Source!AF41*Source!I41, 2)+ROUND(Source!AE41*Source!I41, 2))), 2)</f>
        <v>10.87</v>
      </c>
      <c r="V78">
        <f>Source!Y41</f>
        <v>66.349999999999994</v>
      </c>
    </row>
    <row r="79" spans="1:26" x14ac:dyDescent="0.2">
      <c r="C79" s="27" t="str">
        <f>"Объем: "&amp;Source!I41&amp;"=24/"&amp;"100"</f>
        <v>Объем: 0,24=24/100</v>
      </c>
    </row>
    <row r="80" spans="1:26" ht="14.25" x14ac:dyDescent="0.2">
      <c r="A80" s="51"/>
      <c r="B80" s="52"/>
      <c r="C80" s="52" t="s">
        <v>346</v>
      </c>
      <c r="D80" s="33"/>
      <c r="E80" s="13"/>
      <c r="F80" s="34">
        <f>Source!AO41</f>
        <v>61.32</v>
      </c>
      <c r="G80" s="35" t="str">
        <f>Source!DG41</f>
        <v>)*1,15</v>
      </c>
      <c r="H80" s="36">
        <f>ROUND(Source!AF41*Source!I41, 2)</f>
        <v>16.920000000000002</v>
      </c>
      <c r="I80" s="35"/>
      <c r="J80" s="35">
        <f>IF(Source!BA41&lt;&gt; 0, Source!BA41, 1)</f>
        <v>6.08</v>
      </c>
      <c r="K80" s="36">
        <f>Source!S41</f>
        <v>102.9</v>
      </c>
      <c r="L80" s="37"/>
      <c r="R80">
        <f>H80</f>
        <v>16.920000000000002</v>
      </c>
    </row>
    <row r="81" spans="1:26" ht="14.25" x14ac:dyDescent="0.2">
      <c r="A81" s="51"/>
      <c r="B81" s="52"/>
      <c r="C81" s="52" t="s">
        <v>146</v>
      </c>
      <c r="D81" s="33"/>
      <c r="E81" s="13"/>
      <c r="F81" s="34">
        <f>Source!AM41</f>
        <v>2.13</v>
      </c>
      <c r="G81" s="35" t="str">
        <f>Source!DE41</f>
        <v>)*1,25</v>
      </c>
      <c r="H81" s="36">
        <f>ROUND(Source!AD41*Source!I41, 2)</f>
        <v>0.64</v>
      </c>
      <c r="I81" s="35"/>
      <c r="J81" s="35">
        <f>IF(Source!BB41&lt;&gt; 0, Source!BB41, 1)</f>
        <v>6.08</v>
      </c>
      <c r="K81" s="36">
        <f>Source!Q41</f>
        <v>3.89</v>
      </c>
      <c r="L81" s="37"/>
    </row>
    <row r="82" spans="1:26" ht="14.25" x14ac:dyDescent="0.2">
      <c r="A82" s="51"/>
      <c r="B82" s="52"/>
      <c r="C82" s="52" t="s">
        <v>352</v>
      </c>
      <c r="D82" s="33"/>
      <c r="E82" s="13"/>
      <c r="F82" s="34">
        <f>Source!AN41</f>
        <v>0.42</v>
      </c>
      <c r="G82" s="35" t="str">
        <f>Source!DF41</f>
        <v>)*1,25</v>
      </c>
      <c r="H82" s="46">
        <f>ROUND(Source!AE41*Source!I41, 2)</f>
        <v>0.13</v>
      </c>
      <c r="I82" s="35"/>
      <c r="J82" s="35">
        <f>IF(Source!BS41&lt;&gt; 0, Source!BS41, 1)</f>
        <v>6.08</v>
      </c>
      <c r="K82" s="46">
        <f>Source!R41</f>
        <v>0.77</v>
      </c>
      <c r="L82" s="37"/>
      <c r="R82">
        <f>H82</f>
        <v>0.13</v>
      </c>
    </row>
    <row r="83" spans="1:26" ht="14.25" x14ac:dyDescent="0.2">
      <c r="A83" s="51"/>
      <c r="B83" s="52"/>
      <c r="C83" s="52" t="s">
        <v>353</v>
      </c>
      <c r="D83" s="33"/>
      <c r="E83" s="13"/>
      <c r="F83" s="34">
        <f>Source!AL41</f>
        <v>73.64</v>
      </c>
      <c r="G83" s="35" t="str">
        <f>Source!DD41</f>
        <v/>
      </c>
      <c r="H83" s="36">
        <f>ROUND(Source!AC41*Source!I41, 2)</f>
        <v>17.670000000000002</v>
      </c>
      <c r="I83" s="35"/>
      <c r="J83" s="35">
        <f>IF(Source!BC41&lt;&gt; 0, Source!BC41, 1)</f>
        <v>6.08</v>
      </c>
      <c r="K83" s="36">
        <f>Source!P41</f>
        <v>107.46</v>
      </c>
      <c r="L83" s="37"/>
    </row>
    <row r="84" spans="1:26" ht="14.25" x14ac:dyDescent="0.2">
      <c r="A84" s="51"/>
      <c r="B84" s="52"/>
      <c r="C84" s="52" t="s">
        <v>347</v>
      </c>
      <c r="D84" s="33" t="s">
        <v>348</v>
      </c>
      <c r="E84" s="13">
        <f>Source!BZ41</f>
        <v>123</v>
      </c>
      <c r="F84" s="71" t="str">
        <f>CONCATENATE(" )", Source!DL41, Source!FT41, "=", Source!FX41)</f>
        <v xml:space="preserve"> )*0,9=110,7</v>
      </c>
      <c r="G84" s="72"/>
      <c r="H84" s="36">
        <f>SUM(S78:S92)</f>
        <v>18.87</v>
      </c>
      <c r="I84" s="38"/>
      <c r="J84" s="31">
        <f>Source!AT41</f>
        <v>111</v>
      </c>
      <c r="K84" s="36">
        <f>SUM(T78:T92)</f>
        <v>115.07</v>
      </c>
      <c r="L84" s="37"/>
    </row>
    <row r="85" spans="1:26" ht="14.25" x14ac:dyDescent="0.2">
      <c r="A85" s="51"/>
      <c r="B85" s="52"/>
      <c r="C85" s="52" t="s">
        <v>349</v>
      </c>
      <c r="D85" s="33" t="s">
        <v>348</v>
      </c>
      <c r="E85" s="13">
        <f>Source!CA41</f>
        <v>75</v>
      </c>
      <c r="F85" s="71" t="str">
        <f>CONCATENATE(" )", Source!DM41, Source!FU41, "=", Source!FY41)</f>
        <v xml:space="preserve"> )*0,85=63,75</v>
      </c>
      <c r="G85" s="72"/>
      <c r="H85" s="36">
        <f>SUM(U78:U92)</f>
        <v>10.87</v>
      </c>
      <c r="I85" s="38"/>
      <c r="J85" s="31">
        <f>Source!AU41</f>
        <v>64</v>
      </c>
      <c r="K85" s="36">
        <f>SUM(V78:V92)</f>
        <v>66.349999999999994</v>
      </c>
      <c r="L85" s="37"/>
    </row>
    <row r="86" spans="1:26" ht="14.25" x14ac:dyDescent="0.2">
      <c r="A86" s="51"/>
      <c r="B86" s="52"/>
      <c r="C86" s="52" t="s">
        <v>350</v>
      </c>
      <c r="D86" s="33" t="s">
        <v>351</v>
      </c>
      <c r="E86" s="13">
        <f>Source!AQ41</f>
        <v>6.68</v>
      </c>
      <c r="F86" s="34"/>
      <c r="G86" s="35" t="str">
        <f>Source!DI41</f>
        <v>)*1,15</v>
      </c>
      <c r="H86" s="36"/>
      <c r="I86" s="35"/>
      <c r="J86" s="35"/>
      <c r="K86" s="36"/>
      <c r="L86" s="47">
        <f>Source!U41</f>
        <v>1.8436799999999998</v>
      </c>
    </row>
    <row r="87" spans="1:26" ht="28.5" x14ac:dyDescent="0.2">
      <c r="A87" s="51" t="str">
        <f>Source!E43</f>
        <v>6,1</v>
      </c>
      <c r="B87" s="52" t="str">
        <f>Source!F43</f>
        <v>11.3.03.14-0002</v>
      </c>
      <c r="C87" s="52" t="str">
        <f>Source!G43</f>
        <v>Заглушка торцевая для пластикового плинтуса левая, высота 49 мм</v>
      </c>
      <c r="D87" s="33" t="str">
        <f>Source!H43</f>
        <v>100 шт.</v>
      </c>
      <c r="E87" s="13">
        <f>Source!I43</f>
        <v>0.02</v>
      </c>
      <c r="F87" s="34">
        <f>Source!AL43+Source!AM43+Source!AO43</f>
        <v>101</v>
      </c>
      <c r="G87" s="48" t="s">
        <v>4</v>
      </c>
      <c r="H87" s="36">
        <f>ROUND(Source!AC43*Source!I43, 2)+ROUND(Source!AD43*Source!I43, 2)+ROUND(Source!AF43*Source!I43, 2)</f>
        <v>2.02</v>
      </c>
      <c r="I87" s="35"/>
      <c r="J87" s="35">
        <f>IF(Source!BC43&lt;&gt; 0, Source!BC43, 1)</f>
        <v>6.08</v>
      </c>
      <c r="K87" s="36">
        <f>Source!O43</f>
        <v>12.28</v>
      </c>
      <c r="L87" s="37"/>
      <c r="S87">
        <f>ROUND((Source!FX43/100)*((ROUND(Source!AF43*Source!I43, 2)+ROUND(Source!AE43*Source!I43, 2))), 2)</f>
        <v>0</v>
      </c>
      <c r="T87">
        <f>Source!X43</f>
        <v>0</v>
      </c>
      <c r="U87">
        <f>ROUND((Source!FY43/100)*((ROUND(Source!AF43*Source!I43, 2)+ROUND(Source!AE43*Source!I43, 2))), 2)</f>
        <v>0</v>
      </c>
      <c r="V87">
        <f>Source!Y43</f>
        <v>0</v>
      </c>
      <c r="W87">
        <f>IF(Source!BI43&lt;=1,H87, 0)</f>
        <v>2.02</v>
      </c>
      <c r="X87">
        <f>IF(Source!BI43=2,H87, 0)</f>
        <v>0</v>
      </c>
      <c r="Y87">
        <f>IF(Source!BI43=3,H87, 0)</f>
        <v>0</v>
      </c>
      <c r="Z87">
        <f>IF(Source!BI43=4,H87, 0)</f>
        <v>0</v>
      </c>
    </row>
    <row r="88" spans="1:26" ht="28.5" x14ac:dyDescent="0.2">
      <c r="A88" s="51" t="str">
        <f>Source!E45</f>
        <v>6,2</v>
      </c>
      <c r="B88" s="52" t="str">
        <f>Source!F45</f>
        <v>11.3.03.06-0001</v>
      </c>
      <c r="C88" s="52" t="str">
        <f>Source!G45</f>
        <v>Плинтуса для полов пластиковые, 19х48 мм</v>
      </c>
      <c r="D88" s="33" t="str">
        <f>Source!H45</f>
        <v>м</v>
      </c>
      <c r="E88" s="13">
        <f>Source!I45</f>
        <v>24.24</v>
      </c>
      <c r="F88" s="34">
        <f>Source!AL45+Source!AM45+Source!AO45</f>
        <v>12.3</v>
      </c>
      <c r="G88" s="48" t="s">
        <v>4</v>
      </c>
      <c r="H88" s="36">
        <f>ROUND(Source!AC45*Source!I45, 2)+ROUND(Source!AD45*Source!I45, 2)+ROUND(Source!AF45*Source!I45, 2)</f>
        <v>298.14999999999998</v>
      </c>
      <c r="I88" s="35"/>
      <c r="J88" s="35">
        <f>IF(Source!BC45&lt;&gt; 0, Source!BC45, 1)</f>
        <v>6.08</v>
      </c>
      <c r="K88" s="36">
        <f>Source!O45</f>
        <v>1812.76</v>
      </c>
      <c r="L88" s="37"/>
      <c r="S88">
        <f>ROUND((Source!FX45/100)*((ROUND(Source!AF45*Source!I45, 2)+ROUND(Source!AE45*Source!I45, 2))), 2)</f>
        <v>0</v>
      </c>
      <c r="T88">
        <f>Source!X45</f>
        <v>0</v>
      </c>
      <c r="U88">
        <f>ROUND((Source!FY45/100)*((ROUND(Source!AF45*Source!I45, 2)+ROUND(Source!AE45*Source!I45, 2))), 2)</f>
        <v>0</v>
      </c>
      <c r="V88">
        <f>Source!Y45</f>
        <v>0</v>
      </c>
      <c r="W88">
        <f>IF(Source!BI45&lt;=1,H88, 0)</f>
        <v>298.14999999999998</v>
      </c>
      <c r="X88">
        <f>IF(Source!BI45=2,H88, 0)</f>
        <v>0</v>
      </c>
      <c r="Y88">
        <f>IF(Source!BI45=3,H88, 0)</f>
        <v>0</v>
      </c>
      <c r="Z88">
        <f>IF(Source!BI45=4,H88, 0)</f>
        <v>0</v>
      </c>
    </row>
    <row r="89" spans="1:26" ht="28.5" x14ac:dyDescent="0.2">
      <c r="A89" s="51" t="str">
        <f>Source!E47</f>
        <v>6,3</v>
      </c>
      <c r="B89" s="52" t="str">
        <f>Source!F47</f>
        <v>11.3.03.14-0012</v>
      </c>
      <c r="C89" s="52" t="str">
        <f>Source!G47</f>
        <v>Заглушки торцевая для пластикового плинтуса правая, высота 49 мм</v>
      </c>
      <c r="D89" s="33" t="str">
        <f>Source!H47</f>
        <v>100 шт.</v>
      </c>
      <c r="E89" s="13">
        <f>Source!I47</f>
        <v>0.02</v>
      </c>
      <c r="F89" s="34">
        <f>Source!AL47+Source!AM47+Source!AO47</f>
        <v>101</v>
      </c>
      <c r="G89" s="48" t="s">
        <v>4</v>
      </c>
      <c r="H89" s="36">
        <f>ROUND(Source!AC47*Source!I47, 2)+ROUND(Source!AD47*Source!I47, 2)+ROUND(Source!AF47*Source!I47, 2)</f>
        <v>2.02</v>
      </c>
      <c r="I89" s="35"/>
      <c r="J89" s="35">
        <f>IF(Source!BC47&lt;&gt; 0, Source!BC47, 1)</f>
        <v>6.08</v>
      </c>
      <c r="K89" s="36">
        <f>Source!O47</f>
        <v>12.28</v>
      </c>
      <c r="L89" s="37"/>
      <c r="S89">
        <f>ROUND((Source!FX47/100)*((ROUND(Source!AF47*Source!I47, 2)+ROUND(Source!AE47*Source!I47, 2))), 2)</f>
        <v>0</v>
      </c>
      <c r="T89">
        <f>Source!X47</f>
        <v>0</v>
      </c>
      <c r="U89">
        <f>ROUND((Source!FY47/100)*((ROUND(Source!AF47*Source!I47, 2)+ROUND(Source!AE47*Source!I47, 2))), 2)</f>
        <v>0</v>
      </c>
      <c r="V89">
        <f>Source!Y47</f>
        <v>0</v>
      </c>
      <c r="W89">
        <f>IF(Source!BI47&lt;=1,H89, 0)</f>
        <v>2.02</v>
      </c>
      <c r="X89">
        <f>IF(Source!BI47=2,H89, 0)</f>
        <v>0</v>
      </c>
      <c r="Y89">
        <f>IF(Source!BI47=3,H89, 0)</f>
        <v>0</v>
      </c>
      <c r="Z89">
        <f>IF(Source!BI47=4,H89, 0)</f>
        <v>0</v>
      </c>
    </row>
    <row r="90" spans="1:26" ht="28.5" x14ac:dyDescent="0.2">
      <c r="A90" s="51" t="str">
        <f>Source!E49</f>
        <v>6,4</v>
      </c>
      <c r="B90" s="52" t="str">
        <f>Source!F49</f>
        <v>11.3.03.14-0022</v>
      </c>
      <c r="C90" s="52" t="str">
        <f>Source!G49</f>
        <v>Соединитель для пластикового плинтуса, высота 49 мм</v>
      </c>
      <c r="D90" s="33" t="str">
        <f>Source!H49</f>
        <v>100 шт.</v>
      </c>
      <c r="E90" s="13">
        <f>Source!I49</f>
        <v>0.1</v>
      </c>
      <c r="F90" s="34">
        <f>Source!AL49+Source!AM49+Source!AO49</f>
        <v>128</v>
      </c>
      <c r="G90" s="48" t="s">
        <v>4</v>
      </c>
      <c r="H90" s="36">
        <f>ROUND(Source!AC49*Source!I49, 2)+ROUND(Source!AD49*Source!I49, 2)+ROUND(Source!AF49*Source!I49, 2)</f>
        <v>12.8</v>
      </c>
      <c r="I90" s="35"/>
      <c r="J90" s="35">
        <f>IF(Source!BC49&lt;&gt; 0, Source!BC49, 1)</f>
        <v>6.08</v>
      </c>
      <c r="K90" s="36">
        <f>Source!O49</f>
        <v>77.819999999999993</v>
      </c>
      <c r="L90" s="37"/>
      <c r="S90">
        <f>ROUND((Source!FX49/100)*((ROUND(Source!AF49*Source!I49, 2)+ROUND(Source!AE49*Source!I49, 2))), 2)</f>
        <v>0</v>
      </c>
      <c r="T90">
        <f>Source!X49</f>
        <v>0</v>
      </c>
      <c r="U90">
        <f>ROUND((Source!FY49/100)*((ROUND(Source!AF49*Source!I49, 2)+ROUND(Source!AE49*Source!I49, 2))), 2)</f>
        <v>0</v>
      </c>
      <c r="V90">
        <f>Source!Y49</f>
        <v>0</v>
      </c>
      <c r="W90">
        <f>IF(Source!BI49&lt;=1,H90, 0)</f>
        <v>12.8</v>
      </c>
      <c r="X90">
        <f>IF(Source!BI49=2,H90, 0)</f>
        <v>0</v>
      </c>
      <c r="Y90">
        <f>IF(Source!BI49=3,H90, 0)</f>
        <v>0</v>
      </c>
      <c r="Z90">
        <f>IF(Source!BI49=4,H90, 0)</f>
        <v>0</v>
      </c>
    </row>
    <row r="91" spans="1:26" ht="28.5" x14ac:dyDescent="0.2">
      <c r="A91" s="51" t="str">
        <f>Source!E51</f>
        <v>6,5</v>
      </c>
      <c r="B91" s="52" t="str">
        <f>Source!F51</f>
        <v>11.3.03.14-0032</v>
      </c>
      <c r="C91" s="52" t="str">
        <f>Source!G51</f>
        <v>Уголок внутренний для пластикового плинтуса, высота 49 мм</v>
      </c>
      <c r="D91" s="33" t="str">
        <f>Source!H51</f>
        <v>100 шт.</v>
      </c>
      <c r="E91" s="13">
        <f>Source!I51</f>
        <v>0.02</v>
      </c>
      <c r="F91" s="34">
        <f>Source!AL51+Source!AM51+Source!AO51</f>
        <v>128</v>
      </c>
      <c r="G91" s="48" t="s">
        <v>4</v>
      </c>
      <c r="H91" s="36">
        <f>ROUND(Source!AC51*Source!I51, 2)+ROUND(Source!AD51*Source!I51, 2)+ROUND(Source!AF51*Source!I51, 2)</f>
        <v>2.56</v>
      </c>
      <c r="I91" s="35"/>
      <c r="J91" s="35">
        <f>IF(Source!BC51&lt;&gt; 0, Source!BC51, 1)</f>
        <v>6.08</v>
      </c>
      <c r="K91" s="36">
        <f>Source!O51</f>
        <v>15.56</v>
      </c>
      <c r="L91" s="37"/>
      <c r="S91">
        <f>ROUND((Source!FX51/100)*((ROUND(Source!AF51*Source!I51, 2)+ROUND(Source!AE51*Source!I51, 2))), 2)</f>
        <v>0</v>
      </c>
      <c r="T91">
        <f>Source!X51</f>
        <v>0</v>
      </c>
      <c r="U91">
        <f>ROUND((Source!FY51/100)*((ROUND(Source!AF51*Source!I51, 2)+ROUND(Source!AE51*Source!I51, 2))), 2)</f>
        <v>0</v>
      </c>
      <c r="V91">
        <f>Source!Y51</f>
        <v>0</v>
      </c>
      <c r="W91">
        <f>IF(Source!BI51&lt;=1,H91, 0)</f>
        <v>2.56</v>
      </c>
      <c r="X91">
        <f>IF(Source!BI51=2,H91, 0)</f>
        <v>0</v>
      </c>
      <c r="Y91">
        <f>IF(Source!BI51=3,H91, 0)</f>
        <v>0</v>
      </c>
      <c r="Z91">
        <f>IF(Source!BI51=4,H91, 0)</f>
        <v>0</v>
      </c>
    </row>
    <row r="92" spans="1:26" ht="28.5" x14ac:dyDescent="0.2">
      <c r="A92" s="53" t="str">
        <f>Source!E53</f>
        <v>6,6</v>
      </c>
      <c r="B92" s="54" t="str">
        <f>Source!F53</f>
        <v>11.3.03.14-0034</v>
      </c>
      <c r="C92" s="54" t="str">
        <f>Source!G53</f>
        <v>Уголок наружный для пластикового плинтуса, высота 49 мм</v>
      </c>
      <c r="D92" s="39" t="str">
        <f>Source!H53</f>
        <v>100 шт.</v>
      </c>
      <c r="E92" s="40">
        <f>Source!I53</f>
        <v>0.02</v>
      </c>
      <c r="F92" s="41">
        <f>Source!AL53+Source!AM53+Source!AO53</f>
        <v>128</v>
      </c>
      <c r="G92" s="49" t="s">
        <v>4</v>
      </c>
      <c r="H92" s="43">
        <f>ROUND(Source!AC53*Source!I53, 2)+ROUND(Source!AD53*Source!I53, 2)+ROUND(Source!AF53*Source!I53, 2)</f>
        <v>2.56</v>
      </c>
      <c r="I92" s="42"/>
      <c r="J92" s="42">
        <f>IF(Source!BC53&lt;&gt; 0, Source!BC53, 1)</f>
        <v>6.08</v>
      </c>
      <c r="K92" s="43">
        <f>Source!O53</f>
        <v>15.56</v>
      </c>
      <c r="L92" s="50"/>
      <c r="S92">
        <f>ROUND((Source!FX53/100)*((ROUND(Source!AF53*Source!I53, 2)+ROUND(Source!AE53*Source!I53, 2))), 2)</f>
        <v>0</v>
      </c>
      <c r="T92">
        <f>Source!X53</f>
        <v>0</v>
      </c>
      <c r="U92">
        <f>ROUND((Source!FY53/100)*((ROUND(Source!AF53*Source!I53, 2)+ROUND(Source!AE53*Source!I53, 2))), 2)</f>
        <v>0</v>
      </c>
      <c r="V92">
        <f>Source!Y53</f>
        <v>0</v>
      </c>
      <c r="W92">
        <f>IF(Source!BI53&lt;=1,H92, 0)</f>
        <v>2.56</v>
      </c>
      <c r="X92">
        <f>IF(Source!BI53=2,H92, 0)</f>
        <v>0</v>
      </c>
      <c r="Y92">
        <f>IF(Source!BI53=3,H92, 0)</f>
        <v>0</v>
      </c>
      <c r="Z92">
        <f>IF(Source!BI53=4,H92, 0)</f>
        <v>0</v>
      </c>
    </row>
    <row r="93" spans="1:26" ht="15" x14ac:dyDescent="0.25">
      <c r="G93" s="73">
        <f>H80+H81+H83+H84+H85+SUM(H87:H92)</f>
        <v>385.08</v>
      </c>
      <c r="H93" s="73"/>
      <c r="J93" s="73">
        <f>K80+K81+K83+K84+K85+SUM(K87:K92)</f>
        <v>2341.9299999999998</v>
      </c>
      <c r="K93" s="73"/>
      <c r="L93" s="45">
        <f>Source!U41</f>
        <v>1.8436799999999998</v>
      </c>
      <c r="O93" s="28">
        <f>G93</f>
        <v>385.08</v>
      </c>
      <c r="P93" s="28">
        <f>J93</f>
        <v>2341.9299999999998</v>
      </c>
      <c r="Q93" s="28">
        <f>L93</f>
        <v>1.8436799999999998</v>
      </c>
      <c r="W93">
        <f>IF(Source!BI41&lt;=1,H80+H81+H83+H84+H85, 0)</f>
        <v>64.970000000000013</v>
      </c>
      <c r="X93">
        <f>IF(Source!BI41=2,H80+H81+H83+H84+H85, 0)</f>
        <v>0</v>
      </c>
      <c r="Y93">
        <f>IF(Source!BI41=3,H80+H81+H83+H84+H85, 0)</f>
        <v>0</v>
      </c>
      <c r="Z93">
        <f>IF(Source!BI41=4,H80+H81+H83+H84+H85, 0)</f>
        <v>0</v>
      </c>
    </row>
    <row r="94" spans="1:26" ht="28.5" x14ac:dyDescent="0.2">
      <c r="A94" s="51" t="str">
        <f>Source!E55</f>
        <v>7</v>
      </c>
      <c r="B94" s="52" t="str">
        <f>Source!F55</f>
        <v>13-06-003-01</v>
      </c>
      <c r="C94" s="52" t="str">
        <f>Source!G55</f>
        <v>Очистка поверхности щетками стен и потолка от красок</v>
      </c>
      <c r="D94" s="33" t="str">
        <f>Source!H55</f>
        <v>м2</v>
      </c>
      <c r="E94" s="13">
        <f>Source!I55</f>
        <v>121.3</v>
      </c>
      <c r="F94" s="34">
        <f>Source!AL55+Source!AM55+Source!AO55</f>
        <v>7.68</v>
      </c>
      <c r="G94" s="35"/>
      <c r="H94" s="36"/>
      <c r="I94" s="35" t="str">
        <f>Source!BO55</f>
        <v/>
      </c>
      <c r="J94" s="35"/>
      <c r="K94" s="36"/>
      <c r="L94" s="37"/>
      <c r="S94">
        <f>ROUND((Source!FX55/100)*((ROUND(Source!AF55*Source!I55, 2)+ROUND(Source!AE55*Source!I55, 2))), 2)</f>
        <v>867.77</v>
      </c>
      <c r="T94">
        <f>Source!X55</f>
        <v>5276.05</v>
      </c>
      <c r="U94">
        <f>ROUND((Source!FY55/100)*((ROUND(Source!AF55*Source!I55, 2)+ROUND(Source!AE55*Source!I55, 2))), 2)</f>
        <v>637.44000000000005</v>
      </c>
      <c r="V94">
        <f>Source!Y55</f>
        <v>3908.18</v>
      </c>
    </row>
    <row r="95" spans="1:26" ht="14.25" x14ac:dyDescent="0.2">
      <c r="A95" s="51"/>
      <c r="B95" s="52"/>
      <c r="C95" s="52" t="s">
        <v>346</v>
      </c>
      <c r="D95" s="33"/>
      <c r="E95" s="13"/>
      <c r="F95" s="34">
        <f>Source!AO55</f>
        <v>7.68</v>
      </c>
      <c r="G95" s="35" t="str">
        <f>Source!DG55</f>
        <v>)*1,15</v>
      </c>
      <c r="H95" s="36">
        <f>ROUND(Source!AF55*Source!I55, 2)</f>
        <v>1071.32</v>
      </c>
      <c r="I95" s="35"/>
      <c r="J95" s="35">
        <f>IF(Source!BA55&lt;&gt; 0, Source!BA55, 1)</f>
        <v>6.08</v>
      </c>
      <c r="K95" s="36">
        <f>Source!S55</f>
        <v>6513.64</v>
      </c>
      <c r="L95" s="37"/>
      <c r="R95">
        <f>H95</f>
        <v>1071.32</v>
      </c>
    </row>
    <row r="96" spans="1:26" ht="14.25" x14ac:dyDescent="0.2">
      <c r="A96" s="51"/>
      <c r="B96" s="52"/>
      <c r="C96" s="52" t="s">
        <v>347</v>
      </c>
      <c r="D96" s="33" t="s">
        <v>348</v>
      </c>
      <c r="E96" s="13">
        <f>Source!BZ55</f>
        <v>90</v>
      </c>
      <c r="F96" s="71" t="str">
        <f>CONCATENATE(" )", Source!DL55, Source!FT55, "=", Source!FX55)</f>
        <v xml:space="preserve"> )*0,9=81</v>
      </c>
      <c r="G96" s="72"/>
      <c r="H96" s="36">
        <f>SUM(S94:S98)</f>
        <v>867.77</v>
      </c>
      <c r="I96" s="38"/>
      <c r="J96" s="31">
        <f>Source!AT55</f>
        <v>81</v>
      </c>
      <c r="K96" s="36">
        <f>SUM(T94:T98)</f>
        <v>5276.05</v>
      </c>
      <c r="L96" s="37"/>
    </row>
    <row r="97" spans="1:26" ht="14.25" x14ac:dyDescent="0.2">
      <c r="A97" s="51"/>
      <c r="B97" s="52"/>
      <c r="C97" s="52" t="s">
        <v>349</v>
      </c>
      <c r="D97" s="33" t="s">
        <v>348</v>
      </c>
      <c r="E97" s="13">
        <f>Source!CA55</f>
        <v>70</v>
      </c>
      <c r="F97" s="71" t="str">
        <f>CONCATENATE(" )", Source!DM55, Source!FU55, "=", Source!FY55)</f>
        <v xml:space="preserve"> )*0,85=59,5</v>
      </c>
      <c r="G97" s="72"/>
      <c r="H97" s="36">
        <f>SUM(U94:U98)</f>
        <v>637.44000000000005</v>
      </c>
      <c r="I97" s="38"/>
      <c r="J97" s="31">
        <f>Source!AU55</f>
        <v>60</v>
      </c>
      <c r="K97" s="36">
        <f>SUM(V94:V98)</f>
        <v>3908.18</v>
      </c>
      <c r="L97" s="37"/>
    </row>
    <row r="98" spans="1:26" ht="14.25" x14ac:dyDescent="0.2">
      <c r="A98" s="53"/>
      <c r="B98" s="54"/>
      <c r="C98" s="54" t="s">
        <v>350</v>
      </c>
      <c r="D98" s="39" t="s">
        <v>351</v>
      </c>
      <c r="E98" s="40">
        <f>Source!AQ55</f>
        <v>0.9</v>
      </c>
      <c r="F98" s="41"/>
      <c r="G98" s="42" t="str">
        <f>Source!DI55</f>
        <v>)*1,15</v>
      </c>
      <c r="H98" s="43"/>
      <c r="I98" s="42"/>
      <c r="J98" s="42"/>
      <c r="K98" s="43"/>
      <c r="L98" s="44">
        <f>Source!U55</f>
        <v>125.54549999999999</v>
      </c>
    </row>
    <row r="99" spans="1:26" ht="15" x14ac:dyDescent="0.25">
      <c r="G99" s="73">
        <f>H95+H96+H97</f>
        <v>2576.5299999999997</v>
      </c>
      <c r="H99" s="73"/>
      <c r="J99" s="73">
        <f>K95+K96+K97</f>
        <v>15697.87</v>
      </c>
      <c r="K99" s="73"/>
      <c r="L99" s="45">
        <f>Source!U55</f>
        <v>125.54549999999999</v>
      </c>
      <c r="O99" s="28">
        <f>G99</f>
        <v>2576.5299999999997</v>
      </c>
      <c r="P99" s="28">
        <f>J99</f>
        <v>15697.87</v>
      </c>
      <c r="Q99" s="28">
        <f>L99</f>
        <v>125.54549999999999</v>
      </c>
      <c r="W99">
        <f>IF(Source!BI55&lt;=1,H95+H96+H97, 0)</f>
        <v>2576.5299999999997</v>
      </c>
      <c r="X99">
        <f>IF(Source!BI55=2,H95+H96+H97, 0)</f>
        <v>0</v>
      </c>
      <c r="Y99">
        <f>IF(Source!BI55=3,H95+H96+H97, 0)</f>
        <v>0</v>
      </c>
      <c r="Z99">
        <f>IF(Source!BI55=4,H95+H96+H97, 0)</f>
        <v>0</v>
      </c>
    </row>
    <row r="100" spans="1:26" ht="57" x14ac:dyDescent="0.2">
      <c r="A100" s="51" t="str">
        <f>Source!E57</f>
        <v>8</v>
      </c>
      <c r="B100" s="52" t="str">
        <f>Source!F57</f>
        <v>15-02-019-03</v>
      </c>
      <c r="C100" s="52" t="str">
        <f>Source!G57</f>
        <v>Сплошное выравнивание внутренних поверхностей (однослойное оштукатуривание) из сухих растворных смесей толщиной до 10 мм стен</v>
      </c>
      <c r="D100" s="33" t="str">
        <f>Source!H57</f>
        <v>100 м2</v>
      </c>
      <c r="E100" s="13">
        <f>Source!I57</f>
        <v>0.81399999999999995</v>
      </c>
      <c r="F100" s="34">
        <f>Source!AL57+Source!AM57+Source!AO57</f>
        <v>295.40999999999997</v>
      </c>
      <c r="G100" s="35"/>
      <c r="H100" s="36"/>
      <c r="I100" s="35" t="str">
        <f>Source!BO57</f>
        <v/>
      </c>
      <c r="J100" s="35"/>
      <c r="K100" s="36"/>
      <c r="L100" s="37"/>
      <c r="S100">
        <f>ROUND((Source!FX57/100)*((ROUND(Source!AF57*Source!I57, 2)+ROUND(Source!AE57*Source!I57, 2))), 2)</f>
        <v>254.86</v>
      </c>
      <c r="T100">
        <f>Source!X57</f>
        <v>1557.72</v>
      </c>
      <c r="U100">
        <f>ROUND((Source!FY57/100)*((ROUND(Source!AF57*Source!I57, 2)+ROUND(Source!AE57*Source!I57, 2))), 2)</f>
        <v>126.08</v>
      </c>
      <c r="V100">
        <f>Source!Y57</f>
        <v>770.66</v>
      </c>
    </row>
    <row r="101" spans="1:26" x14ac:dyDescent="0.2">
      <c r="C101" s="27" t="str">
        <f>"Объем: "&amp;Source!I57&amp;"=81,4/"&amp;"100"</f>
        <v>Объем: 0,814=81,4/100</v>
      </c>
    </row>
    <row r="102" spans="1:26" ht="14.25" x14ac:dyDescent="0.2">
      <c r="A102" s="51"/>
      <c r="B102" s="52"/>
      <c r="C102" s="52" t="s">
        <v>346</v>
      </c>
      <c r="D102" s="33"/>
      <c r="E102" s="13"/>
      <c r="F102" s="34">
        <f>Source!AO57</f>
        <v>277.14</v>
      </c>
      <c r="G102" s="35" t="str">
        <f>Source!DG57</f>
        <v>)*1,15</v>
      </c>
      <c r="H102" s="36">
        <f>ROUND(Source!AF57*Source!I57, 2)</f>
        <v>259.43</v>
      </c>
      <c r="I102" s="35"/>
      <c r="J102" s="35">
        <f>IF(Source!BA57&lt;&gt; 0, Source!BA57, 1)</f>
        <v>6.08</v>
      </c>
      <c r="K102" s="36">
        <f>Source!S57</f>
        <v>1577.34</v>
      </c>
      <c r="L102" s="37"/>
      <c r="R102">
        <f>H102</f>
        <v>259.43</v>
      </c>
    </row>
    <row r="103" spans="1:26" ht="14.25" x14ac:dyDescent="0.2">
      <c r="A103" s="51"/>
      <c r="B103" s="52"/>
      <c r="C103" s="52" t="s">
        <v>146</v>
      </c>
      <c r="D103" s="33"/>
      <c r="E103" s="13"/>
      <c r="F103" s="34">
        <f>Source!AM57</f>
        <v>17.03</v>
      </c>
      <c r="G103" s="35" t="str">
        <f>Source!DE57</f>
        <v>)*1,25</v>
      </c>
      <c r="H103" s="36">
        <f>ROUND(Source!AD57*Source!I57, 2)</f>
        <v>17.329999999999998</v>
      </c>
      <c r="I103" s="35"/>
      <c r="J103" s="35">
        <f>IF(Source!BB57&lt;&gt; 0, Source!BB57, 1)</f>
        <v>6.08</v>
      </c>
      <c r="K103" s="36">
        <f>Source!Q57</f>
        <v>105.35</v>
      </c>
      <c r="L103" s="37"/>
    </row>
    <row r="104" spans="1:26" ht="14.25" x14ac:dyDescent="0.2">
      <c r="A104" s="51"/>
      <c r="B104" s="52"/>
      <c r="C104" s="52" t="s">
        <v>352</v>
      </c>
      <c r="D104" s="33"/>
      <c r="E104" s="13"/>
      <c r="F104" s="34">
        <f>Source!AN57</f>
        <v>10.08</v>
      </c>
      <c r="G104" s="35" t="str">
        <f>Source!DF57</f>
        <v>)*1,25</v>
      </c>
      <c r="H104" s="46">
        <f>ROUND(Source!AE57*Source!I57, 2)</f>
        <v>10.26</v>
      </c>
      <c r="I104" s="35"/>
      <c r="J104" s="35">
        <f>IF(Source!BS57&lt;&gt; 0, Source!BS57, 1)</f>
        <v>6.08</v>
      </c>
      <c r="K104" s="46">
        <f>Source!R57</f>
        <v>62.36</v>
      </c>
      <c r="L104" s="37"/>
      <c r="R104">
        <f>H104</f>
        <v>10.26</v>
      </c>
    </row>
    <row r="105" spans="1:26" ht="14.25" x14ac:dyDescent="0.2">
      <c r="A105" s="51"/>
      <c r="B105" s="52"/>
      <c r="C105" s="52" t="s">
        <v>353</v>
      </c>
      <c r="D105" s="33"/>
      <c r="E105" s="13"/>
      <c r="F105" s="34">
        <f>Source!AL57</f>
        <v>1.24</v>
      </c>
      <c r="G105" s="35" t="str">
        <f>Source!DD57</f>
        <v/>
      </c>
      <c r="H105" s="36">
        <f>ROUND(Source!AC57*Source!I57, 2)</f>
        <v>1.01</v>
      </c>
      <c r="I105" s="35"/>
      <c r="J105" s="35">
        <f>IF(Source!BC57&lt;&gt; 0, Source!BC57, 1)</f>
        <v>6.08</v>
      </c>
      <c r="K105" s="36">
        <f>Source!P57</f>
        <v>6.14</v>
      </c>
      <c r="L105" s="37"/>
    </row>
    <row r="106" spans="1:26" ht="14.25" x14ac:dyDescent="0.2">
      <c r="A106" s="51"/>
      <c r="B106" s="52"/>
      <c r="C106" s="52" t="s">
        <v>347</v>
      </c>
      <c r="D106" s="33" t="s">
        <v>348</v>
      </c>
      <c r="E106" s="13">
        <f>Source!BZ57</f>
        <v>105</v>
      </c>
      <c r="F106" s="71" t="str">
        <f>CONCATENATE(" )", Source!DL57, Source!FT57, "=", Source!FX57)</f>
        <v xml:space="preserve"> )*0,9=94,5</v>
      </c>
      <c r="G106" s="72"/>
      <c r="H106" s="36">
        <f>SUM(S100:S110)</f>
        <v>254.86</v>
      </c>
      <c r="I106" s="38"/>
      <c r="J106" s="31">
        <f>Source!AT57</f>
        <v>95</v>
      </c>
      <c r="K106" s="36">
        <f>SUM(T100:T110)</f>
        <v>1557.72</v>
      </c>
      <c r="L106" s="37"/>
    </row>
    <row r="107" spans="1:26" ht="14.25" x14ac:dyDescent="0.2">
      <c r="A107" s="51"/>
      <c r="B107" s="52"/>
      <c r="C107" s="52" t="s">
        <v>349</v>
      </c>
      <c r="D107" s="33" t="s">
        <v>348</v>
      </c>
      <c r="E107" s="13">
        <f>Source!CA57</f>
        <v>55</v>
      </c>
      <c r="F107" s="71" t="str">
        <f>CONCATENATE(" )", Source!DM57, Source!FU57, "=", Source!FY57)</f>
        <v xml:space="preserve"> )*0,85=46,75</v>
      </c>
      <c r="G107" s="72"/>
      <c r="H107" s="36">
        <f>SUM(U100:U110)</f>
        <v>126.08</v>
      </c>
      <c r="I107" s="38"/>
      <c r="J107" s="31">
        <f>Source!AU57</f>
        <v>47</v>
      </c>
      <c r="K107" s="36">
        <f>SUM(V100:V110)</f>
        <v>770.66</v>
      </c>
      <c r="L107" s="37"/>
    </row>
    <row r="108" spans="1:26" ht="14.25" x14ac:dyDescent="0.2">
      <c r="A108" s="51"/>
      <c r="B108" s="52"/>
      <c r="C108" s="52" t="s">
        <v>350</v>
      </c>
      <c r="D108" s="33" t="s">
        <v>351</v>
      </c>
      <c r="E108" s="13">
        <f>Source!AQ57</f>
        <v>32.49</v>
      </c>
      <c r="F108" s="34"/>
      <c r="G108" s="35" t="str">
        <f>Source!DI57</f>
        <v>)*1,15</v>
      </c>
      <c r="H108" s="36"/>
      <c r="I108" s="35"/>
      <c r="J108" s="35"/>
      <c r="K108" s="36"/>
      <c r="L108" s="47">
        <f>Source!U57</f>
        <v>30.413889000000001</v>
      </c>
    </row>
    <row r="109" spans="1:26" ht="42.75" x14ac:dyDescent="0.2">
      <c r="A109" s="51" t="str">
        <f>Source!E59</f>
        <v>8,1</v>
      </c>
      <c r="B109" s="52" t="str">
        <f>Source!F59</f>
        <v>04.3.02.12-0002</v>
      </c>
      <c r="C109" s="52" t="str">
        <f>Source!G59</f>
        <v>Смесь сухая штукатурная цементно-известково-песчаная "БИРСС 15" (марка М100)</v>
      </c>
      <c r="D109" s="33" t="str">
        <f>Source!H59</f>
        <v>т</v>
      </c>
      <c r="E109" s="13">
        <f>Source!I59</f>
        <v>0.69189999999999996</v>
      </c>
      <c r="F109" s="34">
        <f>Source!AL59+Source!AM59+Source!AO59</f>
        <v>931.37</v>
      </c>
      <c r="G109" s="48" t="s">
        <v>4</v>
      </c>
      <c r="H109" s="36">
        <f>ROUND(Source!AC59*Source!I59, 2)+ROUND(Source!AD59*Source!I59, 2)+ROUND(Source!AF59*Source!I59, 2)</f>
        <v>644.41</v>
      </c>
      <c r="I109" s="35"/>
      <c r="J109" s="35">
        <f>IF(Source!BC59&lt;&gt; 0, Source!BC59, 1)</f>
        <v>6.08</v>
      </c>
      <c r="K109" s="36">
        <f>Source!O59</f>
        <v>3918.04</v>
      </c>
      <c r="L109" s="37"/>
      <c r="S109">
        <f>ROUND((Source!FX59/100)*((ROUND(Source!AF59*Source!I59, 2)+ROUND(Source!AE59*Source!I59, 2))), 2)</f>
        <v>0</v>
      </c>
      <c r="T109">
        <f>Source!X59</f>
        <v>0</v>
      </c>
      <c r="U109">
        <f>ROUND((Source!FY59/100)*((ROUND(Source!AF59*Source!I59, 2)+ROUND(Source!AE59*Source!I59, 2))), 2)</f>
        <v>0</v>
      </c>
      <c r="V109">
        <f>Source!Y59</f>
        <v>0</v>
      </c>
      <c r="W109">
        <f>IF(Source!BI59&lt;=1,H109, 0)</f>
        <v>644.41</v>
      </c>
      <c r="X109">
        <f>IF(Source!BI59=2,H109, 0)</f>
        <v>0</v>
      </c>
      <c r="Y109">
        <f>IF(Source!BI59=3,H109, 0)</f>
        <v>0</v>
      </c>
      <c r="Z109">
        <f>IF(Source!BI59=4,H109, 0)</f>
        <v>0</v>
      </c>
    </row>
    <row r="110" spans="1:26" ht="28.5" x14ac:dyDescent="0.2">
      <c r="A110" s="53" t="str">
        <f>Source!E61</f>
        <v>8,2</v>
      </c>
      <c r="B110" s="54" t="str">
        <f>Source!F61</f>
        <v>14.3.01.02-0102</v>
      </c>
      <c r="C110" s="54" t="str">
        <f>Source!G61</f>
        <v>Грунтовка: водно-дисперсионная "БИРСС Бетон-контакт"</v>
      </c>
      <c r="D110" s="39" t="str">
        <f>Source!H61</f>
        <v>т</v>
      </c>
      <c r="E110" s="40">
        <f>Source!I61</f>
        <v>1.6279999999999999E-2</v>
      </c>
      <c r="F110" s="41">
        <f>Source!AL61+Source!AM61+Source!AO61</f>
        <v>18390.16</v>
      </c>
      <c r="G110" s="49" t="s">
        <v>4</v>
      </c>
      <c r="H110" s="43">
        <f>ROUND(Source!AC61*Source!I61, 2)+ROUND(Source!AD61*Source!I61, 2)+ROUND(Source!AF61*Source!I61, 2)</f>
        <v>299.39</v>
      </c>
      <c r="I110" s="42"/>
      <c r="J110" s="42">
        <f>IF(Source!BC61&lt;&gt; 0, Source!BC61, 1)</f>
        <v>6.08</v>
      </c>
      <c r="K110" s="43">
        <f>Source!O61</f>
        <v>1820.3</v>
      </c>
      <c r="L110" s="50"/>
      <c r="S110">
        <f>ROUND((Source!FX61/100)*((ROUND(Source!AF61*Source!I61, 2)+ROUND(Source!AE61*Source!I61, 2))), 2)</f>
        <v>0</v>
      </c>
      <c r="T110">
        <f>Source!X61</f>
        <v>0</v>
      </c>
      <c r="U110">
        <f>ROUND((Source!FY61/100)*((ROUND(Source!AF61*Source!I61, 2)+ROUND(Source!AE61*Source!I61, 2))), 2)</f>
        <v>0</v>
      </c>
      <c r="V110">
        <f>Source!Y61</f>
        <v>0</v>
      </c>
      <c r="W110">
        <f>IF(Source!BI61&lt;=1,H110, 0)</f>
        <v>299.39</v>
      </c>
      <c r="X110">
        <f>IF(Source!BI61=2,H110, 0)</f>
        <v>0</v>
      </c>
      <c r="Y110">
        <f>IF(Source!BI61=3,H110, 0)</f>
        <v>0</v>
      </c>
      <c r="Z110">
        <f>IF(Source!BI61=4,H110, 0)</f>
        <v>0</v>
      </c>
    </row>
    <row r="111" spans="1:26" ht="15" x14ac:dyDescent="0.25">
      <c r="G111" s="73">
        <f>H102+H103+H105+H106+H107+SUM(H109:H110)</f>
        <v>1602.51</v>
      </c>
      <c r="H111" s="73"/>
      <c r="J111" s="73">
        <f>K102+K103+K105+K106+K107+SUM(K109:K110)</f>
        <v>9755.5499999999993</v>
      </c>
      <c r="K111" s="73"/>
      <c r="L111" s="45">
        <f>Source!U57</f>
        <v>30.413889000000001</v>
      </c>
      <c r="O111" s="28">
        <f>G111</f>
        <v>1602.51</v>
      </c>
      <c r="P111" s="28">
        <f>J111</f>
        <v>9755.5499999999993</v>
      </c>
      <c r="Q111" s="28">
        <f>L111</f>
        <v>30.413889000000001</v>
      </c>
      <c r="W111">
        <f>IF(Source!BI57&lt;=1,H102+H103+H105+H106+H107, 0)</f>
        <v>658.71</v>
      </c>
      <c r="X111">
        <f>IF(Source!BI57=2,H102+H103+H105+H106+H107, 0)</f>
        <v>0</v>
      </c>
      <c r="Y111">
        <f>IF(Source!BI57=3,H102+H103+H105+H106+H107, 0)</f>
        <v>0</v>
      </c>
      <c r="Z111">
        <f>IF(Source!BI57=4,H102+H103+H105+H106+H107, 0)</f>
        <v>0</v>
      </c>
    </row>
    <row r="112" spans="1:26" ht="42.75" x14ac:dyDescent="0.2">
      <c r="A112" s="51" t="str">
        <f>Source!E63</f>
        <v>9</v>
      </c>
      <c r="B112" s="52" t="str">
        <f>Source!F63</f>
        <v>15-04-007-01</v>
      </c>
      <c r="C112" s="52" t="str">
        <f>Source!G63</f>
        <v>Окраска водно-дисперсионными акриловыми составами улучшенная по штукатурке стен</v>
      </c>
      <c r="D112" s="33" t="str">
        <f>Source!H63</f>
        <v>100 м2</v>
      </c>
      <c r="E112" s="13">
        <f>Source!I63</f>
        <v>0.81399999999999995</v>
      </c>
      <c r="F112" s="34">
        <f>Source!AL63+Source!AM63+Source!AO63</f>
        <v>1033.6799999999998</v>
      </c>
      <c r="G112" s="35"/>
      <c r="H112" s="36"/>
      <c r="I112" s="35" t="str">
        <f>Source!BO63</f>
        <v/>
      </c>
      <c r="J112" s="35"/>
      <c r="K112" s="36"/>
      <c r="L112" s="37"/>
      <c r="S112">
        <f>ROUND((Source!FX63/100)*((ROUND(Source!AF63*Source!I63, 2)+ROUND(Source!AE63*Source!I63, 2))), 2)</f>
        <v>338.67</v>
      </c>
      <c r="T112">
        <f>Source!X63</f>
        <v>2070.0500000000002</v>
      </c>
      <c r="U112">
        <f>ROUND((Source!FY63/100)*((ROUND(Source!AF63*Source!I63, 2)+ROUND(Source!AE63*Source!I63, 2))), 2)</f>
        <v>167.54</v>
      </c>
      <c r="V112">
        <f>Source!Y63</f>
        <v>1024.1300000000001</v>
      </c>
    </row>
    <row r="113" spans="1:26" x14ac:dyDescent="0.2">
      <c r="C113" s="27" t="str">
        <f>"Объем: "&amp;Source!I63&amp;"=81,4/"&amp;"100"</f>
        <v>Объем: 0,814=81,4/100</v>
      </c>
    </row>
    <row r="114" spans="1:26" ht="14.25" x14ac:dyDescent="0.2">
      <c r="A114" s="51"/>
      <c r="B114" s="52"/>
      <c r="C114" s="52" t="s">
        <v>346</v>
      </c>
      <c r="D114" s="33"/>
      <c r="E114" s="13"/>
      <c r="F114" s="34">
        <f>Source!AO63</f>
        <v>380.71</v>
      </c>
      <c r="G114" s="35" t="str">
        <f>Source!DG63</f>
        <v>)*1,15</v>
      </c>
      <c r="H114" s="36">
        <f>ROUND(Source!AF63*Source!I63, 2)</f>
        <v>356.38</v>
      </c>
      <c r="I114" s="35"/>
      <c r="J114" s="35">
        <f>IF(Source!BA63&lt;&gt; 0, Source!BA63, 1)</f>
        <v>6.08</v>
      </c>
      <c r="K114" s="36">
        <f>Source!S63</f>
        <v>2166.81</v>
      </c>
      <c r="L114" s="37"/>
      <c r="R114">
        <f>H114</f>
        <v>356.38</v>
      </c>
    </row>
    <row r="115" spans="1:26" ht="14.25" x14ac:dyDescent="0.2">
      <c r="A115" s="51"/>
      <c r="B115" s="52"/>
      <c r="C115" s="52" t="s">
        <v>146</v>
      </c>
      <c r="D115" s="33"/>
      <c r="E115" s="13"/>
      <c r="F115" s="34">
        <f>Source!AM63</f>
        <v>10.41</v>
      </c>
      <c r="G115" s="35" t="str">
        <f>Source!DE63</f>
        <v>)*1,25</v>
      </c>
      <c r="H115" s="36">
        <f>ROUND(Source!AD63*Source!I63, 2)</f>
        <v>10.59</v>
      </c>
      <c r="I115" s="35"/>
      <c r="J115" s="35">
        <f>IF(Source!BB63&lt;&gt; 0, Source!BB63, 1)</f>
        <v>6.08</v>
      </c>
      <c r="K115" s="36">
        <f>Source!Q63</f>
        <v>64.400000000000006</v>
      </c>
      <c r="L115" s="37"/>
    </row>
    <row r="116" spans="1:26" ht="14.25" x14ac:dyDescent="0.2">
      <c r="A116" s="51"/>
      <c r="B116" s="52"/>
      <c r="C116" s="52" t="s">
        <v>352</v>
      </c>
      <c r="D116" s="33"/>
      <c r="E116" s="13"/>
      <c r="F116" s="34">
        <f>Source!AN63</f>
        <v>1.97</v>
      </c>
      <c r="G116" s="35" t="str">
        <f>Source!DF63</f>
        <v>)*1,25</v>
      </c>
      <c r="H116" s="46">
        <f>ROUND(Source!AE63*Source!I63, 2)</f>
        <v>2</v>
      </c>
      <c r="I116" s="35"/>
      <c r="J116" s="35">
        <f>IF(Source!BS63&lt;&gt; 0, Source!BS63, 1)</f>
        <v>6.08</v>
      </c>
      <c r="K116" s="46">
        <f>Source!R63</f>
        <v>12.19</v>
      </c>
      <c r="L116" s="37"/>
      <c r="R116">
        <f>H116</f>
        <v>2</v>
      </c>
    </row>
    <row r="117" spans="1:26" ht="14.25" x14ac:dyDescent="0.2">
      <c r="A117" s="51"/>
      <c r="B117" s="52"/>
      <c r="C117" s="52" t="s">
        <v>353</v>
      </c>
      <c r="D117" s="33"/>
      <c r="E117" s="13"/>
      <c r="F117" s="34">
        <f>Source!AL63</f>
        <v>642.55999999999995</v>
      </c>
      <c r="G117" s="35" t="str">
        <f>Source!DD63</f>
        <v/>
      </c>
      <c r="H117" s="36">
        <f>ROUND(Source!AC63*Source!I63, 2)</f>
        <v>523.04</v>
      </c>
      <c r="I117" s="35"/>
      <c r="J117" s="35">
        <f>IF(Source!BC63&lt;&gt; 0, Source!BC63, 1)</f>
        <v>6.08</v>
      </c>
      <c r="K117" s="36">
        <f>Source!P63</f>
        <v>3180.11</v>
      </c>
      <c r="L117" s="37"/>
    </row>
    <row r="118" spans="1:26" ht="14.25" x14ac:dyDescent="0.2">
      <c r="A118" s="51"/>
      <c r="B118" s="52"/>
      <c r="C118" s="52" t="s">
        <v>347</v>
      </c>
      <c r="D118" s="33" t="s">
        <v>348</v>
      </c>
      <c r="E118" s="13">
        <f>Source!BZ63</f>
        <v>105</v>
      </c>
      <c r="F118" s="71" t="str">
        <f>CONCATENATE(" )", Source!DL63, Source!FT63, "=", Source!FX63)</f>
        <v xml:space="preserve"> )*0,9=94,5</v>
      </c>
      <c r="G118" s="72"/>
      <c r="H118" s="36">
        <f>SUM(S112:S122)</f>
        <v>338.67</v>
      </c>
      <c r="I118" s="38"/>
      <c r="J118" s="31">
        <f>Source!AT63</f>
        <v>95</v>
      </c>
      <c r="K118" s="36">
        <f>SUM(T112:T122)</f>
        <v>2070.0500000000002</v>
      </c>
      <c r="L118" s="37"/>
    </row>
    <row r="119" spans="1:26" ht="14.25" x14ac:dyDescent="0.2">
      <c r="A119" s="51"/>
      <c r="B119" s="52"/>
      <c r="C119" s="52" t="s">
        <v>349</v>
      </c>
      <c r="D119" s="33" t="s">
        <v>348</v>
      </c>
      <c r="E119" s="13">
        <f>Source!CA63</f>
        <v>55</v>
      </c>
      <c r="F119" s="71" t="str">
        <f>CONCATENATE(" )", Source!DM63, Source!FU63, "=", Source!FY63)</f>
        <v xml:space="preserve"> )*0,85=46,75</v>
      </c>
      <c r="G119" s="72"/>
      <c r="H119" s="36">
        <f>SUM(U112:U122)</f>
        <v>167.54</v>
      </c>
      <c r="I119" s="38"/>
      <c r="J119" s="31">
        <f>Source!AU63</f>
        <v>47</v>
      </c>
      <c r="K119" s="36">
        <f>SUM(V112:V122)</f>
        <v>1024.1300000000001</v>
      </c>
      <c r="L119" s="37"/>
    </row>
    <row r="120" spans="1:26" ht="14.25" x14ac:dyDescent="0.2">
      <c r="A120" s="51"/>
      <c r="B120" s="52"/>
      <c r="C120" s="52" t="s">
        <v>350</v>
      </c>
      <c r="D120" s="33" t="s">
        <v>351</v>
      </c>
      <c r="E120" s="13">
        <f>Source!AQ63</f>
        <v>43.56</v>
      </c>
      <c r="F120" s="34"/>
      <c r="G120" s="35" t="str">
        <f>Source!DI63</f>
        <v>)*1,15</v>
      </c>
      <c r="H120" s="36"/>
      <c r="I120" s="35"/>
      <c r="J120" s="35"/>
      <c r="K120" s="36"/>
      <c r="L120" s="47">
        <f>Source!U63</f>
        <v>40.776516000000001</v>
      </c>
    </row>
    <row r="121" spans="1:26" ht="28.5" x14ac:dyDescent="0.2">
      <c r="A121" s="51" t="str">
        <f>Source!E65</f>
        <v>9,1</v>
      </c>
      <c r="B121" s="52" t="str">
        <f>Source!F65</f>
        <v>14.3.02.01-0014</v>
      </c>
      <c r="C121" s="52" t="str">
        <f>Source!G65</f>
        <v>Краска акриловая Alpina RENOVA, CAPAROL водно-дисперсионная</v>
      </c>
      <c r="D121" s="33" t="str">
        <f>Source!H65</f>
        <v>т</v>
      </c>
      <c r="E121" s="13">
        <f>Source!I65</f>
        <v>2.4420000000000001E-2</v>
      </c>
      <c r="F121" s="34">
        <f>Source!AL65+Source!AM65+Source!AO65</f>
        <v>7627.37</v>
      </c>
      <c r="G121" s="48" t="s">
        <v>4</v>
      </c>
      <c r="H121" s="36">
        <f>ROUND(Source!AC65*Source!I65, 2)+ROUND(Source!AD65*Source!I65, 2)+ROUND(Source!AF65*Source!I65, 2)</f>
        <v>186.26</v>
      </c>
      <c r="I121" s="35"/>
      <c r="J121" s="35">
        <f>IF(Source!BC65&lt;&gt; 0, Source!BC65, 1)</f>
        <v>6.08</v>
      </c>
      <c r="K121" s="36">
        <f>Source!O65</f>
        <v>1132.46</v>
      </c>
      <c r="L121" s="37"/>
      <c r="S121">
        <f>ROUND((Source!FX65/100)*((ROUND(Source!AF65*Source!I65, 2)+ROUND(Source!AE65*Source!I65, 2))), 2)</f>
        <v>0</v>
      </c>
      <c r="T121">
        <f>Source!X65</f>
        <v>0</v>
      </c>
      <c r="U121">
        <f>ROUND((Source!FY65/100)*((ROUND(Source!AF65*Source!I65, 2)+ROUND(Source!AE65*Source!I65, 2))), 2)</f>
        <v>0</v>
      </c>
      <c r="V121">
        <f>Source!Y65</f>
        <v>0</v>
      </c>
      <c r="W121">
        <f>IF(Source!BI65&lt;=1,H121, 0)</f>
        <v>186.26</v>
      </c>
      <c r="X121">
        <f>IF(Source!BI65=2,H121, 0)</f>
        <v>0</v>
      </c>
      <c r="Y121">
        <f>IF(Source!BI65=3,H121, 0)</f>
        <v>0</v>
      </c>
      <c r="Z121">
        <f>IF(Source!BI65=4,H121, 0)</f>
        <v>0</v>
      </c>
    </row>
    <row r="122" spans="1:26" ht="28.5" x14ac:dyDescent="0.2">
      <c r="A122" s="53" t="str">
        <f>Source!E67</f>
        <v>9,2</v>
      </c>
      <c r="B122" s="54" t="str">
        <f>Source!F67</f>
        <v>14.3.01.02-0102</v>
      </c>
      <c r="C122" s="54" t="str">
        <f>Source!G67</f>
        <v>Грунтовка: водно-дисперсионная "БИРСС Бетон-контакт"</v>
      </c>
      <c r="D122" s="39" t="str">
        <f>Source!H67</f>
        <v>т</v>
      </c>
      <c r="E122" s="40">
        <f>Source!I67</f>
        <v>1.6279999999999999E-2</v>
      </c>
      <c r="F122" s="41">
        <f>Source!AL67+Source!AM67+Source!AO67</f>
        <v>18390.16</v>
      </c>
      <c r="G122" s="49" t="s">
        <v>4</v>
      </c>
      <c r="H122" s="43">
        <f>ROUND(Source!AC67*Source!I67, 2)+ROUND(Source!AD67*Source!I67, 2)+ROUND(Source!AF67*Source!I67, 2)</f>
        <v>299.39</v>
      </c>
      <c r="I122" s="42"/>
      <c r="J122" s="42">
        <f>IF(Source!BC67&lt;&gt; 0, Source!BC67, 1)</f>
        <v>6.08</v>
      </c>
      <c r="K122" s="43">
        <f>Source!O67</f>
        <v>1820.3</v>
      </c>
      <c r="L122" s="50"/>
      <c r="S122">
        <f>ROUND((Source!FX67/100)*((ROUND(Source!AF67*Source!I67, 2)+ROUND(Source!AE67*Source!I67, 2))), 2)</f>
        <v>0</v>
      </c>
      <c r="T122">
        <f>Source!X67</f>
        <v>0</v>
      </c>
      <c r="U122">
        <f>ROUND((Source!FY67/100)*((ROUND(Source!AF67*Source!I67, 2)+ROUND(Source!AE67*Source!I67, 2))), 2)</f>
        <v>0</v>
      </c>
      <c r="V122">
        <f>Source!Y67</f>
        <v>0</v>
      </c>
      <c r="W122">
        <f>IF(Source!BI67&lt;=1,H122, 0)</f>
        <v>299.39</v>
      </c>
      <c r="X122">
        <f>IF(Source!BI67=2,H122, 0)</f>
        <v>0</v>
      </c>
      <c r="Y122">
        <f>IF(Source!BI67=3,H122, 0)</f>
        <v>0</v>
      </c>
      <c r="Z122">
        <f>IF(Source!BI67=4,H122, 0)</f>
        <v>0</v>
      </c>
    </row>
    <row r="123" spans="1:26" ht="15" x14ac:dyDescent="0.25">
      <c r="G123" s="73">
        <f>H114+H115+H117+H118+H119+SUM(H121:H122)</f>
        <v>1881.87</v>
      </c>
      <c r="H123" s="73"/>
      <c r="J123" s="73">
        <f>K114+K115+K117+K118+K119+SUM(K121:K122)</f>
        <v>11458.26</v>
      </c>
      <c r="K123" s="73"/>
      <c r="L123" s="45">
        <f>Source!U63</f>
        <v>40.776516000000001</v>
      </c>
      <c r="O123" s="28">
        <f>G123</f>
        <v>1881.87</v>
      </c>
      <c r="P123" s="28">
        <f>J123</f>
        <v>11458.26</v>
      </c>
      <c r="Q123" s="28">
        <f>L123</f>
        <v>40.776516000000001</v>
      </c>
      <c r="W123">
        <f>IF(Source!BI63&lt;=1,H114+H115+H117+H118+H119, 0)</f>
        <v>1396.22</v>
      </c>
      <c r="X123">
        <f>IF(Source!BI63=2,H114+H115+H117+H118+H119, 0)</f>
        <v>0</v>
      </c>
      <c r="Y123">
        <f>IF(Source!BI63=3,H114+H115+H117+H118+H119, 0)</f>
        <v>0</v>
      </c>
      <c r="Z123">
        <f>IF(Source!BI63=4,H114+H115+H117+H118+H119, 0)</f>
        <v>0</v>
      </c>
    </row>
    <row r="124" spans="1:26" ht="42.75" x14ac:dyDescent="0.2">
      <c r="A124" s="51" t="str">
        <f>Source!E69</f>
        <v>10</v>
      </c>
      <c r="B124" s="52" t="str">
        <f>Source!F69</f>
        <v>15-04-007-02</v>
      </c>
      <c r="C124" s="52" t="str">
        <f>Source!G69</f>
        <v>Окраска водно-дисперсионными акриловыми составами улучшенная по штукатурке потолков</v>
      </c>
      <c r="D124" s="33" t="str">
        <f>Source!H69</f>
        <v>100 м2</v>
      </c>
      <c r="E124" s="13">
        <f>Source!I69</f>
        <v>0.39900000000000002</v>
      </c>
      <c r="F124" s="34">
        <f>Source!AL69+Source!AM69+Source!AO69</f>
        <v>1249.83</v>
      </c>
      <c r="G124" s="35"/>
      <c r="H124" s="36"/>
      <c r="I124" s="35" t="str">
        <f>Source!BO69</f>
        <v/>
      </c>
      <c r="J124" s="35"/>
      <c r="K124" s="36"/>
      <c r="L124" s="37"/>
      <c r="S124">
        <f>ROUND((Source!FX69/100)*((ROUND(Source!AF69*Source!I69, 2)+ROUND(Source!AE69*Source!I69, 2))), 2)</f>
        <v>239.74</v>
      </c>
      <c r="T124">
        <f>Source!X69</f>
        <v>1465.34</v>
      </c>
      <c r="U124">
        <f>ROUND((Source!FY69/100)*((ROUND(Source!AF69*Source!I69, 2)+ROUND(Source!AE69*Source!I69, 2))), 2)</f>
        <v>118.6</v>
      </c>
      <c r="V124">
        <f>Source!Y69</f>
        <v>724.96</v>
      </c>
    </row>
    <row r="125" spans="1:26" x14ac:dyDescent="0.2">
      <c r="C125" s="27" t="str">
        <f>"Объем: "&amp;Source!I69&amp;"=39,9/"&amp;"100"</f>
        <v>Объем: 0,399=39,9/100</v>
      </c>
    </row>
    <row r="126" spans="1:26" ht="14.25" x14ac:dyDescent="0.2">
      <c r="A126" s="51"/>
      <c r="B126" s="52"/>
      <c r="C126" s="52" t="s">
        <v>346</v>
      </c>
      <c r="D126" s="33"/>
      <c r="E126" s="13"/>
      <c r="F126" s="34">
        <f>Source!AO69</f>
        <v>550.62</v>
      </c>
      <c r="G126" s="35" t="str">
        <f>Source!DG69</f>
        <v>)*1,15</v>
      </c>
      <c r="H126" s="36">
        <f>ROUND(Source!AF69*Source!I69, 2)</f>
        <v>252.65</v>
      </c>
      <c r="I126" s="35"/>
      <c r="J126" s="35">
        <f>IF(Source!BA69&lt;&gt; 0, Source!BA69, 1)</f>
        <v>6.08</v>
      </c>
      <c r="K126" s="36">
        <f>Source!S69</f>
        <v>1536.12</v>
      </c>
      <c r="L126" s="37"/>
      <c r="R126">
        <f>H126</f>
        <v>252.65</v>
      </c>
    </row>
    <row r="127" spans="1:26" ht="14.25" x14ac:dyDescent="0.2">
      <c r="A127" s="51"/>
      <c r="B127" s="52"/>
      <c r="C127" s="52" t="s">
        <v>146</v>
      </c>
      <c r="D127" s="33"/>
      <c r="E127" s="13"/>
      <c r="F127" s="34">
        <f>Source!AM69</f>
        <v>11.06</v>
      </c>
      <c r="G127" s="35" t="str">
        <f>Source!DE69</f>
        <v>)*1,25</v>
      </c>
      <c r="H127" s="36">
        <f>ROUND(Source!AD69*Source!I69, 2)</f>
        <v>5.52</v>
      </c>
      <c r="I127" s="35"/>
      <c r="J127" s="35">
        <f>IF(Source!BB69&lt;&gt; 0, Source!BB69, 1)</f>
        <v>6.08</v>
      </c>
      <c r="K127" s="36">
        <f>Source!Q69</f>
        <v>33.54</v>
      </c>
      <c r="L127" s="37"/>
    </row>
    <row r="128" spans="1:26" ht="14.25" x14ac:dyDescent="0.2">
      <c r="A128" s="51"/>
      <c r="B128" s="52"/>
      <c r="C128" s="52" t="s">
        <v>352</v>
      </c>
      <c r="D128" s="33"/>
      <c r="E128" s="13"/>
      <c r="F128" s="34">
        <f>Source!AN69</f>
        <v>2.09</v>
      </c>
      <c r="G128" s="35" t="str">
        <f>Source!DF69</f>
        <v>)*1,25</v>
      </c>
      <c r="H128" s="46">
        <f>ROUND(Source!AE69*Source!I69, 2)</f>
        <v>1.04</v>
      </c>
      <c r="I128" s="35"/>
      <c r="J128" s="35">
        <f>IF(Source!BS69&lt;&gt; 0, Source!BS69, 1)</f>
        <v>6.08</v>
      </c>
      <c r="K128" s="46">
        <f>Source!R69</f>
        <v>6.34</v>
      </c>
      <c r="L128" s="37"/>
      <c r="R128">
        <f>H128</f>
        <v>1.04</v>
      </c>
    </row>
    <row r="129" spans="1:26" ht="14.25" x14ac:dyDescent="0.2">
      <c r="A129" s="51"/>
      <c r="B129" s="52"/>
      <c r="C129" s="52" t="s">
        <v>353</v>
      </c>
      <c r="D129" s="33"/>
      <c r="E129" s="13"/>
      <c r="F129" s="34">
        <f>Source!AL69</f>
        <v>688.15</v>
      </c>
      <c r="G129" s="35" t="str">
        <f>Source!DD69</f>
        <v/>
      </c>
      <c r="H129" s="36">
        <f>ROUND(Source!AC69*Source!I69, 2)</f>
        <v>274.57</v>
      </c>
      <c r="I129" s="35"/>
      <c r="J129" s="35">
        <f>IF(Source!BC69&lt;&gt; 0, Source!BC69, 1)</f>
        <v>6.08</v>
      </c>
      <c r="K129" s="36">
        <f>Source!P69</f>
        <v>1669.4</v>
      </c>
      <c r="L129" s="37"/>
    </row>
    <row r="130" spans="1:26" ht="14.25" x14ac:dyDescent="0.2">
      <c r="A130" s="51"/>
      <c r="B130" s="52"/>
      <c r="C130" s="52" t="s">
        <v>347</v>
      </c>
      <c r="D130" s="33" t="s">
        <v>348</v>
      </c>
      <c r="E130" s="13">
        <f>Source!BZ69</f>
        <v>105</v>
      </c>
      <c r="F130" s="71" t="str">
        <f>CONCATENATE(" )", Source!DL69, Source!FT69, "=", Source!FX69)</f>
        <v xml:space="preserve"> )*0,9=94,5</v>
      </c>
      <c r="G130" s="72"/>
      <c r="H130" s="36">
        <f>SUM(S124:S134)</f>
        <v>239.74</v>
      </c>
      <c r="I130" s="38"/>
      <c r="J130" s="31">
        <f>Source!AT69</f>
        <v>95</v>
      </c>
      <c r="K130" s="36">
        <f>SUM(T124:T134)</f>
        <v>1465.34</v>
      </c>
      <c r="L130" s="37"/>
    </row>
    <row r="131" spans="1:26" ht="14.25" x14ac:dyDescent="0.2">
      <c r="A131" s="51"/>
      <c r="B131" s="52"/>
      <c r="C131" s="52" t="s">
        <v>349</v>
      </c>
      <c r="D131" s="33" t="s">
        <v>348</v>
      </c>
      <c r="E131" s="13">
        <f>Source!CA69</f>
        <v>55</v>
      </c>
      <c r="F131" s="71" t="str">
        <f>CONCATENATE(" )", Source!DM69, Source!FU69, "=", Source!FY69)</f>
        <v xml:space="preserve"> )*0,85=46,75</v>
      </c>
      <c r="G131" s="72"/>
      <c r="H131" s="36">
        <f>SUM(U124:U134)</f>
        <v>118.6</v>
      </c>
      <c r="I131" s="38"/>
      <c r="J131" s="31">
        <f>Source!AU69</f>
        <v>47</v>
      </c>
      <c r="K131" s="36">
        <f>SUM(V124:V134)</f>
        <v>724.96</v>
      </c>
      <c r="L131" s="37"/>
    </row>
    <row r="132" spans="1:26" ht="14.25" x14ac:dyDescent="0.2">
      <c r="A132" s="51"/>
      <c r="B132" s="52"/>
      <c r="C132" s="52" t="s">
        <v>350</v>
      </c>
      <c r="D132" s="33" t="s">
        <v>351</v>
      </c>
      <c r="E132" s="13">
        <f>Source!AQ69</f>
        <v>63</v>
      </c>
      <c r="F132" s="34"/>
      <c r="G132" s="35" t="str">
        <f>Source!DI69</f>
        <v>)*1,15</v>
      </c>
      <c r="H132" s="36"/>
      <c r="I132" s="35"/>
      <c r="J132" s="35"/>
      <c r="K132" s="36"/>
      <c r="L132" s="47">
        <f>Source!U69</f>
        <v>28.907549999999997</v>
      </c>
    </row>
    <row r="133" spans="1:26" ht="28.5" x14ac:dyDescent="0.2">
      <c r="A133" s="51" t="str">
        <f>Source!E71</f>
        <v>10,1</v>
      </c>
      <c r="B133" s="52" t="str">
        <f>Source!F71</f>
        <v>14.3.02.01-0014</v>
      </c>
      <c r="C133" s="52" t="str">
        <f>Source!G71</f>
        <v>Краска акриловая Alpina RENOVA, CAPAROL водно-дисперсионная</v>
      </c>
      <c r="D133" s="33" t="str">
        <f>Source!H71</f>
        <v>т</v>
      </c>
      <c r="E133" s="13">
        <f>Source!I71</f>
        <v>1.3166999999999998E-2</v>
      </c>
      <c r="F133" s="34">
        <f>Source!AL71+Source!AM71+Source!AO71</f>
        <v>7627.37</v>
      </c>
      <c r="G133" s="48" t="s">
        <v>4</v>
      </c>
      <c r="H133" s="36">
        <f>ROUND(Source!AC71*Source!I71, 2)+ROUND(Source!AD71*Source!I71, 2)+ROUND(Source!AF71*Source!I71, 2)</f>
        <v>100.43</v>
      </c>
      <c r="I133" s="35"/>
      <c r="J133" s="35">
        <f>IF(Source!BC71&lt;&gt; 0, Source!BC71, 1)</f>
        <v>6.08</v>
      </c>
      <c r="K133" s="36">
        <f>Source!O71</f>
        <v>610.61</v>
      </c>
      <c r="L133" s="37"/>
      <c r="S133">
        <f>ROUND((Source!FX71/100)*((ROUND(Source!AF71*Source!I71, 2)+ROUND(Source!AE71*Source!I71, 2))), 2)</f>
        <v>0</v>
      </c>
      <c r="T133">
        <f>Source!X71</f>
        <v>0</v>
      </c>
      <c r="U133">
        <f>ROUND((Source!FY71/100)*((ROUND(Source!AF71*Source!I71, 2)+ROUND(Source!AE71*Source!I71, 2))), 2)</f>
        <v>0</v>
      </c>
      <c r="V133">
        <f>Source!Y71</f>
        <v>0</v>
      </c>
      <c r="W133">
        <f>IF(Source!BI71&lt;=1,H133, 0)</f>
        <v>100.43</v>
      </c>
      <c r="X133">
        <f>IF(Source!BI71=2,H133, 0)</f>
        <v>0</v>
      </c>
      <c r="Y133">
        <f>IF(Source!BI71=3,H133, 0)</f>
        <v>0</v>
      </c>
      <c r="Z133">
        <f>IF(Source!BI71=4,H133, 0)</f>
        <v>0</v>
      </c>
    </row>
    <row r="134" spans="1:26" ht="28.5" x14ac:dyDescent="0.2">
      <c r="A134" s="53" t="str">
        <f>Source!E73</f>
        <v>10,2</v>
      </c>
      <c r="B134" s="54" t="str">
        <f>Source!F73</f>
        <v>14.3.01.02-0102</v>
      </c>
      <c r="C134" s="54" t="str">
        <f>Source!G73</f>
        <v>Грунтовка: водно-дисперсионная "БИРСС Бетон-контакт"</v>
      </c>
      <c r="D134" s="39" t="str">
        <f>Source!H73</f>
        <v>т</v>
      </c>
      <c r="E134" s="40">
        <f>Source!I73</f>
        <v>8.7779999999999993E-3</v>
      </c>
      <c r="F134" s="41">
        <f>Source!AL73+Source!AM73+Source!AO73</f>
        <v>18390.16</v>
      </c>
      <c r="G134" s="49" t="s">
        <v>4</v>
      </c>
      <c r="H134" s="43">
        <f>ROUND(Source!AC73*Source!I73, 2)+ROUND(Source!AD73*Source!I73, 2)+ROUND(Source!AF73*Source!I73, 2)</f>
        <v>161.43</v>
      </c>
      <c r="I134" s="42"/>
      <c r="J134" s="42">
        <f>IF(Source!BC73&lt;&gt; 0, Source!BC73, 1)</f>
        <v>6.08</v>
      </c>
      <c r="K134" s="43">
        <f>Source!O73</f>
        <v>981.49</v>
      </c>
      <c r="L134" s="50"/>
      <c r="S134">
        <f>ROUND((Source!FX73/100)*((ROUND(Source!AF73*Source!I73, 2)+ROUND(Source!AE73*Source!I73, 2))), 2)</f>
        <v>0</v>
      </c>
      <c r="T134">
        <f>Source!X73</f>
        <v>0</v>
      </c>
      <c r="U134">
        <f>ROUND((Source!FY73/100)*((ROUND(Source!AF73*Source!I73, 2)+ROUND(Source!AE73*Source!I73, 2))), 2)</f>
        <v>0</v>
      </c>
      <c r="V134">
        <f>Source!Y73</f>
        <v>0</v>
      </c>
      <c r="W134">
        <f>IF(Source!BI73&lt;=1,H134, 0)</f>
        <v>161.43</v>
      </c>
      <c r="X134">
        <f>IF(Source!BI73=2,H134, 0)</f>
        <v>0</v>
      </c>
      <c r="Y134">
        <f>IF(Source!BI73=3,H134, 0)</f>
        <v>0</v>
      </c>
      <c r="Z134">
        <f>IF(Source!BI73=4,H134, 0)</f>
        <v>0</v>
      </c>
    </row>
    <row r="135" spans="1:26" ht="15" x14ac:dyDescent="0.25">
      <c r="G135" s="73">
        <f>H126+H127+H129+H130+H131+SUM(H133:H134)</f>
        <v>1152.94</v>
      </c>
      <c r="H135" s="73"/>
      <c r="J135" s="73">
        <f>K126+K127+K129+K130+K131+SUM(K133:K134)</f>
        <v>7021.4599999999991</v>
      </c>
      <c r="K135" s="73"/>
      <c r="L135" s="45">
        <f>Source!U69</f>
        <v>28.907549999999997</v>
      </c>
      <c r="O135" s="28">
        <f>G135</f>
        <v>1152.94</v>
      </c>
      <c r="P135" s="28">
        <f>J135</f>
        <v>7021.4599999999991</v>
      </c>
      <c r="Q135" s="28">
        <f>L135</f>
        <v>28.907549999999997</v>
      </c>
      <c r="W135">
        <f>IF(Source!BI69&lt;=1,H126+H127+H129+H130+H131, 0)</f>
        <v>891.08</v>
      </c>
      <c r="X135">
        <f>IF(Source!BI69=2,H126+H127+H129+H130+H131, 0)</f>
        <v>0</v>
      </c>
      <c r="Y135">
        <f>IF(Source!BI69=3,H126+H127+H129+H130+H131, 0)</f>
        <v>0</v>
      </c>
      <c r="Z135">
        <f>IF(Source!BI69=4,H126+H127+H129+H130+H131, 0)</f>
        <v>0</v>
      </c>
    </row>
    <row r="137" spans="1:26" ht="15" x14ac:dyDescent="0.25">
      <c r="A137" s="76" t="str">
        <f>CONCATENATE("Итого по локальной смете: ",IF(Source!G75&lt;&gt;"Новая локальная смета", Source!G75, ""))</f>
        <v xml:space="preserve">Итого по локальной смете: </v>
      </c>
      <c r="B137" s="76"/>
      <c r="C137" s="76"/>
      <c r="D137" s="76"/>
      <c r="E137" s="76"/>
      <c r="F137" s="76"/>
      <c r="G137" s="75">
        <f>SUM(O28:O136)</f>
        <v>20217.259999999998</v>
      </c>
      <c r="H137" s="75"/>
      <c r="I137" s="30"/>
      <c r="J137" s="75">
        <f>SUM(P28:P136)</f>
        <v>123006.73999999999</v>
      </c>
      <c r="K137" s="75"/>
      <c r="L137" s="45">
        <f>SUM(Q28:Q136)</f>
        <v>275.22874949999999</v>
      </c>
    </row>
    <row r="139" spans="1:26" ht="14.25" x14ac:dyDescent="0.2">
      <c r="C139" s="78" t="str">
        <f>Source!H135</f>
        <v>Всего</v>
      </c>
      <c r="D139" s="78"/>
      <c r="E139" s="78"/>
      <c r="F139" s="78"/>
      <c r="G139" s="78"/>
      <c r="H139" s="78"/>
      <c r="I139" s="78"/>
      <c r="J139" s="79">
        <f>IF(Source!P135=0, "", Source!P135)</f>
        <v>123006.74</v>
      </c>
      <c r="K139" s="79"/>
    </row>
    <row r="140" spans="1:26" ht="14.25" x14ac:dyDescent="0.2">
      <c r="C140" s="78" t="str">
        <f>Source!H136</f>
        <v>Итого НДС 18%</v>
      </c>
      <c r="D140" s="78"/>
      <c r="E140" s="78"/>
      <c r="F140" s="78"/>
      <c r="G140" s="78"/>
      <c r="H140" s="78"/>
      <c r="I140" s="78"/>
      <c r="J140" s="79">
        <f>IF(Source!P136=0, "", Source!P136)</f>
        <v>22141.21</v>
      </c>
      <c r="K140" s="79"/>
    </row>
    <row r="141" spans="1:26" ht="14.25" x14ac:dyDescent="0.2">
      <c r="C141" s="78" t="str">
        <f>Source!H137</f>
        <v>Всего по смете</v>
      </c>
      <c r="D141" s="78"/>
      <c r="E141" s="78"/>
      <c r="F141" s="78"/>
      <c r="G141" s="78"/>
      <c r="H141" s="78"/>
      <c r="I141" s="78"/>
      <c r="J141" s="79">
        <f>IF(Source!P137=0, "", Source!P137)</f>
        <v>145147.95000000001</v>
      </c>
      <c r="K141" s="79"/>
    </row>
    <row r="144" spans="1:26" ht="14.25" x14ac:dyDescent="0.2">
      <c r="A144" s="29" t="s">
        <v>354</v>
      </c>
      <c r="B144" s="29"/>
      <c r="C144" s="13"/>
      <c r="D144" s="70"/>
      <c r="E144" s="70"/>
      <c r="F144" s="70"/>
      <c r="G144" s="70"/>
      <c r="H144" s="70"/>
      <c r="I144" s="14"/>
      <c r="J144" s="14"/>
      <c r="K144" s="14"/>
      <c r="L144" s="14"/>
    </row>
    <row r="145" spans="1:12" ht="14.25" x14ac:dyDescent="0.2">
      <c r="A145" s="14"/>
      <c r="B145" s="14"/>
      <c r="C145" s="13"/>
      <c r="D145" s="77"/>
      <c r="E145" s="77"/>
      <c r="F145" s="77"/>
      <c r="G145" s="77"/>
      <c r="H145" s="77"/>
      <c r="I145" s="14"/>
      <c r="J145" s="14"/>
      <c r="K145" s="14"/>
      <c r="L145" s="14"/>
    </row>
    <row r="146" spans="1:12" ht="14.25" x14ac:dyDescent="0.2">
      <c r="A146" s="14"/>
      <c r="B146" s="14"/>
      <c r="C146" s="13"/>
      <c r="D146" s="70"/>
      <c r="E146" s="70"/>
      <c r="F146" s="70"/>
      <c r="G146" s="70"/>
      <c r="H146" s="70"/>
      <c r="I146" s="14"/>
      <c r="J146" s="14"/>
      <c r="K146" s="14"/>
      <c r="L146" s="14"/>
    </row>
    <row r="147" spans="1:12" ht="14.25" x14ac:dyDescent="0.2">
      <c r="A147" s="29" t="s">
        <v>354</v>
      </c>
      <c r="B147" s="29"/>
      <c r="C147" s="13"/>
      <c r="D147" s="70"/>
      <c r="E147" s="70"/>
      <c r="F147" s="70"/>
      <c r="G147" s="70"/>
      <c r="H147" s="70"/>
      <c r="I147" s="14"/>
      <c r="J147" s="14"/>
      <c r="K147" s="14"/>
      <c r="L147" s="14"/>
    </row>
    <row r="148" spans="1:12" ht="14.25" x14ac:dyDescent="0.2">
      <c r="A148" s="14"/>
      <c r="B148" s="14"/>
      <c r="C148" s="14"/>
      <c r="D148" s="77"/>
      <c r="E148" s="77"/>
      <c r="F148" s="77"/>
      <c r="G148" s="77"/>
      <c r="H148" s="77"/>
      <c r="I148" s="14"/>
      <c r="J148" s="14"/>
      <c r="K148" s="14"/>
      <c r="L148" s="14"/>
    </row>
  </sheetData>
  <mergeCells count="87">
    <mergeCell ref="B3:E3"/>
    <mergeCell ref="H3:L3"/>
    <mergeCell ref="B4:E4"/>
    <mergeCell ref="H4:L4"/>
    <mergeCell ref="B6:K6"/>
    <mergeCell ref="B8:K8"/>
    <mergeCell ref="B10:K10"/>
    <mergeCell ref="B11:K11"/>
    <mergeCell ref="G15:H15"/>
    <mergeCell ref="I15:J15"/>
    <mergeCell ref="C16:F16"/>
    <mergeCell ref="G16:H16"/>
    <mergeCell ref="I16:J16"/>
    <mergeCell ref="K16:L16"/>
    <mergeCell ref="C17:F17"/>
    <mergeCell ref="G17:H17"/>
    <mergeCell ref="I17:J17"/>
    <mergeCell ref="K17:L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D148:H148"/>
    <mergeCell ref="C139:I139"/>
    <mergeCell ref="J139:K139"/>
    <mergeCell ref="C22:F22"/>
    <mergeCell ref="G22:H22"/>
    <mergeCell ref="I22:J22"/>
    <mergeCell ref="K22:L22"/>
    <mergeCell ref="A24:L24"/>
    <mergeCell ref="J99:K99"/>
    <mergeCell ref="G99:H99"/>
    <mergeCell ref="F97:G97"/>
    <mergeCell ref="C140:I140"/>
    <mergeCell ref="J140:K140"/>
    <mergeCell ref="C141:I141"/>
    <mergeCell ref="J141:K141"/>
    <mergeCell ref="D145:H145"/>
    <mergeCell ref="J64:K64"/>
    <mergeCell ref="G64:H64"/>
    <mergeCell ref="F62:G62"/>
    <mergeCell ref="F61:G61"/>
    <mergeCell ref="F96:G96"/>
    <mergeCell ref="J93:K93"/>
    <mergeCell ref="G93:H93"/>
    <mergeCell ref="F85:G85"/>
    <mergeCell ref="F84:G84"/>
    <mergeCell ref="J77:K77"/>
    <mergeCell ref="G77:H77"/>
    <mergeCell ref="F119:G119"/>
    <mergeCell ref="J35:K35"/>
    <mergeCell ref="G35:H35"/>
    <mergeCell ref="A28:L28"/>
    <mergeCell ref="G137:H137"/>
    <mergeCell ref="J137:K137"/>
    <mergeCell ref="A137:F137"/>
    <mergeCell ref="J135:K135"/>
    <mergeCell ref="J54:K54"/>
    <mergeCell ref="G54:H54"/>
    <mergeCell ref="F52:G52"/>
    <mergeCell ref="F51:G51"/>
    <mergeCell ref="J44:K44"/>
    <mergeCell ref="G44:H44"/>
    <mergeCell ref="F72:G72"/>
    <mergeCell ref="F71:G71"/>
    <mergeCell ref="G135:H135"/>
    <mergeCell ref="F131:G131"/>
    <mergeCell ref="F130:G130"/>
    <mergeCell ref="J123:K123"/>
    <mergeCell ref="G123:H123"/>
    <mergeCell ref="F118:G118"/>
    <mergeCell ref="J111:K111"/>
    <mergeCell ref="G111:H111"/>
    <mergeCell ref="F107:G107"/>
    <mergeCell ref="F106:G106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7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0"/>
      <c r="B2" s="30"/>
      <c r="C2" s="30"/>
      <c r="D2" s="30"/>
      <c r="E2" s="115" t="s">
        <v>355</v>
      </c>
      <c r="F2" s="115"/>
      <c r="G2" s="115"/>
      <c r="H2" s="115"/>
    </row>
    <row r="3" spans="1:31" ht="14.25" x14ac:dyDescent="0.2">
      <c r="A3" s="14"/>
      <c r="B3" s="14"/>
      <c r="C3" s="14"/>
      <c r="D3" s="14"/>
      <c r="E3" s="115" t="s">
        <v>356</v>
      </c>
      <c r="F3" s="115"/>
      <c r="G3" s="115"/>
      <c r="H3" s="115"/>
    </row>
    <row r="4" spans="1:31" ht="14.25" x14ac:dyDescent="0.2">
      <c r="A4" s="14"/>
      <c r="B4" s="14"/>
      <c r="C4" s="14"/>
      <c r="D4" s="14"/>
      <c r="E4" s="115" t="s">
        <v>357</v>
      </c>
      <c r="F4" s="115"/>
      <c r="G4" s="115"/>
      <c r="H4" s="115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99" t="s">
        <v>358</v>
      </c>
      <c r="H6" s="100"/>
    </row>
    <row r="7" spans="1:31" ht="14.25" x14ac:dyDescent="0.2">
      <c r="A7" s="14"/>
      <c r="B7" s="14"/>
      <c r="C7" s="14"/>
      <c r="D7" s="14"/>
      <c r="E7" s="14"/>
      <c r="F7" s="13" t="s">
        <v>359</v>
      </c>
      <c r="G7" s="116" t="s">
        <v>360</v>
      </c>
      <c r="H7" s="100"/>
    </row>
    <row r="8" spans="1:31" ht="14.25" x14ac:dyDescent="0.2">
      <c r="A8" s="14"/>
      <c r="B8" s="14"/>
      <c r="C8" s="14"/>
      <c r="D8" s="14"/>
      <c r="E8" s="14"/>
      <c r="F8" s="14"/>
      <c r="G8" s="99" t="str">
        <f>IF(Source!AT15 &lt;&gt; "", Source!AT15, "")</f>
        <v/>
      </c>
      <c r="H8" s="100"/>
    </row>
    <row r="9" spans="1:31" ht="14.25" x14ac:dyDescent="0.2">
      <c r="A9" s="14" t="s">
        <v>361</v>
      </c>
      <c r="B9" s="14"/>
      <c r="C9" s="112" t="str">
        <f>IF(Source!BA15 &lt;&gt; "", Source!BA15, IF(Source!AU15 &lt;&gt; "", Source!AU15, ""))</f>
        <v/>
      </c>
      <c r="D9" s="112"/>
      <c r="E9" s="112"/>
      <c r="F9" s="13" t="s">
        <v>362</v>
      </c>
      <c r="G9" s="110"/>
      <c r="H9" s="111"/>
    </row>
    <row r="10" spans="1:31" ht="14.25" x14ac:dyDescent="0.2">
      <c r="A10" s="14"/>
      <c r="B10" s="14"/>
      <c r="C10" s="97" t="s">
        <v>363</v>
      </c>
      <c r="D10" s="97"/>
      <c r="E10" s="97"/>
      <c r="F10" s="14"/>
      <c r="G10" s="99" t="str">
        <f>IF(Source!AK15 &lt;&gt; "", Source!AK15, "")</f>
        <v/>
      </c>
      <c r="H10" s="100"/>
    </row>
    <row r="11" spans="1:31" ht="14.25" x14ac:dyDescent="0.2">
      <c r="A11" s="14" t="s">
        <v>364</v>
      </c>
      <c r="B11" s="14"/>
      <c r="C11" s="112" t="str">
        <f>IF(Source!AX12&lt;&gt; "", Source!AX12, IF(Source!AJ12 &lt;&gt; "", Source!AJ12, ""))</f>
        <v/>
      </c>
      <c r="D11" s="112"/>
      <c r="E11" s="112"/>
      <c r="F11" s="13" t="s">
        <v>362</v>
      </c>
      <c r="G11" s="110"/>
      <c r="H11" s="111"/>
    </row>
    <row r="12" spans="1:31" ht="14.25" x14ac:dyDescent="0.2">
      <c r="A12" s="14"/>
      <c r="B12" s="14"/>
      <c r="C12" s="97" t="s">
        <v>363</v>
      </c>
      <c r="D12" s="97"/>
      <c r="E12" s="97"/>
      <c r="F12" s="14"/>
      <c r="G12" s="99" t="str">
        <f>IF(Source!AO15 &lt;&gt; "", Source!AO15, "")</f>
        <v/>
      </c>
      <c r="H12" s="100"/>
    </row>
    <row r="13" spans="1:31" ht="14.25" x14ac:dyDescent="0.2">
      <c r="A13" s="14" t="s">
        <v>365</v>
      </c>
      <c r="B13" s="14"/>
      <c r="C13" s="112" t="str">
        <f>IF(Source!AY12&lt;&gt; "", Source!AY12, IF(Source!AN12 &lt;&gt; "", Source!AN12, ""))</f>
        <v/>
      </c>
      <c r="D13" s="112"/>
      <c r="E13" s="112"/>
      <c r="F13" s="13" t="s">
        <v>362</v>
      </c>
      <c r="G13" s="110"/>
      <c r="H13" s="111"/>
    </row>
    <row r="14" spans="1:31" ht="14.25" x14ac:dyDescent="0.2">
      <c r="A14" s="14"/>
      <c r="B14" s="14"/>
      <c r="C14" s="97" t="s">
        <v>363</v>
      </c>
      <c r="D14" s="97"/>
      <c r="E14" s="97"/>
      <c r="F14" s="14"/>
      <c r="G14" s="99" t="str">
        <f>IF(Source!CO15 &lt;&gt; "", Source!CO15, "")</f>
        <v/>
      </c>
      <c r="H14" s="100"/>
    </row>
    <row r="15" spans="1:31" ht="14.25" x14ac:dyDescent="0.2">
      <c r="A15" s="14" t="s">
        <v>366</v>
      </c>
      <c r="B15" s="14"/>
      <c r="C15" s="112" t="s">
        <v>5</v>
      </c>
      <c r="D15" s="112"/>
      <c r="E15" s="112"/>
      <c r="F15" s="14"/>
      <c r="G15" s="110"/>
      <c r="H15" s="111"/>
      <c r="AE15" s="32" t="s">
        <v>5</v>
      </c>
    </row>
    <row r="16" spans="1:31" ht="14.25" x14ac:dyDescent="0.2">
      <c r="A16" s="14"/>
      <c r="B16" s="14"/>
      <c r="C16" s="97" t="s">
        <v>367</v>
      </c>
      <c r="D16" s="97"/>
      <c r="E16" s="97"/>
      <c r="F16" s="14"/>
      <c r="G16" s="99" t="str">
        <f>IF(Source!CP15 &lt;&gt; "", Source!CP15, "")</f>
        <v/>
      </c>
      <c r="H16" s="100"/>
    </row>
    <row r="17" spans="1:31" ht="14.25" x14ac:dyDescent="0.2">
      <c r="A17" s="14" t="s">
        <v>368</v>
      </c>
      <c r="B17" s="14"/>
      <c r="C17" s="112" t="str">
        <f>IF(Source!G12&lt;&gt;"Новый объект", Source!G12, "")</f>
        <v>Капитальный ремонт помещения №35 ОТИ НИЯУ МИФИ</v>
      </c>
      <c r="D17" s="112"/>
      <c r="E17" s="112"/>
      <c r="F17" s="14"/>
      <c r="G17" s="113"/>
      <c r="H17" s="114"/>
      <c r="AE17" s="32" t="str">
        <f>IF(Source!G12&lt;&gt;"Новый объект", Source!G12, "")</f>
        <v>Капитальный ремонт помещения №35 ОТИ НИЯУ МИФИ</v>
      </c>
    </row>
    <row r="18" spans="1:31" ht="14.25" x14ac:dyDescent="0.2">
      <c r="A18" s="14"/>
      <c r="B18" s="14"/>
      <c r="C18" s="97" t="s">
        <v>369</v>
      </c>
      <c r="D18" s="97"/>
      <c r="E18" s="97"/>
      <c r="F18" s="14"/>
      <c r="G18" s="14"/>
      <c r="H18" s="14"/>
    </row>
    <row r="19" spans="1:31" ht="14.25" x14ac:dyDescent="0.2">
      <c r="A19" s="14"/>
      <c r="B19" s="14"/>
      <c r="C19" s="14"/>
      <c r="D19" s="83" t="s">
        <v>370</v>
      </c>
      <c r="E19" s="83"/>
      <c r="F19" s="98"/>
      <c r="G19" s="99" t="str">
        <f>IF(Source!CQ15 &lt;&gt; "", Source!CQ15, "")</f>
        <v/>
      </c>
      <c r="H19" s="100"/>
    </row>
    <row r="20" spans="1:31" ht="14.25" x14ac:dyDescent="0.2">
      <c r="A20" s="14"/>
      <c r="B20" s="14"/>
      <c r="C20" s="14"/>
      <c r="D20" s="83" t="s">
        <v>371</v>
      </c>
      <c r="E20" s="98"/>
      <c r="F20" s="57" t="s">
        <v>372</v>
      </c>
      <c r="G20" s="99" t="str">
        <f>IF(Source!CR15 &lt;&gt; "", Source!CR15, "")</f>
        <v/>
      </c>
      <c r="H20" s="100"/>
    </row>
    <row r="21" spans="1:31" ht="14.25" x14ac:dyDescent="0.2">
      <c r="A21" s="14"/>
      <c r="B21" s="14"/>
      <c r="C21" s="14"/>
      <c r="D21" s="14"/>
      <c r="E21" s="14"/>
      <c r="F21" s="23" t="s">
        <v>373</v>
      </c>
      <c r="G21" s="101" t="str">
        <f>IF(Source!CS15 &lt;&gt; 0, Source!CS15, "")</f>
        <v/>
      </c>
      <c r="H21" s="102"/>
    </row>
    <row r="22" spans="1:31" ht="14.25" x14ac:dyDescent="0.2">
      <c r="A22" s="14"/>
      <c r="B22" s="14"/>
      <c r="C22" s="14"/>
      <c r="D22" s="14"/>
      <c r="E22" s="14"/>
      <c r="F22" s="13" t="s">
        <v>374</v>
      </c>
      <c r="G22" s="103" t="str">
        <f>IF(Source!CT15 &lt;&gt; "", Source!CT15, "")</f>
        <v/>
      </c>
      <c r="H22" s="104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5" t="s">
        <v>375</v>
      </c>
      <c r="E24" s="107" t="s">
        <v>376</v>
      </c>
      <c r="F24" s="107" t="s">
        <v>377</v>
      </c>
      <c r="G24" s="109"/>
      <c r="H24" s="14"/>
    </row>
    <row r="25" spans="1:31" ht="14.25" x14ac:dyDescent="0.2">
      <c r="A25" s="14"/>
      <c r="B25" s="14"/>
      <c r="C25" s="14"/>
      <c r="D25" s="106"/>
      <c r="E25" s="108"/>
      <c r="F25" s="58" t="s">
        <v>378</v>
      </c>
      <c r="G25" s="59" t="s">
        <v>379</v>
      </c>
      <c r="H25" s="14"/>
    </row>
    <row r="26" spans="1:31" ht="14.25" x14ac:dyDescent="0.2">
      <c r="A26" s="14"/>
      <c r="B26" s="14"/>
      <c r="C26" s="14"/>
      <c r="D26" s="60" t="str">
        <f>IF(Source!CN15 &lt;&gt; "", Source!CN15, "")</f>
        <v/>
      </c>
      <c r="E26" s="61">
        <v>43230.702662037038</v>
      </c>
      <c r="F26" s="60"/>
      <c r="G26" s="62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96" t="s">
        <v>380</v>
      </c>
      <c r="B28" s="96"/>
      <c r="C28" s="96"/>
      <c r="D28" s="96"/>
      <c r="E28" s="96"/>
      <c r="F28" s="96"/>
      <c r="G28" s="96"/>
      <c r="H28" s="96"/>
    </row>
    <row r="29" spans="1:31" ht="18" x14ac:dyDescent="0.25">
      <c r="A29" s="96" t="s">
        <v>381</v>
      </c>
      <c r="B29" s="96"/>
      <c r="C29" s="96"/>
      <c r="D29" s="96"/>
      <c r="E29" s="96"/>
      <c r="F29" s="96"/>
      <c r="G29" s="96"/>
      <c r="H29" s="96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382</v>
      </c>
      <c r="B31" s="14"/>
      <c r="C31" s="14"/>
      <c r="D31" s="14"/>
      <c r="E31" s="14"/>
      <c r="F31" s="94">
        <f>(Source!P137/1000)</f>
        <v>145.14795000000001</v>
      </c>
      <c r="G31" s="94"/>
      <c r="H31" s="14" t="s">
        <v>383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5" t="s">
        <v>384</v>
      </c>
      <c r="B33" s="95"/>
      <c r="C33" s="95" t="s">
        <v>385</v>
      </c>
      <c r="D33" s="95" t="s">
        <v>386</v>
      </c>
      <c r="E33" s="95" t="s">
        <v>387</v>
      </c>
      <c r="F33" s="95" t="s">
        <v>388</v>
      </c>
      <c r="G33" s="95"/>
      <c r="H33" s="95"/>
    </row>
    <row r="34" spans="1:28" ht="57" x14ac:dyDescent="0.2">
      <c r="A34" s="22" t="s">
        <v>389</v>
      </c>
      <c r="B34" s="22" t="s">
        <v>390</v>
      </c>
      <c r="C34" s="95"/>
      <c r="D34" s="95"/>
      <c r="E34" s="95"/>
      <c r="F34" s="22" t="s">
        <v>391</v>
      </c>
      <c r="G34" s="22" t="s">
        <v>392</v>
      </c>
      <c r="H34" s="22" t="s">
        <v>393</v>
      </c>
    </row>
    <row r="35" spans="1:28" ht="14.25" x14ac:dyDescent="0.2">
      <c r="A35" s="22">
        <v>1</v>
      </c>
      <c r="B35" s="22">
        <v>2</v>
      </c>
      <c r="C35" s="22">
        <v>3</v>
      </c>
      <c r="D35" s="22">
        <v>4</v>
      </c>
      <c r="E35" s="22">
        <v>5</v>
      </c>
      <c r="F35" s="22">
        <v>6</v>
      </c>
      <c r="G35" s="22">
        <v>7</v>
      </c>
      <c r="H35" s="22">
        <v>8</v>
      </c>
    </row>
    <row r="37" spans="1:28" ht="16.5" x14ac:dyDescent="0.25">
      <c r="A37" s="74" t="str">
        <f>CONCATENATE("Локальная смета: ",IF(Source!G20&lt;&gt;"Новая локальная смета", Source!G20, ""))</f>
        <v xml:space="preserve">Локальная смета: </v>
      </c>
      <c r="B37" s="74"/>
      <c r="C37" s="74"/>
      <c r="D37" s="74"/>
      <c r="E37" s="74"/>
      <c r="F37" s="74"/>
      <c r="G37" s="74"/>
      <c r="H37" s="74"/>
    </row>
    <row r="38" spans="1:28" ht="28.5" x14ac:dyDescent="0.2">
      <c r="A38" s="52">
        <v>1</v>
      </c>
      <c r="B38" s="52" t="str">
        <f>Source!E25</f>
        <v>1</v>
      </c>
      <c r="C38" s="52" t="str">
        <f>Source!G25</f>
        <v>Разборка плинтусов деревянных и из пластмассовых материалов</v>
      </c>
      <c r="D38" s="52" t="str">
        <f>Source!F25</f>
        <v>57-3-1</v>
      </c>
      <c r="E38" s="35" t="str">
        <f>Source!H25</f>
        <v>100 м</v>
      </c>
      <c r="F38" s="14">
        <f>Source!I25</f>
        <v>0.24</v>
      </c>
      <c r="G38" s="25">
        <f>Source!AB25</f>
        <v>29.41</v>
      </c>
      <c r="H38" s="26">
        <f>Source!O25</f>
        <v>42.92</v>
      </c>
      <c r="T38">
        <f>Source!O25+Source!X25+Source!Y25</f>
        <v>106.45</v>
      </c>
      <c r="U38">
        <f>Source!P25</f>
        <v>0</v>
      </c>
      <c r="V38">
        <f>Source!S25</f>
        <v>42.92</v>
      </c>
      <c r="W38">
        <f>Source!Q25</f>
        <v>0</v>
      </c>
      <c r="X38">
        <f>Source!R25</f>
        <v>0</v>
      </c>
      <c r="Y38">
        <f>Source!U25</f>
        <v>0.90479999999999994</v>
      </c>
      <c r="Z38">
        <f>Source!V25</f>
        <v>0</v>
      </c>
      <c r="AA38">
        <f>Source!X25</f>
        <v>34.340000000000003</v>
      </c>
      <c r="AB38">
        <f>Source!Y25</f>
        <v>29.19</v>
      </c>
    </row>
    <row r="39" spans="1:28" ht="14.25" x14ac:dyDescent="0.2">
      <c r="C39" s="27" t="str">
        <f>"Объем: "&amp;Source!I25&amp;"=24/"&amp;"100"</f>
        <v>Объем: 0,24=24/100</v>
      </c>
      <c r="F39" s="14"/>
      <c r="G39" s="14"/>
      <c r="H39" s="14"/>
    </row>
    <row r="40" spans="1:28" x14ac:dyDescent="0.2">
      <c r="C40" s="27" t="s">
        <v>394</v>
      </c>
      <c r="D40" s="27">
        <f>Source!BA25</f>
        <v>6.08</v>
      </c>
    </row>
    <row r="41" spans="1:28" x14ac:dyDescent="0.2">
      <c r="C41" s="27" t="s">
        <v>395</v>
      </c>
      <c r="D41" s="27">
        <f>Source!BB25</f>
        <v>6.08</v>
      </c>
    </row>
    <row r="42" spans="1:28" x14ac:dyDescent="0.2">
      <c r="C42" s="27" t="s">
        <v>396</v>
      </c>
      <c r="D42" s="27">
        <f>Source!BC25</f>
        <v>6.08</v>
      </c>
    </row>
    <row r="43" spans="1:28" x14ac:dyDescent="0.2">
      <c r="C43" s="27" t="s">
        <v>397</v>
      </c>
      <c r="D43" s="27">
        <f>Source!BS25</f>
        <v>6.08</v>
      </c>
    </row>
    <row r="44" spans="1:28" x14ac:dyDescent="0.2">
      <c r="C44" s="11" t="s">
        <v>398</v>
      </c>
      <c r="D44" s="38"/>
      <c r="E44" s="38"/>
      <c r="F44" s="38">
        <f>Source!BZ25</f>
        <v>80</v>
      </c>
      <c r="G44" s="63">
        <f>(Source!AF25+Source!AE25)*Source!FX25/100</f>
        <v>23.528000000000002</v>
      </c>
      <c r="H44" s="64">
        <f>Source!X25</f>
        <v>34.340000000000003</v>
      </c>
    </row>
    <row r="45" spans="1:28" x14ac:dyDescent="0.2">
      <c r="C45" s="11" t="s">
        <v>399</v>
      </c>
      <c r="D45" s="38"/>
      <c r="E45" s="38"/>
      <c r="F45" s="38">
        <f>Source!CA25</f>
        <v>68</v>
      </c>
      <c r="G45" s="63">
        <f>(Source!AF25+Source!AE25)*Source!FY25/100</f>
        <v>19.998800000000003</v>
      </c>
      <c r="H45" s="64">
        <f>Source!Y25</f>
        <v>29.19</v>
      </c>
    </row>
    <row r="46" spans="1:28" x14ac:dyDescent="0.2">
      <c r="C46" s="11" t="s">
        <v>400</v>
      </c>
      <c r="D46" s="38"/>
      <c r="E46" s="38"/>
      <c r="F46" s="38"/>
      <c r="G46" s="63">
        <f>((Source!AF25+Source!AE25)*Source!FX25/100)+((Source!AF25+Source!AE25)*Source!FY25/100)+Source!AB25</f>
        <v>72.936800000000005</v>
      </c>
      <c r="H46" s="64">
        <f>Source!O25+Source!X25+Source!Y25</f>
        <v>106.45</v>
      </c>
    </row>
    <row r="47" spans="1:28" ht="28.5" x14ac:dyDescent="0.2">
      <c r="A47" s="52">
        <v>2</v>
      </c>
      <c r="B47" s="52" t="str">
        <f>Source!E27</f>
        <v>2</v>
      </c>
      <c r="C47" s="52" t="str">
        <f>Source!G27</f>
        <v>Разборка покрытий полов из линолеума и релина</v>
      </c>
      <c r="D47" s="52" t="str">
        <f>Source!F27</f>
        <v>57-2-1</v>
      </c>
      <c r="E47" s="35" t="str">
        <f>Source!H27</f>
        <v>100 м2</v>
      </c>
      <c r="F47" s="14">
        <f>Source!I27</f>
        <v>0.39900000000000002</v>
      </c>
      <c r="G47" s="25">
        <f>Source!AB27</f>
        <v>92.9</v>
      </c>
      <c r="H47" s="26">
        <f>Source!O27</f>
        <v>225.37</v>
      </c>
      <c r="T47">
        <f>Source!O27+Source!X27+Source!Y27</f>
        <v>550.66000000000008</v>
      </c>
      <c r="U47">
        <f>Source!P27</f>
        <v>0</v>
      </c>
      <c r="V47">
        <f>Source!S27</f>
        <v>215.52</v>
      </c>
      <c r="W47">
        <f>Source!Q27</f>
        <v>9.85</v>
      </c>
      <c r="X47">
        <f>Source!R27</f>
        <v>4.2699999999999996</v>
      </c>
      <c r="Y47">
        <f>Source!U27</f>
        <v>4.5446100000000005</v>
      </c>
      <c r="Z47">
        <f>Source!V27</f>
        <v>5.1870000000000006E-2</v>
      </c>
      <c r="AA47">
        <f>Source!X27</f>
        <v>175.83</v>
      </c>
      <c r="AB47">
        <f>Source!Y27</f>
        <v>149.46</v>
      </c>
    </row>
    <row r="48" spans="1:28" ht="14.25" x14ac:dyDescent="0.2">
      <c r="C48" s="27" t="str">
        <f>"Объем: "&amp;Source!I27&amp;"=39,9/"&amp;"100"</f>
        <v>Объем: 0,399=39,9/100</v>
      </c>
      <c r="F48" s="14"/>
      <c r="G48" s="14"/>
      <c r="H48" s="14"/>
    </row>
    <row r="49" spans="1:28" x14ac:dyDescent="0.2">
      <c r="C49" s="27" t="s">
        <v>394</v>
      </c>
      <c r="D49" s="27">
        <f>Source!BA27</f>
        <v>6.08</v>
      </c>
    </row>
    <row r="50" spans="1:28" x14ac:dyDescent="0.2">
      <c r="C50" s="27" t="s">
        <v>395</v>
      </c>
      <c r="D50" s="27">
        <f>Source!BB27</f>
        <v>6.08</v>
      </c>
    </row>
    <row r="51" spans="1:28" x14ac:dyDescent="0.2">
      <c r="C51" s="27" t="s">
        <v>396</v>
      </c>
      <c r="D51" s="27">
        <f>Source!BC27</f>
        <v>6.08</v>
      </c>
    </row>
    <row r="52" spans="1:28" x14ac:dyDescent="0.2">
      <c r="C52" s="27" t="s">
        <v>397</v>
      </c>
      <c r="D52" s="27">
        <f>Source!BS27</f>
        <v>6.08</v>
      </c>
    </row>
    <row r="53" spans="1:28" x14ac:dyDescent="0.2">
      <c r="C53" s="11" t="s">
        <v>398</v>
      </c>
      <c r="D53" s="38"/>
      <c r="E53" s="38"/>
      <c r="F53" s="38">
        <f>Source!BZ27</f>
        <v>80</v>
      </c>
      <c r="G53" s="63">
        <f>(Source!AF27+Source!AE27)*Source!FX27/100</f>
        <v>72.48</v>
      </c>
      <c r="H53" s="64">
        <f>Source!X27</f>
        <v>175.83</v>
      </c>
    </row>
    <row r="54" spans="1:28" x14ac:dyDescent="0.2">
      <c r="C54" s="11" t="s">
        <v>399</v>
      </c>
      <c r="D54" s="38"/>
      <c r="E54" s="38"/>
      <c r="F54" s="38">
        <f>Source!CA27</f>
        <v>68</v>
      </c>
      <c r="G54" s="63">
        <f>(Source!AF27+Source!AE27)*Source!FY27/100</f>
        <v>61.608000000000004</v>
      </c>
      <c r="H54" s="64">
        <f>Source!Y27</f>
        <v>149.46</v>
      </c>
    </row>
    <row r="55" spans="1:28" x14ac:dyDescent="0.2">
      <c r="C55" s="11" t="s">
        <v>400</v>
      </c>
      <c r="D55" s="38"/>
      <c r="E55" s="38"/>
      <c r="F55" s="38"/>
      <c r="G55" s="63">
        <f>((Source!AF27+Source!AE27)*Source!FX27/100)+((Source!AF27+Source!AE27)*Source!FY27/100)+Source!AB27</f>
        <v>226.98800000000003</v>
      </c>
      <c r="H55" s="64">
        <f>Source!O27+Source!X27+Source!Y27</f>
        <v>550.66000000000008</v>
      </c>
    </row>
    <row r="56" spans="1:28" ht="42.75" x14ac:dyDescent="0.2">
      <c r="A56" s="52">
        <v>3</v>
      </c>
      <c r="B56" s="52" t="str">
        <f>Source!E29</f>
        <v>3</v>
      </c>
      <c r="C56" s="52" t="str">
        <f>Source!G29</f>
        <v>Устройство стяжек из выравнивающей смеси типа "Ветонит" 5000, толщиной 5 мм</v>
      </c>
      <c r="D56" s="52" t="str">
        <f>Source!F29</f>
        <v>11-01-011-08</v>
      </c>
      <c r="E56" s="35" t="str">
        <f>Source!H29</f>
        <v>100 м2</v>
      </c>
      <c r="F56" s="14">
        <f>Source!I29</f>
        <v>0.39900000000000002</v>
      </c>
      <c r="G56" s="25">
        <f>Source!AB29</f>
        <v>11078.647000000001</v>
      </c>
      <c r="H56" s="26">
        <f>Source!O29</f>
        <v>26875.91</v>
      </c>
      <c r="T56">
        <f>Source!O29+Source!X29+Source!Y29</f>
        <v>28455.149999999998</v>
      </c>
      <c r="U56">
        <f>Source!P29</f>
        <v>25960.57</v>
      </c>
      <c r="V56">
        <f>Source!S29</f>
        <v>896.45</v>
      </c>
      <c r="W56">
        <f>Source!Q29</f>
        <v>18.89</v>
      </c>
      <c r="X56">
        <f>Source!R29</f>
        <v>5.97</v>
      </c>
      <c r="Y56">
        <f>Source!U29</f>
        <v>17.284879499999999</v>
      </c>
      <c r="Z56">
        <f>Source!V29</f>
        <v>8.4787500000000016E-2</v>
      </c>
      <c r="AA56">
        <f>Source!X29</f>
        <v>1001.69</v>
      </c>
      <c r="AB56">
        <f>Source!Y29</f>
        <v>577.54999999999995</v>
      </c>
    </row>
    <row r="57" spans="1:28" ht="14.25" x14ac:dyDescent="0.2">
      <c r="C57" s="27" t="str">
        <f>"Объем: "&amp;Source!I29&amp;"=39,9/"&amp;"100"</f>
        <v>Объем: 0,399=39,9/100</v>
      </c>
      <c r="F57" s="14"/>
      <c r="G57" s="14"/>
      <c r="H57" s="14"/>
    </row>
    <row r="58" spans="1:28" x14ac:dyDescent="0.2">
      <c r="C58" s="27" t="s">
        <v>394</v>
      </c>
      <c r="D58" s="27">
        <f>Source!BA29</f>
        <v>6.08</v>
      </c>
    </row>
    <row r="59" spans="1:28" x14ac:dyDescent="0.2">
      <c r="C59" s="27" t="s">
        <v>395</v>
      </c>
      <c r="D59" s="27">
        <f>Source!BB29</f>
        <v>6.08</v>
      </c>
    </row>
    <row r="60" spans="1:28" x14ac:dyDescent="0.2">
      <c r="C60" s="27" t="s">
        <v>396</v>
      </c>
      <c r="D60" s="27">
        <f>Source!BC29</f>
        <v>6.08</v>
      </c>
    </row>
    <row r="61" spans="1:28" x14ac:dyDescent="0.2">
      <c r="C61" s="27" t="s">
        <v>397</v>
      </c>
      <c r="D61" s="27">
        <f>Source!BS29</f>
        <v>6.08</v>
      </c>
    </row>
    <row r="62" spans="1:28" x14ac:dyDescent="0.2">
      <c r="C62" s="27" t="s">
        <v>401</v>
      </c>
      <c r="D62" s="93" t="s">
        <v>29</v>
      </c>
      <c r="E62" s="93"/>
      <c r="F62" s="93"/>
      <c r="G62" s="93"/>
      <c r="H62" s="93"/>
    </row>
    <row r="63" spans="1:28" x14ac:dyDescent="0.2">
      <c r="C63" s="27" t="s">
        <v>402</v>
      </c>
      <c r="D63" s="93" t="s">
        <v>29</v>
      </c>
      <c r="E63" s="93"/>
      <c r="F63" s="93"/>
      <c r="G63" s="93"/>
      <c r="H63" s="93"/>
    </row>
    <row r="64" spans="1:28" x14ac:dyDescent="0.2">
      <c r="C64" s="27" t="s">
        <v>403</v>
      </c>
      <c r="D64" s="93" t="s">
        <v>30</v>
      </c>
      <c r="E64" s="93"/>
      <c r="F64" s="93"/>
      <c r="G64" s="93"/>
      <c r="H64" s="93"/>
    </row>
    <row r="65" spans="1:28" x14ac:dyDescent="0.2">
      <c r="C65" s="27" t="s">
        <v>404</v>
      </c>
      <c r="D65" s="93" t="s">
        <v>30</v>
      </c>
      <c r="E65" s="93"/>
      <c r="F65" s="93"/>
      <c r="G65" s="93"/>
      <c r="H65" s="93"/>
    </row>
    <row r="66" spans="1:28" x14ac:dyDescent="0.2">
      <c r="C66" s="27" t="s">
        <v>405</v>
      </c>
      <c r="D66" s="93" t="s">
        <v>29</v>
      </c>
      <c r="E66" s="93"/>
      <c r="F66" s="93"/>
      <c r="G66" s="93"/>
      <c r="H66" s="93"/>
    </row>
    <row r="67" spans="1:28" x14ac:dyDescent="0.2">
      <c r="C67" s="11" t="s">
        <v>398</v>
      </c>
      <c r="D67" s="38"/>
      <c r="E67" s="38"/>
      <c r="F67" s="38">
        <f>Source!BZ29</f>
        <v>123</v>
      </c>
      <c r="G67" s="63">
        <f>(Source!AF29+Source!AE29)*Source!FX29/100</f>
        <v>411.79514399999999</v>
      </c>
      <c r="H67" s="64">
        <f>Source!X29</f>
        <v>1001.69</v>
      </c>
    </row>
    <row r="68" spans="1:28" x14ac:dyDescent="0.2">
      <c r="C68" s="11" t="s">
        <v>406</v>
      </c>
      <c r="D68" s="38"/>
      <c r="E68" s="38"/>
      <c r="F68" s="38"/>
      <c r="G68" s="38" t="str">
        <f>CONCATENATE(Source!DL29,Source!FT29, "=", Source!FX29, "%")</f>
        <v>*0,9=110,7%</v>
      </c>
      <c r="H68" s="38" t="str">
        <f>CONCATENATE(Source!AT29)</f>
        <v>111</v>
      </c>
    </row>
    <row r="69" spans="1:28" x14ac:dyDescent="0.2">
      <c r="C69" s="11" t="s">
        <v>399</v>
      </c>
      <c r="D69" s="38"/>
      <c r="E69" s="38"/>
      <c r="F69" s="38">
        <f>Source!CA29</f>
        <v>75</v>
      </c>
      <c r="G69" s="63">
        <f>(Source!AF29+Source!AE29)*Source!FY29/100</f>
        <v>237.14489999999998</v>
      </c>
      <c r="H69" s="64">
        <f>Source!Y29</f>
        <v>577.54999999999995</v>
      </c>
    </row>
    <row r="70" spans="1:28" x14ac:dyDescent="0.2">
      <c r="C70" s="11" t="s">
        <v>407</v>
      </c>
      <c r="D70" s="38"/>
      <c r="E70" s="38"/>
      <c r="F70" s="38"/>
      <c r="G70" s="38" t="str">
        <f>CONCATENATE(Source!DM29,Source!FU29, "=", Source!FY29, "%")</f>
        <v>*0,85=63,75%</v>
      </c>
      <c r="H70" s="38" t="str">
        <f>CONCATENATE(Source!AU29)</f>
        <v>64</v>
      </c>
    </row>
    <row r="71" spans="1:28" x14ac:dyDescent="0.2">
      <c r="C71" s="11" t="s">
        <v>400</v>
      </c>
      <c r="D71" s="38"/>
      <c r="E71" s="38"/>
      <c r="F71" s="38"/>
      <c r="G71" s="63">
        <f>((Source!AF29+Source!AE29)*Source!FX29/100)+((Source!AF29+Source!AE29)*Source!FY29/100)+Source!AB29</f>
        <v>11727.587044</v>
      </c>
      <c r="H71" s="64">
        <f>Source!O29+Source!X29+Source!Y29</f>
        <v>28455.149999999998</v>
      </c>
    </row>
    <row r="72" spans="1:28" ht="42.75" x14ac:dyDescent="0.2">
      <c r="A72" s="52">
        <v>4</v>
      </c>
      <c r="B72" s="52" t="str">
        <f>Source!E31</f>
        <v>4</v>
      </c>
      <c r="C72" s="52" t="str">
        <f>Source!G31</f>
        <v>Устройство стяжек на каждый последующий слой толщиной 1 мм добавлять к расценке 11-01-011-08</v>
      </c>
      <c r="D72" s="52" t="str">
        <f>Source!F31</f>
        <v>11-01-011-10</v>
      </c>
      <c r="E72" s="35" t="str">
        <f>Source!H31</f>
        <v>100 м2</v>
      </c>
      <c r="F72" s="14">
        <f>Source!I31</f>
        <v>0.39900000000000002</v>
      </c>
      <c r="G72" s="25">
        <f>Source!AB31</f>
        <v>10369.9925</v>
      </c>
      <c r="H72" s="26">
        <f>Source!O31</f>
        <v>25156.78</v>
      </c>
      <c r="T72">
        <f>Source!O31+Source!X31+Source!Y31</f>
        <v>25669.91</v>
      </c>
      <c r="U72">
        <f>Source!P31</f>
        <v>24850.52</v>
      </c>
      <c r="V72">
        <f>Source!S31</f>
        <v>287.91000000000003</v>
      </c>
      <c r="W72">
        <f>Source!Q31</f>
        <v>18.350000000000001</v>
      </c>
      <c r="X72">
        <f>Source!R31</f>
        <v>5.31</v>
      </c>
      <c r="Y72">
        <f>Source!U31</f>
        <v>5.5520849999999999</v>
      </c>
      <c r="Z72">
        <f>Source!V31</f>
        <v>7.4812500000000004E-2</v>
      </c>
      <c r="AA72">
        <f>Source!X31</f>
        <v>325.47000000000003</v>
      </c>
      <c r="AB72">
        <f>Source!Y31</f>
        <v>187.66</v>
      </c>
    </row>
    <row r="73" spans="1:28" ht="14.25" x14ac:dyDescent="0.2">
      <c r="C73" s="27" t="str">
        <f>"Объем: "&amp;Source!I31&amp;"=39,9/"&amp;"100"</f>
        <v>Объем: 0,399=39,9/100</v>
      </c>
      <c r="F73" s="14"/>
      <c r="G73" s="14"/>
      <c r="H73" s="14"/>
    </row>
    <row r="74" spans="1:28" x14ac:dyDescent="0.2">
      <c r="C74" s="27" t="s">
        <v>394</v>
      </c>
      <c r="D74" s="27">
        <f>Source!BA31</f>
        <v>6.08</v>
      </c>
    </row>
    <row r="75" spans="1:28" x14ac:dyDescent="0.2">
      <c r="C75" s="27" t="s">
        <v>395</v>
      </c>
      <c r="D75" s="27">
        <f>Source!BB31</f>
        <v>6.08</v>
      </c>
    </row>
    <row r="76" spans="1:28" x14ac:dyDescent="0.2">
      <c r="C76" s="27" t="s">
        <v>396</v>
      </c>
      <c r="D76" s="27">
        <f>Source!BC31</f>
        <v>6.08</v>
      </c>
    </row>
    <row r="77" spans="1:28" x14ac:dyDescent="0.2">
      <c r="C77" s="27" t="s">
        <v>397</v>
      </c>
      <c r="D77" s="27">
        <f>Source!BS31</f>
        <v>6.08</v>
      </c>
    </row>
    <row r="78" spans="1:28" x14ac:dyDescent="0.2">
      <c r="C78" s="27" t="s">
        <v>408</v>
      </c>
      <c r="D78" s="93" t="s">
        <v>40</v>
      </c>
      <c r="E78" s="93"/>
      <c r="F78" s="93"/>
      <c r="G78" s="93"/>
      <c r="H78" s="93"/>
    </row>
    <row r="79" spans="1:28" x14ac:dyDescent="0.2">
      <c r="C79" s="27" t="s">
        <v>401</v>
      </c>
      <c r="D79" s="93" t="s">
        <v>41</v>
      </c>
      <c r="E79" s="93"/>
      <c r="F79" s="93"/>
      <c r="G79" s="93"/>
      <c r="H79" s="93"/>
    </row>
    <row r="80" spans="1:28" x14ac:dyDescent="0.2">
      <c r="C80" s="27" t="s">
        <v>402</v>
      </c>
      <c r="D80" s="93" t="s">
        <v>41</v>
      </c>
      <c r="E80" s="93"/>
      <c r="F80" s="93"/>
      <c r="G80" s="93"/>
      <c r="H80" s="93"/>
    </row>
    <row r="81" spans="1:28" x14ac:dyDescent="0.2">
      <c r="C81" s="27" t="s">
        <v>403</v>
      </c>
      <c r="D81" s="93" t="s">
        <v>42</v>
      </c>
      <c r="E81" s="93"/>
      <c r="F81" s="93"/>
      <c r="G81" s="93"/>
      <c r="H81" s="93"/>
    </row>
    <row r="82" spans="1:28" x14ac:dyDescent="0.2">
      <c r="C82" s="27" t="s">
        <v>404</v>
      </c>
      <c r="D82" s="93" t="s">
        <v>42</v>
      </c>
      <c r="E82" s="93"/>
      <c r="F82" s="93"/>
      <c r="G82" s="93"/>
      <c r="H82" s="93"/>
    </row>
    <row r="83" spans="1:28" x14ac:dyDescent="0.2">
      <c r="C83" s="27" t="s">
        <v>405</v>
      </c>
      <c r="D83" s="93" t="s">
        <v>41</v>
      </c>
      <c r="E83" s="93"/>
      <c r="F83" s="93"/>
      <c r="G83" s="93"/>
      <c r="H83" s="93"/>
    </row>
    <row r="84" spans="1:28" x14ac:dyDescent="0.2">
      <c r="C84" s="11" t="s">
        <v>398</v>
      </c>
      <c r="D84" s="38"/>
      <c r="E84" s="38"/>
      <c r="F84" s="38">
        <f>Source!BZ31</f>
        <v>123</v>
      </c>
      <c r="G84" s="63">
        <f>(Source!AF31+Source!AE31)*Source!FX31/100</f>
        <v>133.80032249999999</v>
      </c>
      <c r="H84" s="64">
        <f>Source!X31</f>
        <v>325.47000000000003</v>
      </c>
    </row>
    <row r="85" spans="1:28" x14ac:dyDescent="0.2">
      <c r="C85" s="11" t="s">
        <v>406</v>
      </c>
      <c r="D85" s="38"/>
      <c r="E85" s="38"/>
      <c r="F85" s="38"/>
      <c r="G85" s="38" t="str">
        <f>CONCATENATE(Source!DL31,Source!FT31, "=", Source!FX31, "%")</f>
        <v>*0,9=110,7%</v>
      </c>
      <c r="H85" s="38" t="str">
        <f>CONCATENATE(Source!AT31)</f>
        <v>111</v>
      </c>
    </row>
    <row r="86" spans="1:28" x14ac:dyDescent="0.2">
      <c r="C86" s="11" t="s">
        <v>399</v>
      </c>
      <c r="D86" s="38"/>
      <c r="E86" s="38"/>
      <c r="F86" s="38">
        <f>Source!CA31</f>
        <v>75</v>
      </c>
      <c r="G86" s="63">
        <f>(Source!AF31+Source!AE31)*Source!FY31/100</f>
        <v>77.053031250000004</v>
      </c>
      <c r="H86" s="64">
        <f>Source!Y31</f>
        <v>187.66</v>
      </c>
    </row>
    <row r="87" spans="1:28" x14ac:dyDescent="0.2">
      <c r="C87" s="11" t="s">
        <v>407</v>
      </c>
      <c r="D87" s="38"/>
      <c r="E87" s="38"/>
      <c r="F87" s="38"/>
      <c r="G87" s="38" t="str">
        <f>CONCATENATE(Source!DM31,Source!FU31, "=", Source!FY31, "%")</f>
        <v>*0,85=63,75%</v>
      </c>
      <c r="H87" s="38" t="str">
        <f>CONCATENATE(Source!AU31)</f>
        <v>64</v>
      </c>
    </row>
    <row r="88" spans="1:28" x14ac:dyDescent="0.2">
      <c r="C88" s="11" t="s">
        <v>400</v>
      </c>
      <c r="D88" s="38"/>
      <c r="E88" s="38"/>
      <c r="F88" s="38"/>
      <c r="G88" s="63">
        <f>((Source!AF31+Source!AE31)*Source!FX31/100)+((Source!AF31+Source!AE31)*Source!FY31/100)+Source!AB31</f>
        <v>10580.845853750001</v>
      </c>
      <c r="H88" s="64">
        <f>Source!O31+Source!X31+Source!Y31</f>
        <v>25669.91</v>
      </c>
    </row>
    <row r="89" spans="1:28" ht="28.5" x14ac:dyDescent="0.2">
      <c r="A89" s="52">
        <v>5</v>
      </c>
      <c r="B89" s="52" t="str">
        <f>Source!E33</f>
        <v>5</v>
      </c>
      <c r="C89" s="52" t="str">
        <f>Source!G33</f>
        <v>Устройство покрытий из линолеума на клее</v>
      </c>
      <c r="D89" s="52" t="str">
        <f>Source!F33</f>
        <v>11-01-036-01</v>
      </c>
      <c r="E89" s="35" t="str">
        <f>Source!H33</f>
        <v>100 м2</v>
      </c>
      <c r="F89" s="14">
        <f>Source!I33</f>
        <v>0.39900000000000002</v>
      </c>
      <c r="G89" s="25">
        <f>Source!AB33</f>
        <v>460.851</v>
      </c>
      <c r="H89" s="26">
        <f>Source!O33</f>
        <v>1117.99</v>
      </c>
      <c r="T89">
        <f>Source!O33+Source!X33+Source!Y33</f>
        <v>2894.05</v>
      </c>
      <c r="U89">
        <f>Source!P33</f>
        <v>2.21</v>
      </c>
      <c r="V89">
        <f>Source!S33</f>
        <v>982.96</v>
      </c>
      <c r="W89">
        <f>Source!Q33</f>
        <v>132.82</v>
      </c>
      <c r="X89">
        <f>Source!R33</f>
        <v>31.93</v>
      </c>
      <c r="Y89">
        <f>Source!U33</f>
        <v>19.45524</v>
      </c>
      <c r="Z89">
        <f>Source!V33</f>
        <v>0.42393750000000002</v>
      </c>
      <c r="AA89">
        <f>Source!X33</f>
        <v>1126.53</v>
      </c>
      <c r="AB89">
        <f>Source!Y33</f>
        <v>649.53</v>
      </c>
    </row>
    <row r="90" spans="1:28" ht="14.25" x14ac:dyDescent="0.2">
      <c r="C90" s="27" t="str">
        <f>"Объем: "&amp;Source!I33&amp;"=39,9/"&amp;"100"</f>
        <v>Объем: 0,399=39,9/100</v>
      </c>
      <c r="F90" s="14"/>
      <c r="G90" s="14"/>
      <c r="H90" s="14"/>
    </row>
    <row r="91" spans="1:28" x14ac:dyDescent="0.2">
      <c r="C91" s="27" t="s">
        <v>394</v>
      </c>
      <c r="D91" s="27">
        <f>Source!BA33</f>
        <v>6.08</v>
      </c>
    </row>
    <row r="92" spans="1:28" x14ac:dyDescent="0.2">
      <c r="C92" s="27" t="s">
        <v>395</v>
      </c>
      <c r="D92" s="27">
        <f>Source!BB33</f>
        <v>6.08</v>
      </c>
    </row>
    <row r="93" spans="1:28" x14ac:dyDescent="0.2">
      <c r="C93" s="27" t="s">
        <v>396</v>
      </c>
      <c r="D93" s="27">
        <f>Source!BC33</f>
        <v>6.08</v>
      </c>
    </row>
    <row r="94" spans="1:28" x14ac:dyDescent="0.2">
      <c r="C94" s="27" t="s">
        <v>397</v>
      </c>
      <c r="D94" s="27">
        <f>Source!BS33</f>
        <v>6.08</v>
      </c>
    </row>
    <row r="95" spans="1:28" x14ac:dyDescent="0.2">
      <c r="C95" s="27" t="s">
        <v>401</v>
      </c>
      <c r="D95" s="93" t="s">
        <v>29</v>
      </c>
      <c r="E95" s="93"/>
      <c r="F95" s="93"/>
      <c r="G95" s="93"/>
      <c r="H95" s="93"/>
    </row>
    <row r="96" spans="1:28" x14ac:dyDescent="0.2">
      <c r="C96" s="27" t="s">
        <v>402</v>
      </c>
      <c r="D96" s="93" t="s">
        <v>29</v>
      </c>
      <c r="E96" s="93"/>
      <c r="F96" s="93"/>
      <c r="G96" s="93"/>
      <c r="H96" s="93"/>
    </row>
    <row r="97" spans="1:28" x14ac:dyDescent="0.2">
      <c r="C97" s="27" t="s">
        <v>403</v>
      </c>
      <c r="D97" s="93" t="s">
        <v>30</v>
      </c>
      <c r="E97" s="93"/>
      <c r="F97" s="93"/>
      <c r="G97" s="93"/>
      <c r="H97" s="93"/>
    </row>
    <row r="98" spans="1:28" x14ac:dyDescent="0.2">
      <c r="C98" s="27" t="s">
        <v>404</v>
      </c>
      <c r="D98" s="93" t="s">
        <v>30</v>
      </c>
      <c r="E98" s="93"/>
      <c r="F98" s="93"/>
      <c r="G98" s="93"/>
      <c r="H98" s="93"/>
    </row>
    <row r="99" spans="1:28" x14ac:dyDescent="0.2">
      <c r="C99" s="27" t="s">
        <v>405</v>
      </c>
      <c r="D99" s="93" t="s">
        <v>29</v>
      </c>
      <c r="E99" s="93"/>
      <c r="F99" s="93"/>
      <c r="G99" s="93"/>
      <c r="H99" s="93"/>
    </row>
    <row r="100" spans="1:28" x14ac:dyDescent="0.2">
      <c r="C100" s="11" t="s">
        <v>398</v>
      </c>
      <c r="D100" s="38"/>
      <c r="E100" s="38"/>
      <c r="F100" s="38">
        <f>Source!BZ33</f>
        <v>123</v>
      </c>
      <c r="G100" s="63">
        <f>(Source!AF33+Source!AE33)*Source!FX33/100</f>
        <v>463.11732450000005</v>
      </c>
      <c r="H100" s="64">
        <f>Source!X33</f>
        <v>1126.53</v>
      </c>
    </row>
    <row r="101" spans="1:28" x14ac:dyDescent="0.2">
      <c r="C101" s="11" t="s">
        <v>406</v>
      </c>
      <c r="D101" s="38"/>
      <c r="E101" s="38"/>
      <c r="F101" s="38"/>
      <c r="G101" s="38" t="str">
        <f>CONCATENATE(Source!DL33,Source!FT33, "=", Source!FX33, "%")</f>
        <v>*0,9=110,7%</v>
      </c>
      <c r="H101" s="38" t="str">
        <f>CONCATENATE(Source!AT33)</f>
        <v>111</v>
      </c>
    </row>
    <row r="102" spans="1:28" x14ac:dyDescent="0.2">
      <c r="C102" s="11" t="s">
        <v>399</v>
      </c>
      <c r="D102" s="38"/>
      <c r="E102" s="38"/>
      <c r="F102" s="38">
        <f>Source!CA33</f>
        <v>75</v>
      </c>
      <c r="G102" s="63">
        <f>(Source!AF33+Source!AE33)*Source!FY33/100</f>
        <v>266.70035625000003</v>
      </c>
      <c r="H102" s="64">
        <f>Source!Y33</f>
        <v>649.53</v>
      </c>
    </row>
    <row r="103" spans="1:28" x14ac:dyDescent="0.2">
      <c r="C103" s="11" t="s">
        <v>407</v>
      </c>
      <c r="D103" s="38"/>
      <c r="E103" s="38"/>
      <c r="F103" s="38"/>
      <c r="G103" s="38" t="str">
        <f>CONCATENATE(Source!DM33,Source!FU33, "=", Source!FY33, "%")</f>
        <v>*0,85=63,75%</v>
      </c>
      <c r="H103" s="38" t="str">
        <f>CONCATENATE(Source!AU33)</f>
        <v>64</v>
      </c>
    </row>
    <row r="104" spans="1:28" x14ac:dyDescent="0.2">
      <c r="C104" s="11" t="s">
        <v>400</v>
      </c>
      <c r="D104" s="38"/>
      <c r="E104" s="38"/>
      <c r="F104" s="38"/>
      <c r="G104" s="63">
        <f>((Source!AF33+Source!AE33)*Source!FX33/100)+((Source!AF33+Source!AE33)*Source!FY33/100)+Source!AB33</f>
        <v>1190.66868075</v>
      </c>
      <c r="H104" s="64">
        <f>Source!O33+Source!X33+Source!Y33</f>
        <v>2894.05</v>
      </c>
    </row>
    <row r="105" spans="1:28" ht="28.5" x14ac:dyDescent="0.2">
      <c r="A105" s="52">
        <v>6</v>
      </c>
      <c r="B105" s="52" t="str">
        <f>Source!E35</f>
        <v>5,1</v>
      </c>
      <c r="C105" s="52" t="str">
        <f>Source!G35</f>
        <v>Линолеум на теплозвукоизолирующей подоснове</v>
      </c>
      <c r="D105" s="52" t="str">
        <f>Source!F35</f>
        <v>01.6.03.04</v>
      </c>
      <c r="E105" s="35" t="str">
        <f>Source!H35</f>
        <v>м2</v>
      </c>
      <c r="F105" s="14">
        <f>Source!I35</f>
        <v>40.698</v>
      </c>
      <c r="G105" s="25">
        <f>Source!AB35</f>
        <v>0</v>
      </c>
      <c r="H105" s="26">
        <f>Source!O35</f>
        <v>0</v>
      </c>
      <c r="T105">
        <f>Source!O35+Source!X35+Source!Y35</f>
        <v>0</v>
      </c>
      <c r="U105">
        <f>Source!P35</f>
        <v>0</v>
      </c>
      <c r="V105">
        <f>Source!S35</f>
        <v>0</v>
      </c>
      <c r="W105">
        <f>Source!Q35</f>
        <v>0</v>
      </c>
      <c r="X105">
        <f>Source!R35</f>
        <v>0</v>
      </c>
      <c r="Y105">
        <f>Source!U35</f>
        <v>0</v>
      </c>
      <c r="Z105">
        <f>Source!V35</f>
        <v>0</v>
      </c>
      <c r="AA105">
        <f>Source!X35</f>
        <v>0</v>
      </c>
      <c r="AB105">
        <f>Source!Y35</f>
        <v>0</v>
      </c>
    </row>
    <row r="106" spans="1:28" ht="14.25" x14ac:dyDescent="0.2">
      <c r="C106" s="27" t="s">
        <v>396</v>
      </c>
      <c r="D106" s="27">
        <f>Source!BC35</f>
        <v>6.08</v>
      </c>
      <c r="F106" s="14"/>
      <c r="G106" s="14"/>
      <c r="H106" s="14"/>
    </row>
    <row r="107" spans="1:28" ht="57" x14ac:dyDescent="0.2">
      <c r="A107" s="52">
        <v>7</v>
      </c>
      <c r="B107" s="52" t="str">
        <f>Source!E37</f>
        <v>5,2</v>
      </c>
      <c r="C107" s="52" t="str">
        <f>Source!G37</f>
        <v>Линолеум коммерческий гомогенный "ТАРКЕТТ iQ MONOLIT" (толщина 2 мм, класс 34/43, пож. безопасность Г1, В2, РП1, Д2, Т2)</v>
      </c>
      <c r="D107" s="52" t="str">
        <f>Source!F37</f>
        <v>01.6.03.04-0112</v>
      </c>
      <c r="E107" s="35" t="str">
        <f>Source!H37</f>
        <v>м2</v>
      </c>
      <c r="F107" s="14">
        <f>Source!I37</f>
        <v>40.698</v>
      </c>
      <c r="G107" s="25">
        <f>Source!AB37</f>
        <v>71.47</v>
      </c>
      <c r="H107" s="26">
        <f>Source!O37</f>
        <v>17684.810000000001</v>
      </c>
      <c r="T107">
        <f>Source!O37+Source!X37+Source!Y37</f>
        <v>17684.810000000001</v>
      </c>
      <c r="U107">
        <f>Source!P37</f>
        <v>17684.810000000001</v>
      </c>
      <c r="V107">
        <f>Source!S37</f>
        <v>0</v>
      </c>
      <c r="W107">
        <f>Source!Q37</f>
        <v>0</v>
      </c>
      <c r="X107">
        <f>Source!R37</f>
        <v>0</v>
      </c>
      <c r="Y107">
        <f>Source!U37</f>
        <v>0</v>
      </c>
      <c r="Z107">
        <f>Source!V37</f>
        <v>0</v>
      </c>
      <c r="AA107">
        <f>Source!X37</f>
        <v>0</v>
      </c>
      <c r="AB107">
        <f>Source!Y37</f>
        <v>0</v>
      </c>
    </row>
    <row r="108" spans="1:28" ht="14.25" x14ac:dyDescent="0.2">
      <c r="C108" s="27" t="s">
        <v>396</v>
      </c>
      <c r="D108" s="27">
        <f>Source!BC37</f>
        <v>6.08</v>
      </c>
      <c r="F108" s="14"/>
      <c r="G108" s="14"/>
      <c r="H108" s="14"/>
    </row>
    <row r="109" spans="1:28" ht="28.5" x14ac:dyDescent="0.2">
      <c r="A109" s="52">
        <v>8</v>
      </c>
      <c r="B109" s="52" t="str">
        <f>Source!E39</f>
        <v>5,3</v>
      </c>
      <c r="C109" s="52" t="str">
        <f>Source!G39</f>
        <v>Клей «Бустилат»</v>
      </c>
      <c r="D109" s="52" t="str">
        <f>Source!F39</f>
        <v>14.1.02.04-0101</v>
      </c>
      <c r="E109" s="35" t="str">
        <f>Source!H39</f>
        <v>т</v>
      </c>
      <c r="F109" s="14">
        <f>Source!I39</f>
        <v>1.9949999999999999E-2</v>
      </c>
      <c r="G109" s="25">
        <f>Source!AB39</f>
        <v>11300</v>
      </c>
      <c r="H109" s="26">
        <f>Source!O39</f>
        <v>1370.64</v>
      </c>
      <c r="T109">
        <f>Source!O39+Source!X39+Source!Y39</f>
        <v>1370.64</v>
      </c>
      <c r="U109">
        <f>Source!P39</f>
        <v>1370.64</v>
      </c>
      <c r="V109">
        <f>Source!S39</f>
        <v>0</v>
      </c>
      <c r="W109">
        <f>Source!Q39</f>
        <v>0</v>
      </c>
      <c r="X109">
        <f>Source!R39</f>
        <v>0</v>
      </c>
      <c r="Y109">
        <f>Source!U39</f>
        <v>0</v>
      </c>
      <c r="Z109">
        <f>Source!V39</f>
        <v>0</v>
      </c>
      <c r="AA109">
        <f>Source!X39</f>
        <v>0</v>
      </c>
      <c r="AB109">
        <f>Source!Y39</f>
        <v>0</v>
      </c>
    </row>
    <row r="110" spans="1:28" ht="14.25" x14ac:dyDescent="0.2">
      <c r="C110" s="27" t="s">
        <v>396</v>
      </c>
      <c r="D110" s="27">
        <f>Source!BC39</f>
        <v>6.08</v>
      </c>
      <c r="F110" s="14"/>
      <c r="G110" s="14"/>
      <c r="H110" s="14"/>
    </row>
    <row r="111" spans="1:28" ht="42.75" x14ac:dyDescent="0.2">
      <c r="A111" s="52">
        <v>9</v>
      </c>
      <c r="B111" s="52" t="str">
        <f>Source!E41</f>
        <v>6</v>
      </c>
      <c r="C111" s="52" t="str">
        <f>Source!G41</f>
        <v>Устройство плинтусов поливинилхлоридных на винтах самонарезающих</v>
      </c>
      <c r="D111" s="52" t="str">
        <f>Source!F41</f>
        <v>11-01-040-03</v>
      </c>
      <c r="E111" s="35" t="str">
        <f>Source!H41</f>
        <v>100 м</v>
      </c>
      <c r="F111" s="14">
        <f>Source!I41</f>
        <v>0.24</v>
      </c>
      <c r="G111" s="25">
        <f>Source!AB41</f>
        <v>146.82050000000001</v>
      </c>
      <c r="H111" s="26">
        <f>Source!O41</f>
        <v>214.25</v>
      </c>
      <c r="T111">
        <f>Source!O41+Source!X41+Source!Y41</f>
        <v>395.66999999999996</v>
      </c>
      <c r="U111">
        <f>Source!P41</f>
        <v>107.46</v>
      </c>
      <c r="V111">
        <f>Source!S41</f>
        <v>102.9</v>
      </c>
      <c r="W111">
        <f>Source!Q41</f>
        <v>3.89</v>
      </c>
      <c r="X111">
        <f>Source!R41</f>
        <v>0.77</v>
      </c>
      <c r="Y111">
        <f>Source!U41</f>
        <v>1.8436799999999998</v>
      </c>
      <c r="Z111">
        <f>Source!V41</f>
        <v>1.2E-2</v>
      </c>
      <c r="AA111">
        <f>Source!X41</f>
        <v>115.07</v>
      </c>
      <c r="AB111">
        <f>Source!Y41</f>
        <v>66.349999999999994</v>
      </c>
    </row>
    <row r="112" spans="1:28" ht="14.25" x14ac:dyDescent="0.2">
      <c r="C112" s="27" t="str">
        <f>"Объем: "&amp;Source!I41&amp;"=24/"&amp;"100"</f>
        <v>Объем: 0,24=24/100</v>
      </c>
      <c r="F112" s="14"/>
      <c r="G112" s="14"/>
      <c r="H112" s="14"/>
    </row>
    <row r="113" spans="1:28" x14ac:dyDescent="0.2">
      <c r="C113" s="27" t="s">
        <v>394</v>
      </c>
      <c r="D113" s="27">
        <f>Source!BA41</f>
        <v>6.08</v>
      </c>
    </row>
    <row r="114" spans="1:28" x14ac:dyDescent="0.2">
      <c r="C114" s="27" t="s">
        <v>395</v>
      </c>
      <c r="D114" s="27">
        <f>Source!BB41</f>
        <v>6.08</v>
      </c>
    </row>
    <row r="115" spans="1:28" x14ac:dyDescent="0.2">
      <c r="C115" s="27" t="s">
        <v>396</v>
      </c>
      <c r="D115" s="27">
        <f>Source!BC41</f>
        <v>6.08</v>
      </c>
    </row>
    <row r="116" spans="1:28" x14ac:dyDescent="0.2">
      <c r="C116" s="27" t="s">
        <v>397</v>
      </c>
      <c r="D116" s="27">
        <f>Source!BS41</f>
        <v>6.08</v>
      </c>
    </row>
    <row r="117" spans="1:28" x14ac:dyDescent="0.2">
      <c r="C117" s="27" t="s">
        <v>401</v>
      </c>
      <c r="D117" s="93" t="s">
        <v>29</v>
      </c>
      <c r="E117" s="93"/>
      <c r="F117" s="93"/>
      <c r="G117" s="93"/>
      <c r="H117" s="93"/>
    </row>
    <row r="118" spans="1:28" x14ac:dyDescent="0.2">
      <c r="C118" s="27" t="s">
        <v>402</v>
      </c>
      <c r="D118" s="93" t="s">
        <v>29</v>
      </c>
      <c r="E118" s="93"/>
      <c r="F118" s="93"/>
      <c r="G118" s="93"/>
      <c r="H118" s="93"/>
    </row>
    <row r="119" spans="1:28" x14ac:dyDescent="0.2">
      <c r="C119" s="27" t="s">
        <v>403</v>
      </c>
      <c r="D119" s="93" t="s">
        <v>30</v>
      </c>
      <c r="E119" s="93"/>
      <c r="F119" s="93"/>
      <c r="G119" s="93"/>
      <c r="H119" s="93"/>
    </row>
    <row r="120" spans="1:28" x14ac:dyDescent="0.2">
      <c r="C120" s="27" t="s">
        <v>404</v>
      </c>
      <c r="D120" s="93" t="s">
        <v>30</v>
      </c>
      <c r="E120" s="93"/>
      <c r="F120" s="93"/>
      <c r="G120" s="93"/>
      <c r="H120" s="93"/>
    </row>
    <row r="121" spans="1:28" x14ac:dyDescent="0.2">
      <c r="C121" s="27" t="s">
        <v>405</v>
      </c>
      <c r="D121" s="93" t="s">
        <v>29</v>
      </c>
      <c r="E121" s="93"/>
      <c r="F121" s="93"/>
      <c r="G121" s="93"/>
      <c r="H121" s="93"/>
    </row>
    <row r="122" spans="1:28" x14ac:dyDescent="0.2">
      <c r="C122" s="11" t="s">
        <v>398</v>
      </c>
      <c r="D122" s="38"/>
      <c r="E122" s="38"/>
      <c r="F122" s="38">
        <f>Source!BZ41</f>
        <v>123</v>
      </c>
      <c r="G122" s="63">
        <f>(Source!AF41+Source!AE41)*Source!FX41/100</f>
        <v>78.644601000000009</v>
      </c>
      <c r="H122" s="64">
        <f>Source!X41</f>
        <v>115.07</v>
      </c>
    </row>
    <row r="123" spans="1:28" x14ac:dyDescent="0.2">
      <c r="C123" s="11" t="s">
        <v>406</v>
      </c>
      <c r="D123" s="38"/>
      <c r="E123" s="38"/>
      <c r="F123" s="38"/>
      <c r="G123" s="38" t="str">
        <f>CONCATENATE(Source!DL41,Source!FT41, "=", Source!FX41, "%")</f>
        <v>*0,9=110,7%</v>
      </c>
      <c r="H123" s="38" t="str">
        <f>CONCATENATE(Source!AT41)</f>
        <v>111</v>
      </c>
    </row>
    <row r="124" spans="1:28" x14ac:dyDescent="0.2">
      <c r="C124" s="11" t="s">
        <v>399</v>
      </c>
      <c r="D124" s="38"/>
      <c r="E124" s="38"/>
      <c r="F124" s="38">
        <f>Source!CA41</f>
        <v>75</v>
      </c>
      <c r="G124" s="63">
        <f>(Source!AF41+Source!AE41)*Source!FY41/100</f>
        <v>45.2899125</v>
      </c>
      <c r="H124" s="64">
        <f>Source!Y41</f>
        <v>66.349999999999994</v>
      </c>
    </row>
    <row r="125" spans="1:28" x14ac:dyDescent="0.2">
      <c r="C125" s="11" t="s">
        <v>407</v>
      </c>
      <c r="D125" s="38"/>
      <c r="E125" s="38"/>
      <c r="F125" s="38"/>
      <c r="G125" s="38" t="str">
        <f>CONCATENATE(Source!DM41,Source!FU41, "=", Source!FY41, "%")</f>
        <v>*0,85=63,75%</v>
      </c>
      <c r="H125" s="38" t="str">
        <f>CONCATENATE(Source!AU41)</f>
        <v>64</v>
      </c>
    </row>
    <row r="126" spans="1:28" x14ac:dyDescent="0.2">
      <c r="C126" s="11" t="s">
        <v>400</v>
      </c>
      <c r="D126" s="38"/>
      <c r="E126" s="38"/>
      <c r="F126" s="38"/>
      <c r="G126" s="63">
        <f>((Source!AF41+Source!AE41)*Source!FX41/100)+((Source!AF41+Source!AE41)*Source!FY41/100)+Source!AB41</f>
        <v>270.75501350000002</v>
      </c>
      <c r="H126" s="64">
        <f>Source!O41+Source!X41+Source!Y41</f>
        <v>395.66999999999996</v>
      </c>
    </row>
    <row r="127" spans="1:28" ht="28.5" x14ac:dyDescent="0.2">
      <c r="A127" s="52">
        <v>10</v>
      </c>
      <c r="B127" s="52" t="str">
        <f>Source!E43</f>
        <v>6,1</v>
      </c>
      <c r="C127" s="52" t="str">
        <f>Source!G43</f>
        <v>Заглушка торцевая для пластикового плинтуса левая, высота 49 мм</v>
      </c>
      <c r="D127" s="52" t="str">
        <f>Source!F43</f>
        <v>11.3.03.14-0002</v>
      </c>
      <c r="E127" s="35" t="str">
        <f>Source!H43</f>
        <v>100 шт.</v>
      </c>
      <c r="F127" s="14">
        <f>Source!I43</f>
        <v>0.02</v>
      </c>
      <c r="G127" s="25">
        <f>Source!AB43</f>
        <v>101</v>
      </c>
      <c r="H127" s="26">
        <f>Source!O43</f>
        <v>12.28</v>
      </c>
      <c r="T127">
        <f>Source!O43+Source!X43+Source!Y43</f>
        <v>12.28</v>
      </c>
      <c r="U127">
        <f>Source!P43</f>
        <v>12.28</v>
      </c>
      <c r="V127">
        <f>Source!S43</f>
        <v>0</v>
      </c>
      <c r="W127">
        <f>Source!Q43</f>
        <v>0</v>
      </c>
      <c r="X127">
        <f>Source!R43</f>
        <v>0</v>
      </c>
      <c r="Y127">
        <f>Source!U43</f>
        <v>0</v>
      </c>
      <c r="Z127">
        <f>Source!V43</f>
        <v>0</v>
      </c>
      <c r="AA127">
        <f>Source!X43</f>
        <v>0</v>
      </c>
      <c r="AB127">
        <f>Source!Y43</f>
        <v>0</v>
      </c>
    </row>
    <row r="128" spans="1:28" ht="14.25" x14ac:dyDescent="0.2">
      <c r="C128" s="27" t="s">
        <v>396</v>
      </c>
      <c r="D128" s="27">
        <f>Source!BC43</f>
        <v>6.08</v>
      </c>
      <c r="F128" s="14"/>
      <c r="G128" s="14"/>
      <c r="H128" s="14"/>
    </row>
    <row r="129" spans="1:28" ht="28.5" x14ac:dyDescent="0.2">
      <c r="A129" s="52">
        <v>11</v>
      </c>
      <c r="B129" s="52" t="str">
        <f>Source!E45</f>
        <v>6,2</v>
      </c>
      <c r="C129" s="52" t="str">
        <f>Source!G45</f>
        <v>Плинтуса для полов пластиковые, 19х48 мм</v>
      </c>
      <c r="D129" s="52" t="str">
        <f>Source!F45</f>
        <v>11.3.03.06-0001</v>
      </c>
      <c r="E129" s="35" t="str">
        <f>Source!H45</f>
        <v>м</v>
      </c>
      <c r="F129" s="14">
        <f>Source!I45</f>
        <v>24.24</v>
      </c>
      <c r="G129" s="25">
        <f>Source!AB45</f>
        <v>12.3</v>
      </c>
      <c r="H129" s="26">
        <f>Source!O45</f>
        <v>1812.76</v>
      </c>
      <c r="T129">
        <f>Source!O45+Source!X45+Source!Y45</f>
        <v>1812.76</v>
      </c>
      <c r="U129">
        <f>Source!P45</f>
        <v>1812.76</v>
      </c>
      <c r="V129">
        <f>Source!S45</f>
        <v>0</v>
      </c>
      <c r="W129">
        <f>Source!Q45</f>
        <v>0</v>
      </c>
      <c r="X129">
        <f>Source!R45</f>
        <v>0</v>
      </c>
      <c r="Y129">
        <f>Source!U45</f>
        <v>0</v>
      </c>
      <c r="Z129">
        <f>Source!V45</f>
        <v>0</v>
      </c>
      <c r="AA129">
        <f>Source!X45</f>
        <v>0</v>
      </c>
      <c r="AB129">
        <f>Source!Y45</f>
        <v>0</v>
      </c>
    </row>
    <row r="130" spans="1:28" ht="14.25" x14ac:dyDescent="0.2">
      <c r="C130" s="27" t="s">
        <v>396</v>
      </c>
      <c r="D130" s="27">
        <f>Source!BC45</f>
        <v>6.08</v>
      </c>
      <c r="F130" s="14"/>
      <c r="G130" s="14"/>
      <c r="H130" s="14"/>
    </row>
    <row r="131" spans="1:28" ht="28.5" x14ac:dyDescent="0.2">
      <c r="A131" s="52">
        <v>12</v>
      </c>
      <c r="B131" s="52" t="str">
        <f>Source!E47</f>
        <v>6,3</v>
      </c>
      <c r="C131" s="52" t="str">
        <f>Source!G47</f>
        <v>Заглушки торцевая для пластикового плинтуса правая, высота 49 мм</v>
      </c>
      <c r="D131" s="52" t="str">
        <f>Source!F47</f>
        <v>11.3.03.14-0012</v>
      </c>
      <c r="E131" s="35" t="str">
        <f>Source!H47</f>
        <v>100 шт.</v>
      </c>
      <c r="F131" s="14">
        <f>Source!I47</f>
        <v>0.02</v>
      </c>
      <c r="G131" s="25">
        <f>Source!AB47</f>
        <v>101</v>
      </c>
      <c r="H131" s="26">
        <f>Source!O47</f>
        <v>12.28</v>
      </c>
      <c r="T131">
        <f>Source!O47+Source!X47+Source!Y47</f>
        <v>12.28</v>
      </c>
      <c r="U131">
        <f>Source!P47</f>
        <v>12.28</v>
      </c>
      <c r="V131">
        <f>Source!S47</f>
        <v>0</v>
      </c>
      <c r="W131">
        <f>Source!Q47</f>
        <v>0</v>
      </c>
      <c r="X131">
        <f>Source!R47</f>
        <v>0</v>
      </c>
      <c r="Y131">
        <f>Source!U47</f>
        <v>0</v>
      </c>
      <c r="Z131">
        <f>Source!V47</f>
        <v>0</v>
      </c>
      <c r="AA131">
        <f>Source!X47</f>
        <v>0</v>
      </c>
      <c r="AB131">
        <f>Source!Y47</f>
        <v>0</v>
      </c>
    </row>
    <row r="132" spans="1:28" ht="14.25" x14ac:dyDescent="0.2">
      <c r="C132" s="27" t="s">
        <v>396</v>
      </c>
      <c r="D132" s="27">
        <f>Source!BC47</f>
        <v>6.08</v>
      </c>
      <c r="F132" s="14"/>
      <c r="G132" s="14"/>
      <c r="H132" s="14"/>
    </row>
    <row r="133" spans="1:28" ht="28.5" x14ac:dyDescent="0.2">
      <c r="A133" s="52">
        <v>13</v>
      </c>
      <c r="B133" s="52" t="str">
        <f>Source!E49</f>
        <v>6,4</v>
      </c>
      <c r="C133" s="52" t="str">
        <f>Source!G49</f>
        <v>Соединитель для пластикового плинтуса, высота 49 мм</v>
      </c>
      <c r="D133" s="52" t="str">
        <f>Source!F49</f>
        <v>11.3.03.14-0022</v>
      </c>
      <c r="E133" s="35" t="str">
        <f>Source!H49</f>
        <v>100 шт.</v>
      </c>
      <c r="F133" s="14">
        <f>Source!I49</f>
        <v>0.1</v>
      </c>
      <c r="G133" s="25">
        <f>Source!AB49</f>
        <v>128</v>
      </c>
      <c r="H133" s="26">
        <f>Source!O49</f>
        <v>77.819999999999993</v>
      </c>
      <c r="T133">
        <f>Source!O49+Source!X49+Source!Y49</f>
        <v>77.819999999999993</v>
      </c>
      <c r="U133">
        <f>Source!P49</f>
        <v>77.819999999999993</v>
      </c>
      <c r="V133">
        <f>Source!S49</f>
        <v>0</v>
      </c>
      <c r="W133">
        <f>Source!Q49</f>
        <v>0</v>
      </c>
      <c r="X133">
        <f>Source!R49</f>
        <v>0</v>
      </c>
      <c r="Y133">
        <f>Source!U49</f>
        <v>0</v>
      </c>
      <c r="Z133">
        <f>Source!V49</f>
        <v>0</v>
      </c>
      <c r="AA133">
        <f>Source!X49</f>
        <v>0</v>
      </c>
      <c r="AB133">
        <f>Source!Y49</f>
        <v>0</v>
      </c>
    </row>
    <row r="134" spans="1:28" ht="14.25" x14ac:dyDescent="0.2">
      <c r="C134" s="27" t="s">
        <v>396</v>
      </c>
      <c r="D134" s="27">
        <f>Source!BC49</f>
        <v>6.08</v>
      </c>
      <c r="F134" s="14"/>
      <c r="G134" s="14"/>
      <c r="H134" s="14"/>
    </row>
    <row r="135" spans="1:28" ht="28.5" x14ac:dyDescent="0.2">
      <c r="A135" s="52">
        <v>14</v>
      </c>
      <c r="B135" s="52" t="str">
        <f>Source!E51</f>
        <v>6,5</v>
      </c>
      <c r="C135" s="52" t="str">
        <f>Source!G51</f>
        <v>Уголок внутренний для пластикового плинтуса, высота 49 мм</v>
      </c>
      <c r="D135" s="52" t="str">
        <f>Source!F51</f>
        <v>11.3.03.14-0032</v>
      </c>
      <c r="E135" s="35" t="str">
        <f>Source!H51</f>
        <v>100 шт.</v>
      </c>
      <c r="F135" s="14">
        <f>Source!I51</f>
        <v>0.02</v>
      </c>
      <c r="G135" s="25">
        <f>Source!AB51</f>
        <v>128</v>
      </c>
      <c r="H135" s="26">
        <f>Source!O51</f>
        <v>15.56</v>
      </c>
      <c r="T135">
        <f>Source!O51+Source!X51+Source!Y51</f>
        <v>15.56</v>
      </c>
      <c r="U135">
        <f>Source!P51</f>
        <v>15.56</v>
      </c>
      <c r="V135">
        <f>Source!S51</f>
        <v>0</v>
      </c>
      <c r="W135">
        <f>Source!Q51</f>
        <v>0</v>
      </c>
      <c r="X135">
        <f>Source!R51</f>
        <v>0</v>
      </c>
      <c r="Y135">
        <f>Source!U51</f>
        <v>0</v>
      </c>
      <c r="Z135">
        <f>Source!V51</f>
        <v>0</v>
      </c>
      <c r="AA135">
        <f>Source!X51</f>
        <v>0</v>
      </c>
      <c r="AB135">
        <f>Source!Y51</f>
        <v>0</v>
      </c>
    </row>
    <row r="136" spans="1:28" ht="14.25" x14ac:dyDescent="0.2">
      <c r="C136" s="27" t="s">
        <v>396</v>
      </c>
      <c r="D136" s="27">
        <f>Source!BC51</f>
        <v>6.08</v>
      </c>
      <c r="F136" s="14"/>
      <c r="G136" s="14"/>
      <c r="H136" s="14"/>
    </row>
    <row r="137" spans="1:28" ht="28.5" x14ac:dyDescent="0.2">
      <c r="A137" s="52">
        <v>15</v>
      </c>
      <c r="B137" s="52" t="str">
        <f>Source!E53</f>
        <v>6,6</v>
      </c>
      <c r="C137" s="52" t="str">
        <f>Source!G53</f>
        <v>Уголок наружный для пластикового плинтуса, высота 49 мм</v>
      </c>
      <c r="D137" s="52" t="str">
        <f>Source!F53</f>
        <v>11.3.03.14-0034</v>
      </c>
      <c r="E137" s="35" t="str">
        <f>Source!H53</f>
        <v>100 шт.</v>
      </c>
      <c r="F137" s="14">
        <f>Source!I53</f>
        <v>0.02</v>
      </c>
      <c r="G137" s="25">
        <f>Source!AB53</f>
        <v>128</v>
      </c>
      <c r="H137" s="26">
        <f>Source!O53</f>
        <v>15.56</v>
      </c>
      <c r="T137">
        <f>Source!O53+Source!X53+Source!Y53</f>
        <v>15.56</v>
      </c>
      <c r="U137">
        <f>Source!P53</f>
        <v>15.56</v>
      </c>
      <c r="V137">
        <f>Source!S53</f>
        <v>0</v>
      </c>
      <c r="W137">
        <f>Source!Q53</f>
        <v>0</v>
      </c>
      <c r="X137">
        <f>Source!R53</f>
        <v>0</v>
      </c>
      <c r="Y137">
        <f>Source!U53</f>
        <v>0</v>
      </c>
      <c r="Z137">
        <f>Source!V53</f>
        <v>0</v>
      </c>
      <c r="AA137">
        <f>Source!X53</f>
        <v>0</v>
      </c>
      <c r="AB137">
        <f>Source!Y53</f>
        <v>0</v>
      </c>
    </row>
    <row r="138" spans="1:28" ht="14.25" x14ac:dyDescent="0.2">
      <c r="C138" s="27" t="s">
        <v>396</v>
      </c>
      <c r="D138" s="27">
        <f>Source!BC53</f>
        <v>6.08</v>
      </c>
      <c r="F138" s="14"/>
      <c r="G138" s="14"/>
      <c r="H138" s="14"/>
    </row>
    <row r="139" spans="1:28" ht="28.5" x14ac:dyDescent="0.2">
      <c r="A139" s="52">
        <v>16</v>
      </c>
      <c r="B139" s="52" t="str">
        <f>Source!E55</f>
        <v>7</v>
      </c>
      <c r="C139" s="52" t="str">
        <f>Source!G55</f>
        <v>Очистка поверхности щетками стен и потолка от красок</v>
      </c>
      <c r="D139" s="52" t="str">
        <f>Source!F55</f>
        <v>13-06-003-01</v>
      </c>
      <c r="E139" s="35" t="str">
        <f>Source!H55</f>
        <v>м2</v>
      </c>
      <c r="F139" s="14">
        <f>Source!I55</f>
        <v>121.3</v>
      </c>
      <c r="G139" s="25">
        <f>Source!AB55</f>
        <v>8.8320000000000007</v>
      </c>
      <c r="H139" s="26">
        <f>Source!O55</f>
        <v>6513.64</v>
      </c>
      <c r="T139">
        <f>Source!O55+Source!X55+Source!Y55</f>
        <v>15697.87</v>
      </c>
      <c r="U139">
        <f>Source!P55</f>
        <v>0</v>
      </c>
      <c r="V139">
        <f>Source!S55</f>
        <v>6513.64</v>
      </c>
      <c r="W139">
        <f>Source!Q55</f>
        <v>0</v>
      </c>
      <c r="X139">
        <f>Source!R55</f>
        <v>0</v>
      </c>
      <c r="Y139">
        <f>Source!U55</f>
        <v>125.54549999999999</v>
      </c>
      <c r="Z139">
        <f>Source!V55</f>
        <v>0</v>
      </c>
      <c r="AA139">
        <f>Source!X55</f>
        <v>5276.05</v>
      </c>
      <c r="AB139">
        <f>Source!Y55</f>
        <v>3908.18</v>
      </c>
    </row>
    <row r="140" spans="1:28" ht="14.25" x14ac:dyDescent="0.2">
      <c r="C140" s="27" t="s">
        <v>394</v>
      </c>
      <c r="D140" s="27">
        <f>Source!BA55</f>
        <v>6.08</v>
      </c>
      <c r="F140" s="14"/>
      <c r="G140" s="14"/>
      <c r="H140" s="14"/>
    </row>
    <row r="141" spans="1:28" x14ac:dyDescent="0.2">
      <c r="C141" s="27" t="s">
        <v>395</v>
      </c>
      <c r="D141" s="27">
        <f>Source!BB55</f>
        <v>6.08</v>
      </c>
    </row>
    <row r="142" spans="1:28" x14ac:dyDescent="0.2">
      <c r="C142" s="27" t="s">
        <v>396</v>
      </c>
      <c r="D142" s="27">
        <f>Source!BC55</f>
        <v>6.08</v>
      </c>
    </row>
    <row r="143" spans="1:28" x14ac:dyDescent="0.2">
      <c r="C143" s="27" t="s">
        <v>397</v>
      </c>
      <c r="D143" s="27">
        <f>Source!BS55</f>
        <v>6.08</v>
      </c>
    </row>
    <row r="144" spans="1:28" x14ac:dyDescent="0.2">
      <c r="C144" s="27" t="s">
        <v>401</v>
      </c>
      <c r="D144" s="93" t="s">
        <v>29</v>
      </c>
      <c r="E144" s="93"/>
      <c r="F144" s="93"/>
      <c r="G144" s="93"/>
      <c r="H144" s="93"/>
    </row>
    <row r="145" spans="1:28" x14ac:dyDescent="0.2">
      <c r="C145" s="27" t="s">
        <v>402</v>
      </c>
      <c r="D145" s="93" t="s">
        <v>29</v>
      </c>
      <c r="E145" s="93"/>
      <c r="F145" s="93"/>
      <c r="G145" s="93"/>
      <c r="H145" s="93"/>
    </row>
    <row r="146" spans="1:28" x14ac:dyDescent="0.2">
      <c r="C146" s="27" t="s">
        <v>403</v>
      </c>
      <c r="D146" s="93" t="s">
        <v>30</v>
      </c>
      <c r="E146" s="93"/>
      <c r="F146" s="93"/>
      <c r="G146" s="93"/>
      <c r="H146" s="93"/>
    </row>
    <row r="147" spans="1:28" x14ac:dyDescent="0.2">
      <c r="C147" s="27" t="s">
        <v>404</v>
      </c>
      <c r="D147" s="93" t="s">
        <v>30</v>
      </c>
      <c r="E147" s="93"/>
      <c r="F147" s="93"/>
      <c r="G147" s="93"/>
      <c r="H147" s="93"/>
    </row>
    <row r="148" spans="1:28" x14ac:dyDescent="0.2">
      <c r="C148" s="27" t="s">
        <v>405</v>
      </c>
      <c r="D148" s="93" t="s">
        <v>29</v>
      </c>
      <c r="E148" s="93"/>
      <c r="F148" s="93"/>
      <c r="G148" s="93"/>
      <c r="H148" s="93"/>
    </row>
    <row r="149" spans="1:28" x14ac:dyDescent="0.2">
      <c r="C149" s="11" t="s">
        <v>398</v>
      </c>
      <c r="D149" s="38"/>
      <c r="E149" s="38"/>
      <c r="F149" s="38">
        <f>Source!BZ55</f>
        <v>90</v>
      </c>
      <c r="G149" s="63">
        <f>(Source!AF55+Source!AE55)*Source!FX55/100</f>
        <v>7.1539200000000003</v>
      </c>
      <c r="H149" s="64">
        <f>Source!X55</f>
        <v>5276.05</v>
      </c>
    </row>
    <row r="150" spans="1:28" x14ac:dyDescent="0.2">
      <c r="C150" s="11" t="s">
        <v>406</v>
      </c>
      <c r="D150" s="38"/>
      <c r="E150" s="38"/>
      <c r="F150" s="38"/>
      <c r="G150" s="38" t="str">
        <f>CONCATENATE(Source!DL55,Source!FT55, "=", Source!FX55, "%")</f>
        <v>*0,9=81%</v>
      </c>
      <c r="H150" s="38" t="str">
        <f>CONCATENATE(Source!AT55)</f>
        <v>81</v>
      </c>
    </row>
    <row r="151" spans="1:28" x14ac:dyDescent="0.2">
      <c r="C151" s="11" t="s">
        <v>399</v>
      </c>
      <c r="D151" s="38"/>
      <c r="E151" s="38"/>
      <c r="F151" s="38">
        <f>Source!CA55</f>
        <v>70</v>
      </c>
      <c r="G151" s="63">
        <f>(Source!AF55+Source!AE55)*Source!FY55/100</f>
        <v>5.2550400000000002</v>
      </c>
      <c r="H151" s="64">
        <f>Source!Y55</f>
        <v>3908.18</v>
      </c>
    </row>
    <row r="152" spans="1:28" x14ac:dyDescent="0.2">
      <c r="C152" s="11" t="s">
        <v>407</v>
      </c>
      <c r="D152" s="38"/>
      <c r="E152" s="38"/>
      <c r="F152" s="38"/>
      <c r="G152" s="38" t="str">
        <f>CONCATENATE(Source!DM55,Source!FU55, "=", Source!FY55, "%")</f>
        <v>*0,85=59,5%</v>
      </c>
      <c r="H152" s="38" t="str">
        <f>CONCATENATE(Source!AU55)</f>
        <v>60</v>
      </c>
    </row>
    <row r="153" spans="1:28" x14ac:dyDescent="0.2">
      <c r="C153" s="11" t="s">
        <v>400</v>
      </c>
      <c r="D153" s="38"/>
      <c r="E153" s="38"/>
      <c r="F153" s="38"/>
      <c r="G153" s="63">
        <f>((Source!AF55+Source!AE55)*Source!FX55/100)+((Source!AF55+Source!AE55)*Source!FY55/100)+Source!AB55</f>
        <v>21.240960000000001</v>
      </c>
      <c r="H153" s="64">
        <f>Source!O55+Source!X55+Source!Y55</f>
        <v>15697.87</v>
      </c>
    </row>
    <row r="154" spans="1:28" ht="57" x14ac:dyDescent="0.2">
      <c r="A154" s="52">
        <v>17</v>
      </c>
      <c r="B154" s="52" t="str">
        <f>Source!E57</f>
        <v>8</v>
      </c>
      <c r="C154" s="52" t="str">
        <f>Source!G57</f>
        <v>Сплошное выравнивание внутренних поверхностей (однослойное оштукатуривание) из сухих растворных смесей толщиной до 10 мм стен</v>
      </c>
      <c r="D154" s="52" t="str">
        <f>Source!F57</f>
        <v>15-02-019-03</v>
      </c>
      <c r="E154" s="35" t="str">
        <f>Source!H57</f>
        <v>100 м2</v>
      </c>
      <c r="F154" s="14">
        <f>Source!I57</f>
        <v>0.81399999999999995</v>
      </c>
      <c r="G154" s="25">
        <f>Source!AB57</f>
        <v>341.23849999999999</v>
      </c>
      <c r="H154" s="26">
        <f>Source!O57</f>
        <v>1688.83</v>
      </c>
      <c r="T154">
        <f>Source!O57+Source!X57+Source!Y57</f>
        <v>4017.21</v>
      </c>
      <c r="U154">
        <f>Source!P57</f>
        <v>6.14</v>
      </c>
      <c r="V154">
        <f>Source!S57</f>
        <v>1577.34</v>
      </c>
      <c r="W154">
        <f>Source!Q57</f>
        <v>105.35</v>
      </c>
      <c r="X154">
        <f>Source!R57</f>
        <v>62.36</v>
      </c>
      <c r="Y154">
        <f>Source!U57</f>
        <v>30.413889000000001</v>
      </c>
      <c r="Z154">
        <f>Source!V57</f>
        <v>0.94627499999999998</v>
      </c>
      <c r="AA154">
        <f>Source!X57</f>
        <v>1557.72</v>
      </c>
      <c r="AB154">
        <f>Source!Y57</f>
        <v>770.66</v>
      </c>
    </row>
    <row r="155" spans="1:28" ht="14.25" x14ac:dyDescent="0.2">
      <c r="C155" s="27" t="str">
        <f>"Объем: "&amp;Source!I57&amp;"=81,4/"&amp;"100"</f>
        <v>Объем: 0,814=81,4/100</v>
      </c>
      <c r="F155" s="14"/>
      <c r="G155" s="14"/>
      <c r="H155" s="14"/>
    </row>
    <row r="156" spans="1:28" x14ac:dyDescent="0.2">
      <c r="C156" s="27" t="s">
        <v>394</v>
      </c>
      <c r="D156" s="27">
        <f>Source!BA57</f>
        <v>6.08</v>
      </c>
    </row>
    <row r="157" spans="1:28" x14ac:dyDescent="0.2">
      <c r="C157" s="27" t="s">
        <v>395</v>
      </c>
      <c r="D157" s="27">
        <f>Source!BB57</f>
        <v>6.08</v>
      </c>
    </row>
    <row r="158" spans="1:28" x14ac:dyDescent="0.2">
      <c r="C158" s="27" t="s">
        <v>396</v>
      </c>
      <c r="D158" s="27">
        <f>Source!BC57</f>
        <v>6.08</v>
      </c>
    </row>
    <row r="159" spans="1:28" x14ac:dyDescent="0.2">
      <c r="C159" s="27" t="s">
        <v>397</v>
      </c>
      <c r="D159" s="27">
        <f>Source!BS57</f>
        <v>6.08</v>
      </c>
    </row>
    <row r="160" spans="1:28" x14ac:dyDescent="0.2">
      <c r="C160" s="27" t="s">
        <v>401</v>
      </c>
      <c r="D160" s="93" t="s">
        <v>29</v>
      </c>
      <c r="E160" s="93"/>
      <c r="F160" s="93"/>
      <c r="G160" s="93"/>
      <c r="H160" s="93"/>
    </row>
    <row r="161" spans="1:28" x14ac:dyDescent="0.2">
      <c r="C161" s="27" t="s">
        <v>402</v>
      </c>
      <c r="D161" s="93" t="s">
        <v>29</v>
      </c>
      <c r="E161" s="93"/>
      <c r="F161" s="93"/>
      <c r="G161" s="93"/>
      <c r="H161" s="93"/>
    </row>
    <row r="162" spans="1:28" x14ac:dyDescent="0.2">
      <c r="C162" s="27" t="s">
        <v>403</v>
      </c>
      <c r="D162" s="93" t="s">
        <v>30</v>
      </c>
      <c r="E162" s="93"/>
      <c r="F162" s="93"/>
      <c r="G162" s="93"/>
      <c r="H162" s="93"/>
    </row>
    <row r="163" spans="1:28" x14ac:dyDescent="0.2">
      <c r="C163" s="27" t="s">
        <v>404</v>
      </c>
      <c r="D163" s="93" t="s">
        <v>30</v>
      </c>
      <c r="E163" s="93"/>
      <c r="F163" s="93"/>
      <c r="G163" s="93"/>
      <c r="H163" s="93"/>
    </row>
    <row r="164" spans="1:28" x14ac:dyDescent="0.2">
      <c r="C164" s="27" t="s">
        <v>405</v>
      </c>
      <c r="D164" s="93" t="s">
        <v>29</v>
      </c>
      <c r="E164" s="93"/>
      <c r="F164" s="93"/>
      <c r="G164" s="93"/>
      <c r="H164" s="93"/>
    </row>
    <row r="165" spans="1:28" x14ac:dyDescent="0.2">
      <c r="C165" s="11" t="s">
        <v>398</v>
      </c>
      <c r="D165" s="38"/>
      <c r="E165" s="38"/>
      <c r="F165" s="38">
        <f>Source!BZ57</f>
        <v>105</v>
      </c>
      <c r="G165" s="63">
        <f>(Source!AF57+Source!AE57)*Source!FX57/100</f>
        <v>313.08889500000004</v>
      </c>
      <c r="H165" s="64">
        <f>Source!X57</f>
        <v>1557.72</v>
      </c>
    </row>
    <row r="166" spans="1:28" x14ac:dyDescent="0.2">
      <c r="C166" s="11" t="s">
        <v>406</v>
      </c>
      <c r="D166" s="38"/>
      <c r="E166" s="38"/>
      <c r="F166" s="38"/>
      <c r="G166" s="38" t="str">
        <f>CONCATENATE(Source!DL57,Source!FT57, "=", Source!FX57, "%")</f>
        <v>*0,9=94,5%</v>
      </c>
      <c r="H166" s="38" t="str">
        <f>CONCATENATE(Source!AT57)</f>
        <v>95</v>
      </c>
    </row>
    <row r="167" spans="1:28" x14ac:dyDescent="0.2">
      <c r="C167" s="11" t="s">
        <v>399</v>
      </c>
      <c r="D167" s="38"/>
      <c r="E167" s="38"/>
      <c r="F167" s="38">
        <f>Source!CA57</f>
        <v>55</v>
      </c>
      <c r="G167" s="63">
        <f>(Source!AF57+Source!AE57)*Source!FY57/100</f>
        <v>154.88789250000002</v>
      </c>
      <c r="H167" s="64">
        <f>Source!Y57</f>
        <v>770.66</v>
      </c>
    </row>
    <row r="168" spans="1:28" x14ac:dyDescent="0.2">
      <c r="C168" s="11" t="s">
        <v>407</v>
      </c>
      <c r="D168" s="38"/>
      <c r="E168" s="38"/>
      <c r="F168" s="38"/>
      <c r="G168" s="38" t="str">
        <f>CONCATENATE(Source!DM57,Source!FU57, "=", Source!FY57, "%")</f>
        <v>*0,85=46,75%</v>
      </c>
      <c r="H168" s="38" t="str">
        <f>CONCATENATE(Source!AU57)</f>
        <v>47</v>
      </c>
    </row>
    <row r="169" spans="1:28" x14ac:dyDescent="0.2">
      <c r="C169" s="11" t="s">
        <v>400</v>
      </c>
      <c r="D169" s="38"/>
      <c r="E169" s="38"/>
      <c r="F169" s="38"/>
      <c r="G169" s="63">
        <f>((Source!AF57+Source!AE57)*Source!FX57/100)+((Source!AF57+Source!AE57)*Source!FY57/100)+Source!AB57</f>
        <v>809.21528750000004</v>
      </c>
      <c r="H169" s="64">
        <f>Source!O57+Source!X57+Source!Y57</f>
        <v>4017.21</v>
      </c>
    </row>
    <row r="170" spans="1:28" ht="42.75" x14ac:dyDescent="0.2">
      <c r="A170" s="52">
        <v>18</v>
      </c>
      <c r="B170" s="52" t="str">
        <f>Source!E59</f>
        <v>8,1</v>
      </c>
      <c r="C170" s="52" t="str">
        <f>Source!G59</f>
        <v>Смесь сухая штукатурная цементно-известково-песчаная "БИРСС 15" (марка М100)</v>
      </c>
      <c r="D170" s="52" t="str">
        <f>Source!F59</f>
        <v>04.3.02.12-0002</v>
      </c>
      <c r="E170" s="35" t="str">
        <f>Source!H59</f>
        <v>т</v>
      </c>
      <c r="F170" s="14">
        <f>Source!I59</f>
        <v>0.69189999999999996</v>
      </c>
      <c r="G170" s="25">
        <f>Source!AB59</f>
        <v>931.37</v>
      </c>
      <c r="H170" s="26">
        <f>Source!O59</f>
        <v>3918.04</v>
      </c>
      <c r="T170">
        <f>Source!O59+Source!X59+Source!Y59</f>
        <v>3918.04</v>
      </c>
      <c r="U170">
        <f>Source!P59</f>
        <v>3918.04</v>
      </c>
      <c r="V170">
        <f>Source!S59</f>
        <v>0</v>
      </c>
      <c r="W170">
        <f>Source!Q59</f>
        <v>0</v>
      </c>
      <c r="X170">
        <f>Source!R59</f>
        <v>0</v>
      </c>
      <c r="Y170">
        <f>Source!U59</f>
        <v>0</v>
      </c>
      <c r="Z170">
        <f>Source!V59</f>
        <v>0</v>
      </c>
      <c r="AA170">
        <f>Source!X59</f>
        <v>0</v>
      </c>
      <c r="AB170">
        <f>Source!Y59</f>
        <v>0</v>
      </c>
    </row>
    <row r="171" spans="1:28" ht="14.25" x14ac:dyDescent="0.2">
      <c r="C171" s="27" t="s">
        <v>396</v>
      </c>
      <c r="D171" s="27">
        <f>Source!BC59</f>
        <v>6.08</v>
      </c>
      <c r="F171" s="14"/>
      <c r="G171" s="14"/>
      <c r="H171" s="14"/>
    </row>
    <row r="172" spans="1:28" ht="28.5" x14ac:dyDescent="0.2">
      <c r="A172" s="52">
        <v>19</v>
      </c>
      <c r="B172" s="52" t="str">
        <f>Source!E61</f>
        <v>8,2</v>
      </c>
      <c r="C172" s="52" t="str">
        <f>Source!G61</f>
        <v>Грунтовка: водно-дисперсионная "БИРСС Бетон-контакт"</v>
      </c>
      <c r="D172" s="52" t="str">
        <f>Source!F61</f>
        <v>14.3.01.02-0102</v>
      </c>
      <c r="E172" s="35" t="str">
        <f>Source!H61</f>
        <v>т</v>
      </c>
      <c r="F172" s="14">
        <f>Source!I61</f>
        <v>1.6279999999999999E-2</v>
      </c>
      <c r="G172" s="25">
        <f>Source!AB61</f>
        <v>18390.16</v>
      </c>
      <c r="H172" s="26">
        <f>Source!O61</f>
        <v>1820.3</v>
      </c>
      <c r="T172">
        <f>Source!O61+Source!X61+Source!Y61</f>
        <v>1820.3</v>
      </c>
      <c r="U172">
        <f>Source!P61</f>
        <v>1820.3</v>
      </c>
      <c r="V172">
        <f>Source!S61</f>
        <v>0</v>
      </c>
      <c r="W172">
        <f>Source!Q61</f>
        <v>0</v>
      </c>
      <c r="X172">
        <f>Source!R61</f>
        <v>0</v>
      </c>
      <c r="Y172">
        <f>Source!U61</f>
        <v>0</v>
      </c>
      <c r="Z172">
        <f>Source!V61</f>
        <v>0</v>
      </c>
      <c r="AA172">
        <f>Source!X61</f>
        <v>0</v>
      </c>
      <c r="AB172">
        <f>Source!Y61</f>
        <v>0</v>
      </c>
    </row>
    <row r="173" spans="1:28" ht="14.25" x14ac:dyDescent="0.2">
      <c r="C173" s="27" t="s">
        <v>396</v>
      </c>
      <c r="D173" s="27">
        <f>Source!BC61</f>
        <v>6.08</v>
      </c>
      <c r="F173" s="14"/>
      <c r="G173" s="14"/>
      <c r="H173" s="14"/>
    </row>
    <row r="174" spans="1:28" ht="42.75" x14ac:dyDescent="0.2">
      <c r="A174" s="52">
        <v>20</v>
      </c>
      <c r="B174" s="52" t="str">
        <f>Source!E63</f>
        <v>9</v>
      </c>
      <c r="C174" s="52" t="str">
        <f>Source!G63</f>
        <v>Окраска водно-дисперсионными акриловыми составами улучшенная по штукатурке стен</v>
      </c>
      <c r="D174" s="52" t="str">
        <f>Source!F63</f>
        <v>15-04-007-01</v>
      </c>
      <c r="E174" s="35" t="str">
        <f>Source!H63</f>
        <v>100 м2</v>
      </c>
      <c r="F174" s="14">
        <f>Source!I63</f>
        <v>0.81399999999999995</v>
      </c>
      <c r="G174" s="25">
        <f>Source!AB63</f>
        <v>1093.3889999999999</v>
      </c>
      <c r="H174" s="26">
        <f>Source!O63</f>
        <v>5411.32</v>
      </c>
      <c r="T174">
        <f>Source!O63+Source!X63+Source!Y63</f>
        <v>8505.5</v>
      </c>
      <c r="U174">
        <f>Source!P63</f>
        <v>3180.11</v>
      </c>
      <c r="V174">
        <f>Source!S63</f>
        <v>2166.81</v>
      </c>
      <c r="W174">
        <f>Source!Q63</f>
        <v>64.400000000000006</v>
      </c>
      <c r="X174">
        <f>Source!R63</f>
        <v>12.19</v>
      </c>
      <c r="Y174">
        <f>Source!U63</f>
        <v>40.776516000000001</v>
      </c>
      <c r="Z174">
        <f>Source!V63</f>
        <v>0.17297500000000002</v>
      </c>
      <c r="AA174">
        <f>Source!X63</f>
        <v>2070.0500000000002</v>
      </c>
      <c r="AB174">
        <f>Source!Y63</f>
        <v>1024.1300000000001</v>
      </c>
    </row>
    <row r="175" spans="1:28" ht="14.25" x14ac:dyDescent="0.2">
      <c r="C175" s="27" t="str">
        <f>"Объем: "&amp;Source!I63&amp;"=81,4/"&amp;"100"</f>
        <v>Объем: 0,814=81,4/100</v>
      </c>
      <c r="F175" s="14"/>
      <c r="G175" s="14"/>
      <c r="H175" s="14"/>
    </row>
    <row r="176" spans="1:28" x14ac:dyDescent="0.2">
      <c r="C176" s="27" t="s">
        <v>394</v>
      </c>
      <c r="D176" s="27">
        <f>Source!BA63</f>
        <v>6.08</v>
      </c>
    </row>
    <row r="177" spans="1:28" x14ac:dyDescent="0.2">
      <c r="C177" s="27" t="s">
        <v>395</v>
      </c>
      <c r="D177" s="27">
        <f>Source!BB63</f>
        <v>6.08</v>
      </c>
    </row>
    <row r="178" spans="1:28" x14ac:dyDescent="0.2">
      <c r="C178" s="27" t="s">
        <v>396</v>
      </c>
      <c r="D178" s="27">
        <f>Source!BC63</f>
        <v>6.08</v>
      </c>
    </row>
    <row r="179" spans="1:28" x14ac:dyDescent="0.2">
      <c r="C179" s="27" t="s">
        <v>397</v>
      </c>
      <c r="D179" s="27">
        <f>Source!BS63</f>
        <v>6.08</v>
      </c>
    </row>
    <row r="180" spans="1:28" x14ac:dyDescent="0.2">
      <c r="C180" s="27" t="s">
        <v>401</v>
      </c>
      <c r="D180" s="93" t="s">
        <v>29</v>
      </c>
      <c r="E180" s="93"/>
      <c r="F180" s="93"/>
      <c r="G180" s="93"/>
      <c r="H180" s="93"/>
    </row>
    <row r="181" spans="1:28" x14ac:dyDescent="0.2">
      <c r="C181" s="27" t="s">
        <v>402</v>
      </c>
      <c r="D181" s="93" t="s">
        <v>29</v>
      </c>
      <c r="E181" s="93"/>
      <c r="F181" s="93"/>
      <c r="G181" s="93"/>
      <c r="H181" s="93"/>
    </row>
    <row r="182" spans="1:28" x14ac:dyDescent="0.2">
      <c r="C182" s="27" t="s">
        <v>403</v>
      </c>
      <c r="D182" s="93" t="s">
        <v>30</v>
      </c>
      <c r="E182" s="93"/>
      <c r="F182" s="93"/>
      <c r="G182" s="93"/>
      <c r="H182" s="93"/>
    </row>
    <row r="183" spans="1:28" x14ac:dyDescent="0.2">
      <c r="C183" s="27" t="s">
        <v>404</v>
      </c>
      <c r="D183" s="93" t="s">
        <v>30</v>
      </c>
      <c r="E183" s="93"/>
      <c r="F183" s="93"/>
      <c r="G183" s="93"/>
      <c r="H183" s="93"/>
    </row>
    <row r="184" spans="1:28" x14ac:dyDescent="0.2">
      <c r="C184" s="27" t="s">
        <v>405</v>
      </c>
      <c r="D184" s="93" t="s">
        <v>29</v>
      </c>
      <c r="E184" s="93"/>
      <c r="F184" s="93"/>
      <c r="G184" s="93"/>
      <c r="H184" s="93"/>
    </row>
    <row r="185" spans="1:28" x14ac:dyDescent="0.2">
      <c r="C185" s="11" t="s">
        <v>398</v>
      </c>
      <c r="D185" s="38"/>
      <c r="E185" s="38"/>
      <c r="F185" s="38">
        <f>Source!BZ63</f>
        <v>105</v>
      </c>
      <c r="G185" s="63">
        <f>(Source!AF63+Source!AE63)*Source!FX63/100</f>
        <v>416.06365499999998</v>
      </c>
      <c r="H185" s="64">
        <f>Source!X63</f>
        <v>2070.0500000000002</v>
      </c>
    </row>
    <row r="186" spans="1:28" x14ac:dyDescent="0.2">
      <c r="C186" s="11" t="s">
        <v>406</v>
      </c>
      <c r="D186" s="38"/>
      <c r="E186" s="38"/>
      <c r="F186" s="38"/>
      <c r="G186" s="38" t="str">
        <f>CONCATENATE(Source!DL63,Source!FT63, "=", Source!FX63, "%")</f>
        <v>*0,9=94,5%</v>
      </c>
      <c r="H186" s="38" t="str">
        <f>CONCATENATE(Source!AT63)</f>
        <v>95</v>
      </c>
    </row>
    <row r="187" spans="1:28" x14ac:dyDescent="0.2">
      <c r="C187" s="11" t="s">
        <v>399</v>
      </c>
      <c r="D187" s="38"/>
      <c r="E187" s="38"/>
      <c r="F187" s="38">
        <f>Source!CA63</f>
        <v>55</v>
      </c>
      <c r="G187" s="63">
        <f>(Source!AF63+Source!AE63)*Source!FY63/100</f>
        <v>205.8304325</v>
      </c>
      <c r="H187" s="64">
        <f>Source!Y63</f>
        <v>1024.1300000000001</v>
      </c>
    </row>
    <row r="188" spans="1:28" x14ac:dyDescent="0.2">
      <c r="C188" s="11" t="s">
        <v>407</v>
      </c>
      <c r="D188" s="38"/>
      <c r="E188" s="38"/>
      <c r="F188" s="38"/>
      <c r="G188" s="38" t="str">
        <f>CONCATENATE(Source!DM63,Source!FU63, "=", Source!FY63, "%")</f>
        <v>*0,85=46,75%</v>
      </c>
      <c r="H188" s="38" t="str">
        <f>CONCATENATE(Source!AU63)</f>
        <v>47</v>
      </c>
    </row>
    <row r="189" spans="1:28" x14ac:dyDescent="0.2">
      <c r="C189" s="11" t="s">
        <v>400</v>
      </c>
      <c r="D189" s="38"/>
      <c r="E189" s="38"/>
      <c r="F189" s="38"/>
      <c r="G189" s="63">
        <f>((Source!AF63+Source!AE63)*Source!FX63/100)+((Source!AF63+Source!AE63)*Source!FY63/100)+Source!AB63</f>
        <v>1715.2830875</v>
      </c>
      <c r="H189" s="64">
        <f>Source!O63+Source!X63+Source!Y63</f>
        <v>8505.5</v>
      </c>
    </row>
    <row r="190" spans="1:28" ht="28.5" x14ac:dyDescent="0.2">
      <c r="A190" s="52">
        <v>21</v>
      </c>
      <c r="B190" s="52" t="str">
        <f>Source!E65</f>
        <v>9,1</v>
      </c>
      <c r="C190" s="52" t="str">
        <f>Source!G65</f>
        <v>Краска акриловая Alpina RENOVA, CAPAROL водно-дисперсионная</v>
      </c>
      <c r="D190" s="52" t="str">
        <f>Source!F65</f>
        <v>14.3.02.01-0014</v>
      </c>
      <c r="E190" s="35" t="str">
        <f>Source!H65</f>
        <v>т</v>
      </c>
      <c r="F190" s="14">
        <f>Source!I65</f>
        <v>2.4420000000000001E-2</v>
      </c>
      <c r="G190" s="25">
        <f>Source!AB65</f>
        <v>7627.37</v>
      </c>
      <c r="H190" s="26">
        <f>Source!O65</f>
        <v>1132.46</v>
      </c>
      <c r="T190">
        <f>Source!O65+Source!X65+Source!Y65</f>
        <v>1132.46</v>
      </c>
      <c r="U190">
        <f>Source!P65</f>
        <v>1132.46</v>
      </c>
      <c r="V190">
        <f>Source!S65</f>
        <v>0</v>
      </c>
      <c r="W190">
        <f>Source!Q65</f>
        <v>0</v>
      </c>
      <c r="X190">
        <f>Source!R65</f>
        <v>0</v>
      </c>
      <c r="Y190">
        <f>Source!U65</f>
        <v>0</v>
      </c>
      <c r="Z190">
        <f>Source!V65</f>
        <v>0</v>
      </c>
      <c r="AA190">
        <f>Source!X65</f>
        <v>0</v>
      </c>
      <c r="AB190">
        <f>Source!Y65</f>
        <v>0</v>
      </c>
    </row>
    <row r="191" spans="1:28" ht="14.25" x14ac:dyDescent="0.2">
      <c r="C191" s="27" t="s">
        <v>396</v>
      </c>
      <c r="D191" s="27">
        <f>Source!BC65</f>
        <v>6.08</v>
      </c>
      <c r="F191" s="14"/>
      <c r="G191" s="14"/>
      <c r="H191" s="14"/>
    </row>
    <row r="192" spans="1:28" ht="28.5" x14ac:dyDescent="0.2">
      <c r="A192" s="52">
        <v>22</v>
      </c>
      <c r="B192" s="52" t="str">
        <f>Source!E67</f>
        <v>9,2</v>
      </c>
      <c r="C192" s="52" t="str">
        <f>Source!G67</f>
        <v>Грунтовка: водно-дисперсионная "БИРСС Бетон-контакт"</v>
      </c>
      <c r="D192" s="52" t="str">
        <f>Source!F67</f>
        <v>14.3.01.02-0102</v>
      </c>
      <c r="E192" s="35" t="str">
        <f>Source!H67</f>
        <v>т</v>
      </c>
      <c r="F192" s="14">
        <f>Source!I67</f>
        <v>1.6279999999999999E-2</v>
      </c>
      <c r="G192" s="25">
        <f>Source!AB67</f>
        <v>18390.16</v>
      </c>
      <c r="H192" s="26">
        <f>Source!O67</f>
        <v>1820.3</v>
      </c>
      <c r="T192">
        <f>Source!O67+Source!X67+Source!Y67</f>
        <v>1820.3</v>
      </c>
      <c r="U192">
        <f>Source!P67</f>
        <v>1820.3</v>
      </c>
      <c r="V192">
        <f>Source!S67</f>
        <v>0</v>
      </c>
      <c r="W192">
        <f>Source!Q67</f>
        <v>0</v>
      </c>
      <c r="X192">
        <f>Source!R67</f>
        <v>0</v>
      </c>
      <c r="Y192">
        <f>Source!U67</f>
        <v>0</v>
      </c>
      <c r="Z192">
        <f>Source!V67</f>
        <v>0</v>
      </c>
      <c r="AA192">
        <f>Source!X67</f>
        <v>0</v>
      </c>
      <c r="AB192">
        <f>Source!Y67</f>
        <v>0</v>
      </c>
    </row>
    <row r="193" spans="1:28" ht="14.25" x14ac:dyDescent="0.2">
      <c r="C193" s="27" t="s">
        <v>396</v>
      </c>
      <c r="D193" s="27">
        <f>Source!BC67</f>
        <v>6.08</v>
      </c>
      <c r="F193" s="14"/>
      <c r="G193" s="14"/>
      <c r="H193" s="14"/>
    </row>
    <row r="194" spans="1:28" ht="42.75" x14ac:dyDescent="0.2">
      <c r="A194" s="52">
        <v>23</v>
      </c>
      <c r="B194" s="52" t="str">
        <f>Source!E69</f>
        <v>10</v>
      </c>
      <c r="C194" s="52" t="str">
        <f>Source!G69</f>
        <v>Окраска водно-дисперсионными акриловыми составами улучшенная по штукатурке потолков</v>
      </c>
      <c r="D194" s="52" t="str">
        <f>Source!F69</f>
        <v>15-04-007-02</v>
      </c>
      <c r="E194" s="35" t="str">
        <f>Source!H69</f>
        <v>100 м2</v>
      </c>
      <c r="F194" s="14">
        <f>Source!I69</f>
        <v>0.39900000000000002</v>
      </c>
      <c r="G194" s="25">
        <f>Source!AB69</f>
        <v>1335.1880000000001</v>
      </c>
      <c r="H194" s="26">
        <f>Source!O69</f>
        <v>3239.06</v>
      </c>
      <c r="T194">
        <f>Source!O69+Source!X69+Source!Y69</f>
        <v>5429.36</v>
      </c>
      <c r="U194">
        <f>Source!P69</f>
        <v>1669.4</v>
      </c>
      <c r="V194">
        <f>Source!S69</f>
        <v>1536.12</v>
      </c>
      <c r="W194">
        <f>Source!Q69</f>
        <v>33.54</v>
      </c>
      <c r="X194">
        <f>Source!R69</f>
        <v>6.34</v>
      </c>
      <c r="Y194">
        <f>Source!U69</f>
        <v>28.907549999999997</v>
      </c>
      <c r="Z194">
        <f>Source!V69</f>
        <v>8.9774999999999994E-2</v>
      </c>
      <c r="AA194">
        <f>Source!X69</f>
        <v>1465.34</v>
      </c>
      <c r="AB194">
        <f>Source!Y69</f>
        <v>724.96</v>
      </c>
    </row>
    <row r="195" spans="1:28" ht="14.25" x14ac:dyDescent="0.2">
      <c r="C195" s="27" t="str">
        <f>"Объем: "&amp;Source!I69&amp;"=39,9/"&amp;"100"</f>
        <v>Объем: 0,399=39,9/100</v>
      </c>
      <c r="F195" s="14"/>
      <c r="G195" s="14"/>
      <c r="H195" s="14"/>
    </row>
    <row r="196" spans="1:28" x14ac:dyDescent="0.2">
      <c r="C196" s="27" t="s">
        <v>394</v>
      </c>
      <c r="D196" s="27">
        <f>Source!BA69</f>
        <v>6.08</v>
      </c>
    </row>
    <row r="197" spans="1:28" x14ac:dyDescent="0.2">
      <c r="C197" s="27" t="s">
        <v>395</v>
      </c>
      <c r="D197" s="27">
        <f>Source!BB69</f>
        <v>6.08</v>
      </c>
    </row>
    <row r="198" spans="1:28" x14ac:dyDescent="0.2">
      <c r="C198" s="27" t="s">
        <v>396</v>
      </c>
      <c r="D198" s="27">
        <f>Source!BC69</f>
        <v>6.08</v>
      </c>
    </row>
    <row r="199" spans="1:28" x14ac:dyDescent="0.2">
      <c r="C199" s="27" t="s">
        <v>397</v>
      </c>
      <c r="D199" s="27">
        <f>Source!BS69</f>
        <v>6.08</v>
      </c>
    </row>
    <row r="200" spans="1:28" x14ac:dyDescent="0.2">
      <c r="C200" s="27" t="s">
        <v>401</v>
      </c>
      <c r="D200" s="93" t="s">
        <v>29</v>
      </c>
      <c r="E200" s="93"/>
      <c r="F200" s="93"/>
      <c r="G200" s="93"/>
      <c r="H200" s="93"/>
    </row>
    <row r="201" spans="1:28" x14ac:dyDescent="0.2">
      <c r="C201" s="27" t="s">
        <v>402</v>
      </c>
      <c r="D201" s="93" t="s">
        <v>29</v>
      </c>
      <c r="E201" s="93"/>
      <c r="F201" s="93"/>
      <c r="G201" s="93"/>
      <c r="H201" s="93"/>
    </row>
    <row r="202" spans="1:28" x14ac:dyDescent="0.2">
      <c r="C202" s="27" t="s">
        <v>403</v>
      </c>
      <c r="D202" s="93" t="s">
        <v>30</v>
      </c>
      <c r="E202" s="93"/>
      <c r="F202" s="93"/>
      <c r="G202" s="93"/>
      <c r="H202" s="93"/>
    </row>
    <row r="203" spans="1:28" x14ac:dyDescent="0.2">
      <c r="C203" s="27" t="s">
        <v>404</v>
      </c>
      <c r="D203" s="93" t="s">
        <v>30</v>
      </c>
      <c r="E203" s="93"/>
      <c r="F203" s="93"/>
      <c r="G203" s="93"/>
      <c r="H203" s="93"/>
    </row>
    <row r="204" spans="1:28" x14ac:dyDescent="0.2">
      <c r="C204" s="27" t="s">
        <v>405</v>
      </c>
      <c r="D204" s="93" t="s">
        <v>29</v>
      </c>
      <c r="E204" s="93"/>
      <c r="F204" s="93"/>
      <c r="G204" s="93"/>
      <c r="H204" s="93"/>
    </row>
    <row r="205" spans="1:28" x14ac:dyDescent="0.2">
      <c r="C205" s="11" t="s">
        <v>398</v>
      </c>
      <c r="D205" s="38"/>
      <c r="E205" s="38"/>
      <c r="F205" s="38">
        <f>Source!BZ69</f>
        <v>105</v>
      </c>
      <c r="G205" s="63">
        <f>(Source!AF69+Source!AE69)*Source!FX69/100</f>
        <v>600.85509749999994</v>
      </c>
      <c r="H205" s="64">
        <f>Source!X69</f>
        <v>1465.34</v>
      </c>
    </row>
    <row r="206" spans="1:28" x14ac:dyDescent="0.2">
      <c r="C206" s="11" t="s">
        <v>406</v>
      </c>
      <c r="D206" s="38"/>
      <c r="E206" s="38"/>
      <c r="F206" s="38"/>
      <c r="G206" s="38" t="str">
        <f>CONCATENATE(Source!DL69,Source!FT69, "=", Source!FX69, "%")</f>
        <v>*0,9=94,5%</v>
      </c>
      <c r="H206" s="38" t="str">
        <f>CONCATENATE(Source!AT69)</f>
        <v>95</v>
      </c>
    </row>
    <row r="207" spans="1:28" x14ac:dyDescent="0.2">
      <c r="C207" s="11" t="s">
        <v>399</v>
      </c>
      <c r="D207" s="38"/>
      <c r="E207" s="38"/>
      <c r="F207" s="38">
        <f>Source!CA69</f>
        <v>55</v>
      </c>
      <c r="G207" s="63">
        <f>(Source!AF69+Source!AE69)*Source!FY69/100</f>
        <v>297.24842124999998</v>
      </c>
      <c r="H207" s="64">
        <f>Source!Y69</f>
        <v>724.96</v>
      </c>
    </row>
    <row r="208" spans="1:28" x14ac:dyDescent="0.2">
      <c r="C208" s="11" t="s">
        <v>407</v>
      </c>
      <c r="D208" s="38"/>
      <c r="E208" s="38"/>
      <c r="F208" s="38"/>
      <c r="G208" s="38" t="str">
        <f>CONCATENATE(Source!DM69,Source!FU69, "=", Source!FY69, "%")</f>
        <v>*0,85=46,75%</v>
      </c>
      <c r="H208" s="38" t="str">
        <f>CONCATENATE(Source!AU69)</f>
        <v>47</v>
      </c>
    </row>
    <row r="209" spans="1:33" x14ac:dyDescent="0.2">
      <c r="C209" s="11" t="s">
        <v>400</v>
      </c>
      <c r="D209" s="38"/>
      <c r="E209" s="38"/>
      <c r="F209" s="38"/>
      <c r="G209" s="63">
        <f>((Source!AF69+Source!AE69)*Source!FX69/100)+((Source!AF69+Source!AE69)*Source!FY69/100)+Source!AB69</f>
        <v>2233.2915187500003</v>
      </c>
      <c r="H209" s="64">
        <f>Source!O69+Source!X69+Source!Y69</f>
        <v>5429.36</v>
      </c>
    </row>
    <row r="210" spans="1:33" ht="28.5" x14ac:dyDescent="0.2">
      <c r="A210" s="52">
        <v>24</v>
      </c>
      <c r="B210" s="52" t="str">
        <f>Source!E71</f>
        <v>10,1</v>
      </c>
      <c r="C210" s="52" t="str">
        <f>Source!G71</f>
        <v>Краска акриловая Alpina RENOVA, CAPAROL водно-дисперсионная</v>
      </c>
      <c r="D210" s="52" t="str">
        <f>Source!F71</f>
        <v>14.3.02.01-0014</v>
      </c>
      <c r="E210" s="35" t="str">
        <f>Source!H71</f>
        <v>т</v>
      </c>
      <c r="F210" s="14">
        <f>Source!I71</f>
        <v>1.3166999999999998E-2</v>
      </c>
      <c r="G210" s="25">
        <f>Source!AB71</f>
        <v>7627.37</v>
      </c>
      <c r="H210" s="26">
        <f>Source!O71</f>
        <v>610.61</v>
      </c>
      <c r="T210">
        <f>Source!O71+Source!X71+Source!Y71</f>
        <v>610.61</v>
      </c>
      <c r="U210">
        <f>Source!P71</f>
        <v>610.61</v>
      </c>
      <c r="V210">
        <f>Source!S71</f>
        <v>0</v>
      </c>
      <c r="W210">
        <f>Source!Q71</f>
        <v>0</v>
      </c>
      <c r="X210">
        <f>Source!R71</f>
        <v>0</v>
      </c>
      <c r="Y210">
        <f>Source!U71</f>
        <v>0</v>
      </c>
      <c r="Z210">
        <f>Source!V71</f>
        <v>0</v>
      </c>
      <c r="AA210">
        <f>Source!X71</f>
        <v>0</v>
      </c>
      <c r="AB210">
        <f>Source!Y71</f>
        <v>0</v>
      </c>
    </row>
    <row r="211" spans="1:33" ht="14.25" x14ac:dyDescent="0.2">
      <c r="C211" s="27" t="s">
        <v>396</v>
      </c>
      <c r="D211" s="27">
        <f>Source!BC71</f>
        <v>6.08</v>
      </c>
      <c r="F211" s="14"/>
      <c r="G211" s="14"/>
      <c r="H211" s="14"/>
    </row>
    <row r="212" spans="1:33" ht="28.5" x14ac:dyDescent="0.2">
      <c r="A212" s="52">
        <v>25</v>
      </c>
      <c r="B212" s="52" t="str">
        <f>Source!E73</f>
        <v>10,2</v>
      </c>
      <c r="C212" s="52" t="str">
        <f>Source!G73</f>
        <v>Грунтовка: водно-дисперсионная "БИРСС Бетон-контакт"</v>
      </c>
      <c r="D212" s="52" t="str">
        <f>Source!F73</f>
        <v>14.3.01.02-0102</v>
      </c>
      <c r="E212" s="35" t="str">
        <f>Source!H73</f>
        <v>т</v>
      </c>
      <c r="F212" s="14">
        <f>Source!I73</f>
        <v>8.7779999999999993E-3</v>
      </c>
      <c r="G212" s="25">
        <f>Source!AB73</f>
        <v>18390.16</v>
      </c>
      <c r="H212" s="26">
        <f>Source!O73</f>
        <v>981.49</v>
      </c>
      <c r="T212">
        <f>Source!O73+Source!X73+Source!Y73</f>
        <v>981.49</v>
      </c>
      <c r="U212">
        <f>Source!P73</f>
        <v>981.49</v>
      </c>
      <c r="V212">
        <f>Source!S73</f>
        <v>0</v>
      </c>
      <c r="W212">
        <f>Source!Q73</f>
        <v>0</v>
      </c>
      <c r="X212">
        <f>Source!R73</f>
        <v>0</v>
      </c>
      <c r="Y212">
        <f>Source!U73</f>
        <v>0</v>
      </c>
      <c r="Z212">
        <f>Source!V73</f>
        <v>0</v>
      </c>
      <c r="AA212">
        <f>Source!X73</f>
        <v>0</v>
      </c>
      <c r="AB212">
        <f>Source!Y73</f>
        <v>0</v>
      </c>
    </row>
    <row r="213" spans="1:33" ht="14.25" x14ac:dyDescent="0.2">
      <c r="C213" s="27" t="s">
        <v>396</v>
      </c>
      <c r="D213" s="27">
        <f>Source!BC73</f>
        <v>6.08</v>
      </c>
      <c r="F213" s="14"/>
      <c r="G213" s="14"/>
      <c r="H213" s="14"/>
    </row>
    <row r="215" spans="1:33" ht="15" x14ac:dyDescent="0.25">
      <c r="A215" s="65"/>
      <c r="B215" s="65"/>
      <c r="C215" s="76" t="str">
        <f>CONCATENATE("Итого по локальной смете: ",IF(Source!G75&lt;&gt;"Новая локальная смета", Source!G75, ""))</f>
        <v xml:space="preserve">Итого по локальной смете: </v>
      </c>
      <c r="D215" s="76"/>
      <c r="E215" s="76"/>
      <c r="F215" s="76"/>
      <c r="G215" s="65"/>
      <c r="H215" s="66">
        <f>IF(SUM(T37:T214)=0, "-", SUM(T37:T214))</f>
        <v>123006.74</v>
      </c>
    </row>
    <row r="216" spans="1:33" ht="15" x14ac:dyDescent="0.25">
      <c r="A216" s="65"/>
      <c r="B216" s="65"/>
      <c r="C216" s="65"/>
      <c r="D216" s="65"/>
      <c r="E216" s="65"/>
      <c r="F216" s="65"/>
      <c r="G216" s="65"/>
      <c r="H216" s="65"/>
    </row>
    <row r="218" spans="1:33" ht="14.25" x14ac:dyDescent="0.2">
      <c r="C218" s="78" t="str">
        <f>Source!H103</f>
        <v>Всего</v>
      </c>
      <c r="D218" s="78"/>
      <c r="E218" s="78"/>
      <c r="F218" s="78"/>
      <c r="G218" s="79">
        <f>IF(Source!P103=0, "", Source!P103)</f>
        <v>123006.74</v>
      </c>
      <c r="H218" s="79"/>
    </row>
    <row r="219" spans="1:33" ht="14.25" x14ac:dyDescent="0.2">
      <c r="C219" s="78" t="str">
        <f>Source!H104</f>
        <v>Итого НДС 18%</v>
      </c>
      <c r="D219" s="78"/>
      <c r="E219" s="78"/>
      <c r="F219" s="78"/>
      <c r="G219" s="79">
        <f>IF(Source!P104=0, "", Source!P104)</f>
        <v>22141.21</v>
      </c>
      <c r="H219" s="79"/>
    </row>
    <row r="220" spans="1:33" ht="14.25" x14ac:dyDescent="0.2">
      <c r="C220" s="78" t="str">
        <f>Source!H105</f>
        <v>Всего по смете</v>
      </c>
      <c r="D220" s="78"/>
      <c r="E220" s="78"/>
      <c r="F220" s="78"/>
      <c r="G220" s="79">
        <f>IF(Source!P105=0, "", Source!P105)</f>
        <v>145147.95000000001</v>
      </c>
      <c r="H220" s="79"/>
    </row>
    <row r="222" spans="1:33" ht="30" x14ac:dyDescent="0.25">
      <c r="A222" s="65"/>
      <c r="B222" s="65"/>
      <c r="C222" s="76" t="str">
        <f>CONCATENATE("Итого по смете: ",IF(Source!G107&lt;&gt;"Новый объект", Source!G107, ""))</f>
        <v>Итого по смете: Капитальный ремонт помещения №35 ОТИ НИЯУ МИФИ</v>
      </c>
      <c r="D222" s="76"/>
      <c r="E222" s="76"/>
      <c r="F222" s="76"/>
      <c r="G222" s="65"/>
      <c r="H222" s="66">
        <f>IF(SUM(T1:T221)=0, "-", SUM(T1:T221))</f>
        <v>123006.74</v>
      </c>
      <c r="AG222" s="56" t="str">
        <f>CONCATENATE("Итого по смете: ",IF(Source!G107&lt;&gt;"Новый объект", Source!G107, ""))</f>
        <v>Итого по смете: Капитальный ремонт помещения №35 ОТИ НИЯУ МИФИ</v>
      </c>
    </row>
    <row r="223" spans="1:33" ht="15" x14ac:dyDescent="0.25">
      <c r="A223" s="65"/>
      <c r="B223" s="65"/>
      <c r="C223" s="65"/>
      <c r="D223" s="65"/>
      <c r="E223" s="65"/>
      <c r="F223" s="65"/>
      <c r="G223" s="65"/>
      <c r="H223" s="65"/>
    </row>
    <row r="224" spans="1:33" ht="14.25" x14ac:dyDescent="0.2">
      <c r="C224" s="78" t="str">
        <f>Source!H135</f>
        <v>Всего</v>
      </c>
      <c r="D224" s="78"/>
      <c r="E224" s="78"/>
      <c r="F224" s="78"/>
      <c r="G224" s="79">
        <f>IF(Source!P135=0, "", Source!P135)</f>
        <v>123006.74</v>
      </c>
      <c r="H224" s="79"/>
    </row>
    <row r="225" spans="1:12" ht="14.25" x14ac:dyDescent="0.2">
      <c r="C225" s="78" t="str">
        <f>Source!H136</f>
        <v>Итого НДС 18%</v>
      </c>
      <c r="D225" s="78"/>
      <c r="E225" s="78"/>
      <c r="F225" s="78"/>
      <c r="G225" s="79">
        <f>IF(Source!P136=0, "", Source!P136)</f>
        <v>22141.21</v>
      </c>
      <c r="H225" s="79"/>
    </row>
    <row r="226" spans="1:12" ht="14.25" x14ac:dyDescent="0.2">
      <c r="C226" s="78" t="str">
        <f>Source!H137</f>
        <v>Всего по смете</v>
      </c>
      <c r="D226" s="78"/>
      <c r="E226" s="78"/>
      <c r="F226" s="78"/>
      <c r="G226" s="79">
        <f>IF(Source!P137=0, "", Source!P137)</f>
        <v>145147.95000000001</v>
      </c>
      <c r="H226" s="79"/>
    </row>
    <row r="229" spans="1:12" ht="15" thickBot="1" x14ac:dyDescent="0.25">
      <c r="A229" s="90" t="s">
        <v>409</v>
      </c>
      <c r="B229" s="90"/>
      <c r="C229" s="67" t="str">
        <f>IF(Source!AC12&lt;&gt;"", Source!AC12," ")</f>
        <v xml:space="preserve"> </v>
      </c>
      <c r="D229" s="14"/>
      <c r="E229" s="68"/>
      <c r="F229" s="14"/>
      <c r="G229" s="91" t="str">
        <f>IF(Source!AB12&lt;&gt;"", Source!AB12," ")</f>
        <v xml:space="preserve"> </v>
      </c>
      <c r="H229" s="91"/>
      <c r="I229" s="14"/>
      <c r="J229" s="14"/>
      <c r="K229" s="14"/>
      <c r="L229" s="14"/>
    </row>
    <row r="230" spans="1:12" ht="14.25" x14ac:dyDescent="0.2">
      <c r="A230" s="14"/>
      <c r="B230" s="14"/>
      <c r="C230" s="69" t="s">
        <v>410</v>
      </c>
      <c r="D230" s="14"/>
      <c r="E230" s="69" t="s">
        <v>411</v>
      </c>
      <c r="F230" s="14"/>
      <c r="G230" s="92" t="s">
        <v>412</v>
      </c>
      <c r="H230" s="92"/>
      <c r="I230" s="14"/>
      <c r="J230" s="14"/>
      <c r="K230" s="14"/>
      <c r="L230" s="14"/>
    </row>
    <row r="231" spans="1:12" ht="14.25" x14ac:dyDescent="0.2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</row>
    <row r="232" spans="1:12" ht="14.25" x14ac:dyDescent="0.2">
      <c r="A232" s="14"/>
      <c r="B232" s="14"/>
      <c r="C232" s="16" t="s">
        <v>413</v>
      </c>
      <c r="D232" s="14"/>
      <c r="E232" s="14"/>
      <c r="F232" s="14"/>
      <c r="G232" s="14"/>
      <c r="H232" s="14"/>
      <c r="I232" s="14"/>
      <c r="J232" s="14"/>
      <c r="K232" s="14"/>
      <c r="L232" s="14"/>
    </row>
    <row r="233" spans="1:12" ht="14.25" x14ac:dyDescent="0.2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</row>
    <row r="234" spans="1:12" ht="15" thickBot="1" x14ac:dyDescent="0.25">
      <c r="A234" s="90" t="s">
        <v>414</v>
      </c>
      <c r="B234" s="90"/>
      <c r="C234" s="67" t="str">
        <f>IF(Source!AG12&lt;&gt;"", Source!AG12," ")</f>
        <v xml:space="preserve"> </v>
      </c>
      <c r="D234" s="14"/>
      <c r="E234" s="68"/>
      <c r="F234" s="14"/>
      <c r="G234" s="91" t="str">
        <f>IF(Source!AF12&lt;&gt;"", Source!AF12," ")</f>
        <v xml:space="preserve"> </v>
      </c>
      <c r="H234" s="91"/>
      <c r="I234" s="14"/>
      <c r="J234" s="14"/>
      <c r="K234" s="14"/>
      <c r="L234" s="14"/>
    </row>
    <row r="235" spans="1:12" ht="14.25" x14ac:dyDescent="0.2">
      <c r="A235" s="14"/>
      <c r="B235" s="14"/>
      <c r="C235" s="69" t="s">
        <v>410</v>
      </c>
      <c r="D235" s="14"/>
      <c r="E235" s="69" t="s">
        <v>411</v>
      </c>
      <c r="F235" s="14"/>
      <c r="G235" s="92" t="s">
        <v>412</v>
      </c>
      <c r="H235" s="92"/>
      <c r="I235" s="14"/>
      <c r="J235" s="14"/>
      <c r="K235" s="14"/>
      <c r="L235" s="14"/>
    </row>
    <row r="236" spans="1:12" ht="14.25" x14ac:dyDescent="0.2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</row>
    <row r="237" spans="1:12" ht="14.25" x14ac:dyDescent="0.2">
      <c r="A237" s="14"/>
      <c r="B237" s="14"/>
      <c r="C237" s="16" t="s">
        <v>413</v>
      </c>
      <c r="D237" s="14"/>
      <c r="E237" s="14"/>
      <c r="F237" s="14"/>
      <c r="G237" s="14"/>
      <c r="H237" s="14"/>
      <c r="I237" s="14"/>
      <c r="J237" s="14"/>
      <c r="K237" s="14"/>
      <c r="L237" s="14"/>
    </row>
  </sheetData>
  <mergeCells count="99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F31:G31"/>
    <mergeCell ref="A33:B33"/>
    <mergeCell ref="C33:C34"/>
    <mergeCell ref="D33:D34"/>
    <mergeCell ref="E33:E34"/>
    <mergeCell ref="F33:H33"/>
    <mergeCell ref="D83:H83"/>
    <mergeCell ref="A37:H37"/>
    <mergeCell ref="D62:H62"/>
    <mergeCell ref="D63:H63"/>
    <mergeCell ref="D64:H64"/>
    <mergeCell ref="D65:H65"/>
    <mergeCell ref="D66:H66"/>
    <mergeCell ref="D78:H78"/>
    <mergeCell ref="D79:H79"/>
    <mergeCell ref="D80:H80"/>
    <mergeCell ref="D81:H81"/>
    <mergeCell ref="D82:H82"/>
    <mergeCell ref="D145:H145"/>
    <mergeCell ref="D95:H95"/>
    <mergeCell ref="D96:H96"/>
    <mergeCell ref="D97:H97"/>
    <mergeCell ref="D98:H98"/>
    <mergeCell ref="D99:H99"/>
    <mergeCell ref="D117:H117"/>
    <mergeCell ref="D118:H118"/>
    <mergeCell ref="D119:H119"/>
    <mergeCell ref="D120:H120"/>
    <mergeCell ref="D121:H121"/>
    <mergeCell ref="D144:H144"/>
    <mergeCell ref="D183:H183"/>
    <mergeCell ref="D146:H146"/>
    <mergeCell ref="D147:H147"/>
    <mergeCell ref="D148:H148"/>
    <mergeCell ref="D160:H160"/>
    <mergeCell ref="D161:H161"/>
    <mergeCell ref="D162:H162"/>
    <mergeCell ref="D163:H163"/>
    <mergeCell ref="D164:H164"/>
    <mergeCell ref="D180:H180"/>
    <mergeCell ref="D181:H181"/>
    <mergeCell ref="D182:H182"/>
    <mergeCell ref="C220:F220"/>
    <mergeCell ref="G220:H220"/>
    <mergeCell ref="D184:H184"/>
    <mergeCell ref="D200:H200"/>
    <mergeCell ref="D201:H201"/>
    <mergeCell ref="D202:H202"/>
    <mergeCell ref="D203:H203"/>
    <mergeCell ref="D204:H204"/>
    <mergeCell ref="C215:F215"/>
    <mergeCell ref="C218:F218"/>
    <mergeCell ref="G218:H218"/>
    <mergeCell ref="C219:F219"/>
    <mergeCell ref="G219:H219"/>
    <mergeCell ref="G235:H235"/>
    <mergeCell ref="C222:F222"/>
    <mergeCell ref="C224:F224"/>
    <mergeCell ref="G224:H224"/>
    <mergeCell ref="C225:F225"/>
    <mergeCell ref="G225:H225"/>
    <mergeCell ref="C226:F226"/>
    <mergeCell ref="G226:H226"/>
    <mergeCell ref="A229:B229"/>
    <mergeCell ref="G229:H229"/>
    <mergeCell ref="G230:H230"/>
    <mergeCell ref="A234:B234"/>
    <mergeCell ref="G234:H234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74"/>
  <sheetViews>
    <sheetView workbookViewId="0">
      <selection activeCell="A170" sqref="A170:AH170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168</v>
      </c>
      <c r="C12" s="1">
        <v>0</v>
      </c>
      <c r="D12" s="1">
        <f>ROW(A107)</f>
        <v>107</v>
      </c>
      <c r="E12" s="1">
        <v>0</v>
      </c>
      <c r="F12" s="1" t="s">
        <v>4</v>
      </c>
      <c r="G12" s="1" t="s">
        <v>5</v>
      </c>
      <c r="H12" s="1" t="s">
        <v>4</v>
      </c>
      <c r="I12" s="1">
        <v>0</v>
      </c>
      <c r="J12" s="1" t="s">
        <v>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4</v>
      </c>
      <c r="V12" s="1">
        <v>0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s="1" t="s">
        <v>4</v>
      </c>
      <c r="AH12" s="1" t="s">
        <v>4</v>
      </c>
      <c r="AI12" s="1" t="s">
        <v>4</v>
      </c>
      <c r="AJ12" s="1" t="s">
        <v>4</v>
      </c>
      <c r="AK12" s="1"/>
      <c r="AL12" s="1" t="s">
        <v>4</v>
      </c>
      <c r="AM12" s="1" t="s">
        <v>4</v>
      </c>
      <c r="AN12" s="1" t="s">
        <v>4</v>
      </c>
      <c r="AO12" s="1"/>
      <c r="AP12" s="1" t="s">
        <v>4</v>
      </c>
      <c r="AQ12" s="1" t="s">
        <v>4</v>
      </c>
      <c r="AR12" s="1" t="s">
        <v>4</v>
      </c>
      <c r="AS12" s="1"/>
      <c r="AT12" s="1"/>
      <c r="AU12" s="1"/>
      <c r="AV12" s="1"/>
      <c r="AW12" s="1"/>
      <c r="AX12" s="1" t="s">
        <v>4</v>
      </c>
      <c r="AY12" s="1" t="s">
        <v>4</v>
      </c>
      <c r="AZ12" s="1" t="s">
        <v>4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4</v>
      </c>
      <c r="CJ12" s="1" t="s">
        <v>4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B107</f>
        <v>168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/>
      </c>
      <c r="G18" s="3" t="str">
        <f t="shared" si="0"/>
        <v>Капитальный ремонт помещения №35 ОТИ НИЯУ МИФИ</v>
      </c>
      <c r="H18" s="3"/>
      <c r="I18" s="3"/>
      <c r="J18" s="3"/>
      <c r="K18" s="3"/>
      <c r="L18" s="3"/>
      <c r="M18" s="3"/>
      <c r="N18" s="3"/>
      <c r="O18" s="3">
        <f t="shared" ref="O18:AT18" si="1">O107</f>
        <v>16738.64</v>
      </c>
      <c r="P18" s="3">
        <f t="shared" si="1"/>
        <v>14319.29</v>
      </c>
      <c r="Q18" s="3">
        <f t="shared" si="1"/>
        <v>63.68</v>
      </c>
      <c r="R18" s="3">
        <f t="shared" si="1"/>
        <v>21.23</v>
      </c>
      <c r="S18" s="3">
        <f t="shared" si="1"/>
        <v>2355.67</v>
      </c>
      <c r="T18" s="3">
        <f t="shared" si="1"/>
        <v>0</v>
      </c>
      <c r="U18" s="3">
        <f t="shared" si="1"/>
        <v>275.22874949999999</v>
      </c>
      <c r="V18" s="3">
        <f t="shared" si="1"/>
        <v>1.8564324999999999</v>
      </c>
      <c r="W18" s="3">
        <f t="shared" si="1"/>
        <v>0</v>
      </c>
      <c r="X18" s="3">
        <f t="shared" si="1"/>
        <v>2162.5</v>
      </c>
      <c r="Y18" s="3">
        <f t="shared" si="1"/>
        <v>1330.18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20231.32</v>
      </c>
      <c r="AS18" s="3">
        <f t="shared" si="1"/>
        <v>20231.32</v>
      </c>
      <c r="AT18" s="3">
        <f t="shared" si="1"/>
        <v>0</v>
      </c>
      <c r="AU18" s="3">
        <f t="shared" ref="AU18:BZ18" si="2">AU107</f>
        <v>0</v>
      </c>
      <c r="AV18" s="3">
        <f t="shared" si="2"/>
        <v>14319.29</v>
      </c>
      <c r="AW18" s="3">
        <f t="shared" si="2"/>
        <v>14319.29</v>
      </c>
      <c r="AX18" s="3">
        <f t="shared" si="2"/>
        <v>0</v>
      </c>
      <c r="AY18" s="3">
        <f t="shared" si="2"/>
        <v>14319.29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CA107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DG107</f>
        <v>101770.98</v>
      </c>
      <c r="DH18" s="4">
        <f t="shared" si="4"/>
        <v>87061.32</v>
      </c>
      <c r="DI18" s="4">
        <f t="shared" si="4"/>
        <v>387.09</v>
      </c>
      <c r="DJ18" s="4">
        <f t="shared" si="4"/>
        <v>129.13999999999999</v>
      </c>
      <c r="DK18" s="4">
        <f t="shared" si="4"/>
        <v>14322.57</v>
      </c>
      <c r="DL18" s="4">
        <f t="shared" si="4"/>
        <v>0</v>
      </c>
      <c r="DM18" s="4">
        <f t="shared" si="4"/>
        <v>275.22874949999999</v>
      </c>
      <c r="DN18" s="4">
        <f t="shared" si="4"/>
        <v>1.8564324999999999</v>
      </c>
      <c r="DO18" s="4">
        <f t="shared" si="4"/>
        <v>0</v>
      </c>
      <c r="DP18" s="4">
        <f t="shared" si="4"/>
        <v>13148.09</v>
      </c>
      <c r="DQ18" s="4">
        <f t="shared" si="4"/>
        <v>8087.67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123006.74</v>
      </c>
      <c r="EK18" s="4">
        <f t="shared" si="4"/>
        <v>123006.74</v>
      </c>
      <c r="EL18" s="4">
        <f t="shared" si="4"/>
        <v>0</v>
      </c>
      <c r="EM18" s="4">
        <f t="shared" ref="EM18:FR18" si="5">EM107</f>
        <v>0</v>
      </c>
      <c r="EN18" s="4">
        <f t="shared" si="5"/>
        <v>87061.32</v>
      </c>
      <c r="EO18" s="4">
        <f t="shared" si="5"/>
        <v>87061.32</v>
      </c>
      <c r="EP18" s="4">
        <f t="shared" si="5"/>
        <v>0</v>
      </c>
      <c r="EQ18" s="4">
        <f t="shared" si="5"/>
        <v>87061.32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FS107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ROW(A75)</f>
        <v>75</v>
      </c>
      <c r="E20" s="1"/>
      <c r="F20" s="1" t="s">
        <v>11</v>
      </c>
      <c r="G20" s="1" t="s">
        <v>11</v>
      </c>
      <c r="H20" s="1" t="s">
        <v>4</v>
      </c>
      <c r="I20" s="1">
        <v>0</v>
      </c>
      <c r="J20" s="1" t="s">
        <v>4</v>
      </c>
      <c r="K20" s="1">
        <v>0</v>
      </c>
      <c r="L20" s="1" t="s">
        <v>4</v>
      </c>
      <c r="M20" s="1"/>
      <c r="N20" s="1"/>
      <c r="O20" s="1"/>
      <c r="P20" s="1"/>
      <c r="Q20" s="1"/>
      <c r="R20" s="1"/>
      <c r="S20" s="1"/>
      <c r="T20" s="1"/>
      <c r="U20" s="1" t="s">
        <v>4</v>
      </c>
      <c r="V20" s="1">
        <v>0</v>
      </c>
      <c r="W20" s="1"/>
      <c r="X20" s="1"/>
      <c r="Y20" s="1"/>
      <c r="Z20" s="1"/>
      <c r="AA20" s="1"/>
      <c r="AB20" s="1" t="s">
        <v>4</v>
      </c>
      <c r="AC20" s="1" t="s">
        <v>4</v>
      </c>
      <c r="AD20" s="1" t="s">
        <v>4</v>
      </c>
      <c r="AE20" s="1" t="s">
        <v>4</v>
      </c>
      <c r="AF20" s="1" t="s">
        <v>4</v>
      </c>
      <c r="AG20" s="1" t="s">
        <v>4</v>
      </c>
      <c r="AH20" s="1"/>
      <c r="AI20" s="1"/>
      <c r="AJ20" s="1"/>
      <c r="AK20" s="1"/>
      <c r="AL20" s="1"/>
      <c r="AM20" s="1"/>
      <c r="AN20" s="1"/>
      <c r="AO20" s="1"/>
      <c r="AP20" s="1" t="s">
        <v>4</v>
      </c>
      <c r="AQ20" s="1" t="s">
        <v>4</v>
      </c>
      <c r="AR20" s="1" t="s">
        <v>4</v>
      </c>
      <c r="AS20" s="1"/>
      <c r="AT20" s="1"/>
      <c r="AU20" s="1"/>
      <c r="AV20" s="1"/>
      <c r="AW20" s="1"/>
      <c r="AX20" s="1"/>
      <c r="AY20" s="1"/>
      <c r="AZ20" s="1" t="s">
        <v>4</v>
      </c>
      <c r="BA20" s="1"/>
      <c r="BB20" s="1" t="s">
        <v>4</v>
      </c>
      <c r="BC20" s="1" t="s">
        <v>4</v>
      </c>
      <c r="BD20" s="1" t="s">
        <v>4</v>
      </c>
      <c r="BE20" s="1" t="s">
        <v>4</v>
      </c>
      <c r="BF20" s="1" t="s">
        <v>4</v>
      </c>
      <c r="BG20" s="1" t="s">
        <v>4</v>
      </c>
      <c r="BH20" s="1" t="s">
        <v>4</v>
      </c>
      <c r="BI20" s="1" t="s">
        <v>4</v>
      </c>
      <c r="BJ20" s="1" t="s">
        <v>4</v>
      </c>
      <c r="BK20" s="1" t="s">
        <v>4</v>
      </c>
      <c r="BL20" s="1" t="s">
        <v>4</v>
      </c>
      <c r="BM20" s="1" t="s">
        <v>4</v>
      </c>
      <c r="BN20" s="1" t="s">
        <v>4</v>
      </c>
      <c r="BO20" s="1" t="s">
        <v>4</v>
      </c>
      <c r="BP20" s="1" t="s">
        <v>4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4</v>
      </c>
      <c r="CJ20" s="1" t="s">
        <v>4</v>
      </c>
    </row>
    <row r="22" spans="1:255" x14ac:dyDescent="0.2">
      <c r="A22" s="3">
        <v>52</v>
      </c>
      <c r="B22" s="3">
        <f t="shared" ref="B22:G22" si="7">B75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O75</f>
        <v>16738.64</v>
      </c>
      <c r="P22" s="3">
        <f t="shared" si="8"/>
        <v>14319.29</v>
      </c>
      <c r="Q22" s="3">
        <f t="shared" si="8"/>
        <v>63.68</v>
      </c>
      <c r="R22" s="3">
        <f t="shared" si="8"/>
        <v>21.23</v>
      </c>
      <c r="S22" s="3">
        <f t="shared" si="8"/>
        <v>2355.67</v>
      </c>
      <c r="T22" s="3">
        <f t="shared" si="8"/>
        <v>0</v>
      </c>
      <c r="U22" s="3">
        <f t="shared" si="8"/>
        <v>275.22874949999999</v>
      </c>
      <c r="V22" s="3">
        <f t="shared" si="8"/>
        <v>1.8564324999999999</v>
      </c>
      <c r="W22" s="3">
        <f t="shared" si="8"/>
        <v>0</v>
      </c>
      <c r="X22" s="3">
        <f t="shared" si="8"/>
        <v>2162.5</v>
      </c>
      <c r="Y22" s="3">
        <f t="shared" si="8"/>
        <v>1330.18</v>
      </c>
      <c r="Z22" s="3">
        <f t="shared" si="8"/>
        <v>0</v>
      </c>
      <c r="AA22" s="3">
        <f t="shared" si="8"/>
        <v>0</v>
      </c>
      <c r="AB22" s="3">
        <f t="shared" si="8"/>
        <v>16738.64</v>
      </c>
      <c r="AC22" s="3">
        <f t="shared" si="8"/>
        <v>14319.29</v>
      </c>
      <c r="AD22" s="3">
        <f t="shared" si="8"/>
        <v>63.68</v>
      </c>
      <c r="AE22" s="3">
        <f t="shared" si="8"/>
        <v>21.23</v>
      </c>
      <c r="AF22" s="3">
        <f t="shared" si="8"/>
        <v>2355.67</v>
      </c>
      <c r="AG22" s="3">
        <f t="shared" si="8"/>
        <v>0</v>
      </c>
      <c r="AH22" s="3">
        <f t="shared" si="8"/>
        <v>275.22874949999999</v>
      </c>
      <c r="AI22" s="3">
        <f t="shared" si="8"/>
        <v>1.8564324999999999</v>
      </c>
      <c r="AJ22" s="3">
        <f t="shared" si="8"/>
        <v>0</v>
      </c>
      <c r="AK22" s="3">
        <f t="shared" si="8"/>
        <v>2162.5</v>
      </c>
      <c r="AL22" s="3">
        <f t="shared" si="8"/>
        <v>1330.18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20231.32</v>
      </c>
      <c r="AS22" s="3">
        <f t="shared" si="8"/>
        <v>20231.32</v>
      </c>
      <c r="AT22" s="3">
        <f t="shared" si="8"/>
        <v>0</v>
      </c>
      <c r="AU22" s="3">
        <f t="shared" ref="AU22:BZ22" si="9">AU75</f>
        <v>0</v>
      </c>
      <c r="AV22" s="3">
        <f t="shared" si="9"/>
        <v>14319.29</v>
      </c>
      <c r="AW22" s="3">
        <f t="shared" si="9"/>
        <v>14319.29</v>
      </c>
      <c r="AX22" s="3">
        <f t="shared" si="9"/>
        <v>0</v>
      </c>
      <c r="AY22" s="3">
        <f t="shared" si="9"/>
        <v>14319.29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CA75</f>
        <v>20231.32</v>
      </c>
      <c r="CB22" s="3">
        <f t="shared" si="10"/>
        <v>20231.32</v>
      </c>
      <c r="CC22" s="3">
        <f t="shared" si="10"/>
        <v>0</v>
      </c>
      <c r="CD22" s="3">
        <f t="shared" si="10"/>
        <v>0</v>
      </c>
      <c r="CE22" s="3">
        <f t="shared" si="10"/>
        <v>14319.29</v>
      </c>
      <c r="CF22" s="3">
        <f t="shared" si="10"/>
        <v>14319.29</v>
      </c>
      <c r="CG22" s="3">
        <f t="shared" si="10"/>
        <v>0</v>
      </c>
      <c r="CH22" s="3">
        <f t="shared" si="10"/>
        <v>14319.29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DG75</f>
        <v>101770.98</v>
      </c>
      <c r="DH22" s="4">
        <f t="shared" si="11"/>
        <v>87061.32</v>
      </c>
      <c r="DI22" s="4">
        <f t="shared" si="11"/>
        <v>387.09</v>
      </c>
      <c r="DJ22" s="4">
        <f t="shared" si="11"/>
        <v>129.13999999999999</v>
      </c>
      <c r="DK22" s="4">
        <f t="shared" si="11"/>
        <v>14322.57</v>
      </c>
      <c r="DL22" s="4">
        <f t="shared" si="11"/>
        <v>0</v>
      </c>
      <c r="DM22" s="4">
        <f t="shared" si="11"/>
        <v>275.22874949999999</v>
      </c>
      <c r="DN22" s="4">
        <f t="shared" si="11"/>
        <v>1.8564324999999999</v>
      </c>
      <c r="DO22" s="4">
        <f t="shared" si="11"/>
        <v>0</v>
      </c>
      <c r="DP22" s="4">
        <f t="shared" si="11"/>
        <v>13148.09</v>
      </c>
      <c r="DQ22" s="4">
        <f t="shared" si="11"/>
        <v>8087.67</v>
      </c>
      <c r="DR22" s="4">
        <f t="shared" si="11"/>
        <v>0</v>
      </c>
      <c r="DS22" s="4">
        <f t="shared" si="11"/>
        <v>0</v>
      </c>
      <c r="DT22" s="4">
        <f t="shared" si="11"/>
        <v>101770.98</v>
      </c>
      <c r="DU22" s="4">
        <f t="shared" si="11"/>
        <v>87061.32</v>
      </c>
      <c r="DV22" s="4">
        <f t="shared" si="11"/>
        <v>387.09</v>
      </c>
      <c r="DW22" s="4">
        <f t="shared" si="11"/>
        <v>129.13999999999999</v>
      </c>
      <c r="DX22" s="4">
        <f t="shared" si="11"/>
        <v>14322.57</v>
      </c>
      <c r="DY22" s="4">
        <f t="shared" si="11"/>
        <v>0</v>
      </c>
      <c r="DZ22" s="4">
        <f t="shared" si="11"/>
        <v>275.22874949999999</v>
      </c>
      <c r="EA22" s="4">
        <f t="shared" si="11"/>
        <v>1.8564324999999999</v>
      </c>
      <c r="EB22" s="4">
        <f t="shared" si="11"/>
        <v>0</v>
      </c>
      <c r="EC22" s="4">
        <f t="shared" si="11"/>
        <v>13148.09</v>
      </c>
      <c r="ED22" s="4">
        <f t="shared" si="11"/>
        <v>8087.67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123006.74</v>
      </c>
      <c r="EK22" s="4">
        <f t="shared" si="11"/>
        <v>123006.74</v>
      </c>
      <c r="EL22" s="4">
        <f t="shared" si="11"/>
        <v>0</v>
      </c>
      <c r="EM22" s="4">
        <f t="shared" ref="EM22:FR22" si="12">EM75</f>
        <v>0</v>
      </c>
      <c r="EN22" s="4">
        <f t="shared" si="12"/>
        <v>87061.32</v>
      </c>
      <c r="EO22" s="4">
        <f t="shared" si="12"/>
        <v>87061.32</v>
      </c>
      <c r="EP22" s="4">
        <f t="shared" si="12"/>
        <v>0</v>
      </c>
      <c r="EQ22" s="4">
        <f t="shared" si="12"/>
        <v>87061.32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FS75</f>
        <v>123006.74</v>
      </c>
      <c r="FT22" s="4">
        <f t="shared" si="13"/>
        <v>123006.74</v>
      </c>
      <c r="FU22" s="4">
        <f t="shared" si="13"/>
        <v>0</v>
      </c>
      <c r="FV22" s="4">
        <f t="shared" si="13"/>
        <v>0</v>
      </c>
      <c r="FW22" s="4">
        <f t="shared" si="13"/>
        <v>87061.32</v>
      </c>
      <c r="FX22" s="4">
        <f t="shared" si="13"/>
        <v>87061.32</v>
      </c>
      <c r="FY22" s="4">
        <f t="shared" si="13"/>
        <v>0</v>
      </c>
      <c r="FZ22" s="4">
        <f t="shared" si="13"/>
        <v>87061.32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ROW(SmtRes!A1)</f>
        <v>1</v>
      </c>
      <c r="D24" s="2">
        <f>ROW(EtalonRes!A2)</f>
        <v>2</v>
      </c>
      <c r="E24" s="2" t="s">
        <v>12</v>
      </c>
      <c r="F24" s="2" t="s">
        <v>13</v>
      </c>
      <c r="G24" s="2" t="s">
        <v>14</v>
      </c>
      <c r="H24" s="2" t="s">
        <v>15</v>
      </c>
      <c r="I24" s="2">
        <f>ROUND(24/100,9)</f>
        <v>0.24</v>
      </c>
      <c r="J24" s="2">
        <v>0</v>
      </c>
      <c r="K24" s="2"/>
      <c r="L24" s="2"/>
      <c r="M24" s="2"/>
      <c r="N24" s="2"/>
      <c r="O24" s="2">
        <f t="shared" ref="O24:O55" si="14">ROUND(CP24,2)</f>
        <v>7.06</v>
      </c>
      <c r="P24" s="2">
        <f t="shared" ref="P24:P55" si="15">ROUND(CQ24*I24,2)</f>
        <v>0</v>
      </c>
      <c r="Q24" s="2">
        <f t="shared" ref="Q24:Q55" si="16">ROUND(CR24*I24,2)</f>
        <v>0</v>
      </c>
      <c r="R24" s="2">
        <f t="shared" ref="R24:R55" si="17">ROUND(CS24*I24,2)</f>
        <v>0</v>
      </c>
      <c r="S24" s="2">
        <f t="shared" ref="S24:S55" si="18">ROUND(CT24*I24,2)</f>
        <v>7.06</v>
      </c>
      <c r="T24" s="2">
        <f t="shared" ref="T24:T55" si="19">ROUND(CU24*I24,2)</f>
        <v>0</v>
      </c>
      <c r="U24" s="2">
        <f t="shared" ref="U24:U55" si="20">CV24*I24</f>
        <v>0.90479999999999994</v>
      </c>
      <c r="V24" s="2">
        <f t="shared" ref="V24:V55" si="21">CW24*I24</f>
        <v>0</v>
      </c>
      <c r="W24" s="2">
        <f t="shared" ref="W24:W55" si="22">ROUND(CX24*I24,2)</f>
        <v>0</v>
      </c>
      <c r="X24" s="2">
        <f t="shared" ref="X24:X55" si="23">ROUND(CY24,2)</f>
        <v>5.65</v>
      </c>
      <c r="Y24" s="2">
        <f t="shared" ref="Y24:Y55" si="24">ROUND(CZ24,2)</f>
        <v>4.8</v>
      </c>
      <c r="Z24" s="2"/>
      <c r="AA24" s="2">
        <v>16500983</v>
      </c>
      <c r="AB24" s="2">
        <f t="shared" ref="AB24:AB55" si="25">ROUND((AC24+AD24+AF24),6)</f>
        <v>29.41</v>
      </c>
      <c r="AC24" s="2">
        <f t="shared" ref="AC24:AC29" si="26">ROUND((ES24),6)</f>
        <v>0</v>
      </c>
      <c r="AD24" s="2">
        <f>ROUND((((ET24)-(EU24))+AE24),6)</f>
        <v>0</v>
      </c>
      <c r="AE24" s="2">
        <f t="shared" ref="AE24:AF27" si="27">ROUND((EU24),6)</f>
        <v>0</v>
      </c>
      <c r="AF24" s="2">
        <f t="shared" si="27"/>
        <v>29.41</v>
      </c>
      <c r="AG24" s="2">
        <f t="shared" ref="AG24:AG55" si="28">ROUND((AP24),6)</f>
        <v>0</v>
      </c>
      <c r="AH24" s="2">
        <f t="shared" ref="AH24:AI27" si="29">(EW24)</f>
        <v>3.77</v>
      </c>
      <c r="AI24" s="2">
        <f t="shared" si="29"/>
        <v>0</v>
      </c>
      <c r="AJ24" s="2">
        <f t="shared" ref="AJ24:AJ55" si="30">ROUND((AS24),6)</f>
        <v>0</v>
      </c>
      <c r="AK24" s="2">
        <v>29.41</v>
      </c>
      <c r="AL24" s="2">
        <v>0</v>
      </c>
      <c r="AM24" s="2">
        <v>0</v>
      </c>
      <c r="AN24" s="2">
        <v>0</v>
      </c>
      <c r="AO24" s="2">
        <v>29.41</v>
      </c>
      <c r="AP24" s="2">
        <v>0</v>
      </c>
      <c r="AQ24" s="2">
        <v>3.77</v>
      </c>
      <c r="AR24" s="2">
        <v>0</v>
      </c>
      <c r="AS24" s="2">
        <v>0</v>
      </c>
      <c r="AT24" s="2">
        <v>80</v>
      </c>
      <c r="AU24" s="2">
        <v>68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4</v>
      </c>
      <c r="BE24" s="2" t="s">
        <v>4</v>
      </c>
      <c r="BF24" s="2" t="s">
        <v>4</v>
      </c>
      <c r="BG24" s="2" t="s">
        <v>4</v>
      </c>
      <c r="BH24" s="2">
        <v>0</v>
      </c>
      <c r="BI24" s="2">
        <v>1</v>
      </c>
      <c r="BJ24" s="2" t="s">
        <v>16</v>
      </c>
      <c r="BK24" s="2"/>
      <c r="BL24" s="2"/>
      <c r="BM24" s="2">
        <v>57001</v>
      </c>
      <c r="BN24" s="2">
        <v>0</v>
      </c>
      <c r="BO24" s="2" t="s">
        <v>4</v>
      </c>
      <c r="BP24" s="2">
        <v>0</v>
      </c>
      <c r="BQ24" s="2">
        <v>6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4</v>
      </c>
      <c r="BZ24" s="2">
        <v>80</v>
      </c>
      <c r="CA24" s="2">
        <v>68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4</v>
      </c>
      <c r="CO24" s="2">
        <v>0</v>
      </c>
      <c r="CP24" s="2">
        <f t="shared" ref="CP24:CP55" si="31">(P24+Q24+S24)</f>
        <v>7.06</v>
      </c>
      <c r="CQ24" s="2">
        <f t="shared" ref="CQ24:CQ55" si="32">AC24*BC24</f>
        <v>0</v>
      </c>
      <c r="CR24" s="2">
        <f t="shared" ref="CR24:CR55" si="33">AD24*BB24</f>
        <v>0</v>
      </c>
      <c r="CS24" s="2">
        <f t="shared" ref="CS24:CS55" si="34">AE24*BS24</f>
        <v>0</v>
      </c>
      <c r="CT24" s="2">
        <f t="shared" ref="CT24:CT55" si="35">AF24*BA24</f>
        <v>29.41</v>
      </c>
      <c r="CU24" s="2">
        <f t="shared" ref="CU24:CU55" si="36">AG24</f>
        <v>0</v>
      </c>
      <c r="CV24" s="2">
        <f t="shared" ref="CV24:CV55" si="37">AH24</f>
        <v>3.77</v>
      </c>
      <c r="CW24" s="2">
        <f t="shared" ref="CW24:CW55" si="38">AI24</f>
        <v>0</v>
      </c>
      <c r="CX24" s="2">
        <f t="shared" ref="CX24:CX55" si="39">AJ24</f>
        <v>0</v>
      </c>
      <c r="CY24" s="2">
        <f t="shared" ref="CY24:CY55" si="40">(((S24+R24)*AT24)/100)</f>
        <v>5.6479999999999997</v>
      </c>
      <c r="CZ24" s="2">
        <f t="shared" ref="CZ24:CZ55" si="41">(((S24+R24)*AU24)/100)</f>
        <v>4.8007999999999997</v>
      </c>
      <c r="DA24" s="2"/>
      <c r="DB24" s="2"/>
      <c r="DC24" s="2" t="s">
        <v>4</v>
      </c>
      <c r="DD24" s="2" t="s">
        <v>4</v>
      </c>
      <c r="DE24" s="2" t="s">
        <v>4</v>
      </c>
      <c r="DF24" s="2" t="s">
        <v>4</v>
      </c>
      <c r="DG24" s="2" t="s">
        <v>4</v>
      </c>
      <c r="DH24" s="2" t="s">
        <v>4</v>
      </c>
      <c r="DI24" s="2" t="s">
        <v>4</v>
      </c>
      <c r="DJ24" s="2" t="s">
        <v>4</v>
      </c>
      <c r="DK24" s="2" t="s">
        <v>4</v>
      </c>
      <c r="DL24" s="2" t="s">
        <v>4</v>
      </c>
      <c r="DM24" s="2" t="s">
        <v>4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1003</v>
      </c>
      <c r="DV24" s="2" t="s">
        <v>15</v>
      </c>
      <c r="DW24" s="2" t="s">
        <v>15</v>
      </c>
      <c r="DX24" s="2">
        <v>100</v>
      </c>
      <c r="DY24" s="2"/>
      <c r="DZ24" s="2"/>
      <c r="EA24" s="2"/>
      <c r="EB24" s="2"/>
      <c r="EC24" s="2"/>
      <c r="ED24" s="2"/>
      <c r="EE24" s="2">
        <v>16510566</v>
      </c>
      <c r="EF24" s="2">
        <v>6</v>
      </c>
      <c r="EG24" s="2" t="s">
        <v>17</v>
      </c>
      <c r="EH24" s="2">
        <v>0</v>
      </c>
      <c r="EI24" s="2" t="s">
        <v>4</v>
      </c>
      <c r="EJ24" s="2">
        <v>1</v>
      </c>
      <c r="EK24" s="2">
        <v>57001</v>
      </c>
      <c r="EL24" s="2" t="s">
        <v>18</v>
      </c>
      <c r="EM24" s="2" t="s">
        <v>19</v>
      </c>
      <c r="EN24" s="2"/>
      <c r="EO24" s="2" t="s">
        <v>4</v>
      </c>
      <c r="EP24" s="2"/>
      <c r="EQ24" s="2">
        <v>0</v>
      </c>
      <c r="ER24" s="2">
        <v>29.41</v>
      </c>
      <c r="ES24" s="2">
        <v>0</v>
      </c>
      <c r="ET24" s="2">
        <v>0</v>
      </c>
      <c r="EU24" s="2">
        <v>0</v>
      </c>
      <c r="EV24" s="2">
        <v>29.41</v>
      </c>
      <c r="EW24" s="2">
        <v>3.77</v>
      </c>
      <c r="EX24" s="2">
        <v>0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2">ROUND(IF(AND(BH24=3,BI24=3),P24,0),2)</f>
        <v>0</v>
      </c>
      <c r="FS24" s="2">
        <v>0</v>
      </c>
      <c r="FT24" s="2"/>
      <c r="FU24" s="2"/>
      <c r="FV24" s="2"/>
      <c r="FW24" s="2"/>
      <c r="FX24" s="2">
        <v>80</v>
      </c>
      <c r="FY24" s="2">
        <v>68</v>
      </c>
      <c r="FZ24" s="2"/>
      <c r="GA24" s="2" t="s">
        <v>4</v>
      </c>
      <c r="GB24" s="2"/>
      <c r="GC24" s="2"/>
      <c r="GD24" s="2">
        <v>0</v>
      </c>
      <c r="GE24" s="2"/>
      <c r="GF24" s="2">
        <v>-1431764135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3">ROUND(IF(AND(BH24=3,BI24=3,FS24&lt;&gt;0),P24,0),2)</f>
        <v>0</v>
      </c>
      <c r="GM24" s="2">
        <f t="shared" ref="GM24:GM55" si="44">ROUND(O24+X24+Y24+GK24,2)+GX24</f>
        <v>17.510000000000002</v>
      </c>
      <c r="GN24" s="2">
        <f t="shared" ref="GN24:GN55" si="45">IF(OR(BI24=0,BI24=1),ROUND(O24+X24+Y24+GK24,2),0)</f>
        <v>17.510000000000002</v>
      </c>
      <c r="GO24" s="2">
        <f t="shared" ref="GO24:GO55" si="46">IF(BI24=2,ROUND(O24+X24+Y24+GK24,2),0)</f>
        <v>0</v>
      </c>
      <c r="GP24" s="2">
        <f t="shared" ref="GP24:GP55" si="47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4</v>
      </c>
      <c r="GV24" s="2">
        <f t="shared" ref="GV24:GV55" si="48">ROUND(GT24,6)</f>
        <v>0</v>
      </c>
      <c r="GW24" s="2">
        <v>1</v>
      </c>
      <c r="GX24" s="2">
        <f t="shared" ref="GX24:GX55" si="49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ROW(SmtRes!A2)</f>
        <v>2</v>
      </c>
      <c r="D25">
        <f>ROW(EtalonRes!A4)</f>
        <v>4</v>
      </c>
      <c r="E25" t="s">
        <v>12</v>
      </c>
      <c r="F25" t="s">
        <v>13</v>
      </c>
      <c r="G25" t="s">
        <v>14</v>
      </c>
      <c r="H25" t="s">
        <v>15</v>
      </c>
      <c r="I25">
        <f>ROUND(24/100,9)</f>
        <v>0.24</v>
      </c>
      <c r="J25">
        <v>0</v>
      </c>
      <c r="O25">
        <f t="shared" si="14"/>
        <v>42.92</v>
      </c>
      <c r="P25">
        <f t="shared" si="15"/>
        <v>0</v>
      </c>
      <c r="Q25">
        <f t="shared" si="16"/>
        <v>0</v>
      </c>
      <c r="R25">
        <f t="shared" si="17"/>
        <v>0</v>
      </c>
      <c r="S25">
        <f t="shared" si="18"/>
        <v>42.92</v>
      </c>
      <c r="T25">
        <f t="shared" si="19"/>
        <v>0</v>
      </c>
      <c r="U25">
        <f t="shared" si="20"/>
        <v>0.90479999999999994</v>
      </c>
      <c r="V25">
        <f t="shared" si="21"/>
        <v>0</v>
      </c>
      <c r="W25">
        <f t="shared" si="22"/>
        <v>0</v>
      </c>
      <c r="X25">
        <f t="shared" si="23"/>
        <v>34.340000000000003</v>
      </c>
      <c r="Y25">
        <f t="shared" si="24"/>
        <v>29.19</v>
      </c>
      <c r="AA25">
        <v>16500997</v>
      </c>
      <c r="AB25">
        <f t="shared" si="25"/>
        <v>29.41</v>
      </c>
      <c r="AC25">
        <f t="shared" si="26"/>
        <v>0</v>
      </c>
      <c r="AD25">
        <f>ROUND((((ET25)-(EU25))+AE25),6)</f>
        <v>0</v>
      </c>
      <c r="AE25">
        <f t="shared" si="27"/>
        <v>0</v>
      </c>
      <c r="AF25">
        <f t="shared" si="27"/>
        <v>29.41</v>
      </c>
      <c r="AG25">
        <f t="shared" si="28"/>
        <v>0</v>
      </c>
      <c r="AH25">
        <f t="shared" si="29"/>
        <v>3.77</v>
      </c>
      <c r="AI25">
        <f t="shared" si="29"/>
        <v>0</v>
      </c>
      <c r="AJ25">
        <f t="shared" si="30"/>
        <v>0</v>
      </c>
      <c r="AK25">
        <v>29.41</v>
      </c>
      <c r="AL25">
        <v>0</v>
      </c>
      <c r="AM25">
        <v>0</v>
      </c>
      <c r="AN25">
        <v>0</v>
      </c>
      <c r="AO25">
        <v>29.41</v>
      </c>
      <c r="AP25">
        <v>0</v>
      </c>
      <c r="AQ25">
        <v>3.77</v>
      </c>
      <c r="AR25">
        <v>0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6.08</v>
      </c>
      <c r="BA25">
        <v>6.08</v>
      </c>
      <c r="BB25">
        <v>6.08</v>
      </c>
      <c r="BC25">
        <v>6.08</v>
      </c>
      <c r="BD25" t="s">
        <v>4</v>
      </c>
      <c r="BE25" t="s">
        <v>4</v>
      </c>
      <c r="BF25" t="s">
        <v>4</v>
      </c>
      <c r="BG25" t="s">
        <v>4</v>
      </c>
      <c r="BH25">
        <v>0</v>
      </c>
      <c r="BI25">
        <v>1</v>
      </c>
      <c r="BJ25" t="s">
        <v>16</v>
      </c>
      <c r="BM25">
        <v>57001</v>
      </c>
      <c r="BN25">
        <v>0</v>
      </c>
      <c r="BO25" t="s">
        <v>4</v>
      </c>
      <c r="BP25">
        <v>0</v>
      </c>
      <c r="BQ25">
        <v>6</v>
      </c>
      <c r="BR25">
        <v>0</v>
      </c>
      <c r="BS25">
        <v>6.08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4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4</v>
      </c>
      <c r="CO25">
        <v>0</v>
      </c>
      <c r="CP25">
        <f t="shared" si="31"/>
        <v>42.92</v>
      </c>
      <c r="CQ25">
        <f t="shared" si="32"/>
        <v>0</v>
      </c>
      <c r="CR25">
        <f t="shared" si="33"/>
        <v>0</v>
      </c>
      <c r="CS25">
        <f t="shared" si="34"/>
        <v>0</v>
      </c>
      <c r="CT25">
        <f t="shared" si="35"/>
        <v>178.81280000000001</v>
      </c>
      <c r="CU25">
        <f t="shared" si="36"/>
        <v>0</v>
      </c>
      <c r="CV25">
        <f t="shared" si="37"/>
        <v>3.77</v>
      </c>
      <c r="CW25">
        <f t="shared" si="38"/>
        <v>0</v>
      </c>
      <c r="CX25">
        <f t="shared" si="39"/>
        <v>0</v>
      </c>
      <c r="CY25">
        <f t="shared" si="40"/>
        <v>34.336000000000006</v>
      </c>
      <c r="CZ25">
        <f t="shared" si="41"/>
        <v>29.185600000000001</v>
      </c>
      <c r="DC25" t="s">
        <v>4</v>
      </c>
      <c r="DD25" t="s">
        <v>4</v>
      </c>
      <c r="DE25" t="s">
        <v>4</v>
      </c>
      <c r="DF25" t="s">
        <v>4</v>
      </c>
      <c r="DG25" t="s">
        <v>4</v>
      </c>
      <c r="DH25" t="s">
        <v>4</v>
      </c>
      <c r="DI25" t="s">
        <v>4</v>
      </c>
      <c r="DJ25" t="s">
        <v>4</v>
      </c>
      <c r="DK25" t="s">
        <v>4</v>
      </c>
      <c r="DL25" t="s">
        <v>4</v>
      </c>
      <c r="DM25" t="s">
        <v>4</v>
      </c>
      <c r="DN25">
        <v>0</v>
      </c>
      <c r="DO25">
        <v>0</v>
      </c>
      <c r="DP25">
        <v>1</v>
      </c>
      <c r="DQ25">
        <v>1</v>
      </c>
      <c r="DU25">
        <v>1003</v>
      </c>
      <c r="DV25" t="s">
        <v>15</v>
      </c>
      <c r="DW25" t="s">
        <v>15</v>
      </c>
      <c r="DX25">
        <v>100</v>
      </c>
      <c r="EE25">
        <v>16510566</v>
      </c>
      <c r="EF25">
        <v>6</v>
      </c>
      <c r="EG25" t="s">
        <v>17</v>
      </c>
      <c r="EH25">
        <v>0</v>
      </c>
      <c r="EI25" t="s">
        <v>4</v>
      </c>
      <c r="EJ25">
        <v>1</v>
      </c>
      <c r="EK25">
        <v>57001</v>
      </c>
      <c r="EL25" t="s">
        <v>18</v>
      </c>
      <c r="EM25" t="s">
        <v>19</v>
      </c>
      <c r="EO25" t="s">
        <v>4</v>
      </c>
      <c r="EQ25">
        <v>0</v>
      </c>
      <c r="ER25">
        <v>29.41</v>
      </c>
      <c r="ES25">
        <v>0</v>
      </c>
      <c r="ET25">
        <v>0</v>
      </c>
      <c r="EU25">
        <v>0</v>
      </c>
      <c r="EV25">
        <v>29.41</v>
      </c>
      <c r="EW25">
        <v>3.77</v>
      </c>
      <c r="EX25">
        <v>0</v>
      </c>
      <c r="EY25">
        <v>0</v>
      </c>
      <c r="FQ25">
        <v>0</v>
      </c>
      <c r="FR25">
        <f t="shared" si="42"/>
        <v>0</v>
      </c>
      <c r="FS25">
        <v>0</v>
      </c>
      <c r="FX25">
        <v>80</v>
      </c>
      <c r="FY25">
        <v>68</v>
      </c>
      <c r="GA25" t="s">
        <v>4</v>
      </c>
      <c r="GD25">
        <v>0</v>
      </c>
      <c r="GF25">
        <v>-1431764135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3"/>
        <v>0</v>
      </c>
      <c r="GM25">
        <f t="shared" si="44"/>
        <v>106.45</v>
      </c>
      <c r="GN25">
        <f t="shared" si="45"/>
        <v>106.45</v>
      </c>
      <c r="GO25">
        <f t="shared" si="46"/>
        <v>0</v>
      </c>
      <c r="GP25">
        <f t="shared" si="47"/>
        <v>0</v>
      </c>
      <c r="GR25">
        <v>0</v>
      </c>
      <c r="GS25">
        <v>3</v>
      </c>
      <c r="GT25">
        <v>0</v>
      </c>
      <c r="GU25" t="s">
        <v>4</v>
      </c>
      <c r="GV25">
        <f t="shared" si="48"/>
        <v>0</v>
      </c>
      <c r="GW25">
        <v>1</v>
      </c>
      <c r="GX25">
        <f t="shared" si="49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ROW(SmtRes!A5)</f>
        <v>5</v>
      </c>
      <c r="D26" s="2">
        <f>ROW(EtalonRes!A8)</f>
        <v>8</v>
      </c>
      <c r="E26" s="2" t="s">
        <v>20</v>
      </c>
      <c r="F26" s="2" t="s">
        <v>21</v>
      </c>
      <c r="G26" s="2" t="s">
        <v>22</v>
      </c>
      <c r="H26" s="2" t="s">
        <v>23</v>
      </c>
      <c r="I26" s="2">
        <f t="shared" ref="I26:I33" si="50">ROUND(39.9/100,9)</f>
        <v>0.39900000000000002</v>
      </c>
      <c r="J26" s="2">
        <v>0</v>
      </c>
      <c r="K26" s="2"/>
      <c r="L26" s="2"/>
      <c r="M26" s="2"/>
      <c r="N26" s="2"/>
      <c r="O26" s="2">
        <f t="shared" si="14"/>
        <v>37.07</v>
      </c>
      <c r="P26" s="2">
        <f t="shared" si="15"/>
        <v>0</v>
      </c>
      <c r="Q26" s="2">
        <f t="shared" si="16"/>
        <v>1.62</v>
      </c>
      <c r="R26" s="2">
        <f t="shared" si="17"/>
        <v>0.7</v>
      </c>
      <c r="S26" s="2">
        <f t="shared" si="18"/>
        <v>35.450000000000003</v>
      </c>
      <c r="T26" s="2">
        <f t="shared" si="19"/>
        <v>0</v>
      </c>
      <c r="U26" s="2">
        <f t="shared" si="20"/>
        <v>4.5446100000000005</v>
      </c>
      <c r="V26" s="2">
        <f t="shared" si="21"/>
        <v>5.1870000000000006E-2</v>
      </c>
      <c r="W26" s="2">
        <f t="shared" si="22"/>
        <v>0</v>
      </c>
      <c r="X26" s="2">
        <f t="shared" si="23"/>
        <v>28.92</v>
      </c>
      <c r="Y26" s="2">
        <f t="shared" si="24"/>
        <v>24.58</v>
      </c>
      <c r="Z26" s="2"/>
      <c r="AA26" s="2">
        <v>16500983</v>
      </c>
      <c r="AB26" s="2">
        <f t="shared" si="25"/>
        <v>92.9</v>
      </c>
      <c r="AC26" s="2">
        <f t="shared" si="26"/>
        <v>0</v>
      </c>
      <c r="AD26" s="2">
        <f>ROUND((((ET26)-(EU26))+AE26),6)</f>
        <v>4.0599999999999996</v>
      </c>
      <c r="AE26" s="2">
        <f t="shared" si="27"/>
        <v>1.76</v>
      </c>
      <c r="AF26" s="2">
        <f t="shared" si="27"/>
        <v>88.84</v>
      </c>
      <c r="AG26" s="2">
        <f t="shared" si="28"/>
        <v>0</v>
      </c>
      <c r="AH26" s="2">
        <f t="shared" si="29"/>
        <v>11.39</v>
      </c>
      <c r="AI26" s="2">
        <f t="shared" si="29"/>
        <v>0.13</v>
      </c>
      <c r="AJ26" s="2">
        <f t="shared" si="30"/>
        <v>0</v>
      </c>
      <c r="AK26" s="2">
        <v>92.9</v>
      </c>
      <c r="AL26" s="2">
        <v>0</v>
      </c>
      <c r="AM26" s="2">
        <v>4.0599999999999996</v>
      </c>
      <c r="AN26" s="2">
        <v>1.76</v>
      </c>
      <c r="AO26" s="2">
        <v>88.84</v>
      </c>
      <c r="AP26" s="2">
        <v>0</v>
      </c>
      <c r="AQ26" s="2">
        <v>11.39</v>
      </c>
      <c r="AR26" s="2">
        <v>0.13</v>
      </c>
      <c r="AS26" s="2">
        <v>0</v>
      </c>
      <c r="AT26" s="2">
        <v>80</v>
      </c>
      <c r="AU26" s="2">
        <v>68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4</v>
      </c>
      <c r="BE26" s="2" t="s">
        <v>4</v>
      </c>
      <c r="BF26" s="2" t="s">
        <v>4</v>
      </c>
      <c r="BG26" s="2" t="s">
        <v>4</v>
      </c>
      <c r="BH26" s="2">
        <v>0</v>
      </c>
      <c r="BI26" s="2">
        <v>1</v>
      </c>
      <c r="BJ26" s="2" t="s">
        <v>24</v>
      </c>
      <c r="BK26" s="2"/>
      <c r="BL26" s="2"/>
      <c r="BM26" s="2">
        <v>57001</v>
      </c>
      <c r="BN26" s="2">
        <v>0</v>
      </c>
      <c r="BO26" s="2" t="s">
        <v>4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4</v>
      </c>
      <c r="BZ26" s="2">
        <v>80</v>
      </c>
      <c r="CA26" s="2">
        <v>68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4</v>
      </c>
      <c r="CO26" s="2">
        <v>0</v>
      </c>
      <c r="CP26" s="2">
        <f t="shared" si="31"/>
        <v>37.07</v>
      </c>
      <c r="CQ26" s="2">
        <f t="shared" si="32"/>
        <v>0</v>
      </c>
      <c r="CR26" s="2">
        <f t="shared" si="33"/>
        <v>4.0599999999999996</v>
      </c>
      <c r="CS26" s="2">
        <f t="shared" si="34"/>
        <v>1.76</v>
      </c>
      <c r="CT26" s="2">
        <f t="shared" si="35"/>
        <v>88.84</v>
      </c>
      <c r="CU26" s="2">
        <f t="shared" si="36"/>
        <v>0</v>
      </c>
      <c r="CV26" s="2">
        <f t="shared" si="37"/>
        <v>11.39</v>
      </c>
      <c r="CW26" s="2">
        <f t="shared" si="38"/>
        <v>0.13</v>
      </c>
      <c r="CX26" s="2">
        <f t="shared" si="39"/>
        <v>0</v>
      </c>
      <c r="CY26" s="2">
        <f t="shared" si="40"/>
        <v>28.920000000000005</v>
      </c>
      <c r="CZ26" s="2">
        <f t="shared" si="41"/>
        <v>24.582000000000004</v>
      </c>
      <c r="DA26" s="2"/>
      <c r="DB26" s="2"/>
      <c r="DC26" s="2" t="s">
        <v>4</v>
      </c>
      <c r="DD26" s="2" t="s">
        <v>4</v>
      </c>
      <c r="DE26" s="2" t="s">
        <v>4</v>
      </c>
      <c r="DF26" s="2" t="s">
        <v>4</v>
      </c>
      <c r="DG26" s="2" t="s">
        <v>4</v>
      </c>
      <c r="DH26" s="2" t="s">
        <v>4</v>
      </c>
      <c r="DI26" s="2" t="s">
        <v>4</v>
      </c>
      <c r="DJ26" s="2" t="s">
        <v>4</v>
      </c>
      <c r="DK26" s="2" t="s">
        <v>4</v>
      </c>
      <c r="DL26" s="2" t="s">
        <v>4</v>
      </c>
      <c r="DM26" s="2" t="s">
        <v>4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23</v>
      </c>
      <c r="DW26" s="2" t="s">
        <v>23</v>
      </c>
      <c r="DX26" s="2">
        <v>100</v>
      </c>
      <c r="DY26" s="2"/>
      <c r="DZ26" s="2"/>
      <c r="EA26" s="2"/>
      <c r="EB26" s="2"/>
      <c r="EC26" s="2"/>
      <c r="ED26" s="2"/>
      <c r="EE26" s="2">
        <v>16510566</v>
      </c>
      <c r="EF26" s="2">
        <v>6</v>
      </c>
      <c r="EG26" s="2" t="s">
        <v>17</v>
      </c>
      <c r="EH26" s="2">
        <v>0</v>
      </c>
      <c r="EI26" s="2" t="s">
        <v>4</v>
      </c>
      <c r="EJ26" s="2">
        <v>1</v>
      </c>
      <c r="EK26" s="2">
        <v>57001</v>
      </c>
      <c r="EL26" s="2" t="s">
        <v>18</v>
      </c>
      <c r="EM26" s="2" t="s">
        <v>19</v>
      </c>
      <c r="EN26" s="2"/>
      <c r="EO26" s="2" t="s">
        <v>4</v>
      </c>
      <c r="EP26" s="2"/>
      <c r="EQ26" s="2">
        <v>0</v>
      </c>
      <c r="ER26" s="2">
        <v>92.9</v>
      </c>
      <c r="ES26" s="2">
        <v>0</v>
      </c>
      <c r="ET26" s="2">
        <v>4.0599999999999996</v>
      </c>
      <c r="EU26" s="2">
        <v>1.76</v>
      </c>
      <c r="EV26" s="2">
        <v>88.84</v>
      </c>
      <c r="EW26" s="2">
        <v>11.39</v>
      </c>
      <c r="EX26" s="2">
        <v>0.13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2"/>
        <v>0</v>
      </c>
      <c r="FS26" s="2">
        <v>0</v>
      </c>
      <c r="FT26" s="2"/>
      <c r="FU26" s="2"/>
      <c r="FV26" s="2"/>
      <c r="FW26" s="2"/>
      <c r="FX26" s="2">
        <v>80</v>
      </c>
      <c r="FY26" s="2">
        <v>68</v>
      </c>
      <c r="FZ26" s="2"/>
      <c r="GA26" s="2" t="s">
        <v>4</v>
      </c>
      <c r="GB26" s="2"/>
      <c r="GC26" s="2"/>
      <c r="GD26" s="2">
        <v>0</v>
      </c>
      <c r="GE26" s="2"/>
      <c r="GF26" s="2">
        <v>-1228944231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3"/>
        <v>0</v>
      </c>
      <c r="GM26" s="2">
        <f t="shared" si="44"/>
        <v>90.57</v>
      </c>
      <c r="GN26" s="2">
        <f t="shared" si="45"/>
        <v>90.57</v>
      </c>
      <c r="GO26" s="2">
        <f t="shared" si="46"/>
        <v>0</v>
      </c>
      <c r="GP26" s="2">
        <f t="shared" si="47"/>
        <v>0</v>
      </c>
      <c r="GQ26" s="2"/>
      <c r="GR26" s="2">
        <v>0</v>
      </c>
      <c r="GS26" s="2">
        <v>3</v>
      </c>
      <c r="GT26" s="2">
        <v>0</v>
      </c>
      <c r="GU26" s="2" t="s">
        <v>4</v>
      </c>
      <c r="GV26" s="2">
        <f t="shared" si="48"/>
        <v>0</v>
      </c>
      <c r="GW26" s="2">
        <v>1</v>
      </c>
      <c r="GX26" s="2">
        <f t="shared" si="49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ROW(SmtRes!A8)</f>
        <v>8</v>
      </c>
      <c r="D27">
        <f>ROW(EtalonRes!A12)</f>
        <v>12</v>
      </c>
      <c r="E27" t="s">
        <v>20</v>
      </c>
      <c r="F27" t="s">
        <v>21</v>
      </c>
      <c r="G27" t="s">
        <v>22</v>
      </c>
      <c r="H27" t="s">
        <v>23</v>
      </c>
      <c r="I27">
        <f t="shared" si="50"/>
        <v>0.39900000000000002</v>
      </c>
      <c r="J27">
        <v>0</v>
      </c>
      <c r="O27">
        <f t="shared" si="14"/>
        <v>225.37</v>
      </c>
      <c r="P27">
        <f t="shared" si="15"/>
        <v>0</v>
      </c>
      <c r="Q27">
        <f t="shared" si="16"/>
        <v>9.85</v>
      </c>
      <c r="R27">
        <f t="shared" si="17"/>
        <v>4.2699999999999996</v>
      </c>
      <c r="S27">
        <f t="shared" si="18"/>
        <v>215.52</v>
      </c>
      <c r="T27">
        <f t="shared" si="19"/>
        <v>0</v>
      </c>
      <c r="U27">
        <f t="shared" si="20"/>
        <v>4.5446100000000005</v>
      </c>
      <c r="V27">
        <f t="shared" si="21"/>
        <v>5.1870000000000006E-2</v>
      </c>
      <c r="W27">
        <f t="shared" si="22"/>
        <v>0</v>
      </c>
      <c r="X27">
        <f t="shared" si="23"/>
        <v>175.83</v>
      </c>
      <c r="Y27">
        <f t="shared" si="24"/>
        <v>149.46</v>
      </c>
      <c r="AA27">
        <v>16500997</v>
      </c>
      <c r="AB27">
        <f t="shared" si="25"/>
        <v>92.9</v>
      </c>
      <c r="AC27">
        <f t="shared" si="26"/>
        <v>0</v>
      </c>
      <c r="AD27">
        <f>ROUND((((ET27)-(EU27))+AE27),6)</f>
        <v>4.0599999999999996</v>
      </c>
      <c r="AE27">
        <f t="shared" si="27"/>
        <v>1.76</v>
      </c>
      <c r="AF27">
        <f t="shared" si="27"/>
        <v>88.84</v>
      </c>
      <c r="AG27">
        <f t="shared" si="28"/>
        <v>0</v>
      </c>
      <c r="AH27">
        <f t="shared" si="29"/>
        <v>11.39</v>
      </c>
      <c r="AI27">
        <f t="shared" si="29"/>
        <v>0.13</v>
      </c>
      <c r="AJ27">
        <f t="shared" si="30"/>
        <v>0</v>
      </c>
      <c r="AK27">
        <v>92.9</v>
      </c>
      <c r="AL27">
        <v>0</v>
      </c>
      <c r="AM27">
        <v>4.0599999999999996</v>
      </c>
      <c r="AN27">
        <v>1.76</v>
      </c>
      <c r="AO27">
        <v>88.84</v>
      </c>
      <c r="AP27">
        <v>0</v>
      </c>
      <c r="AQ27">
        <v>11.39</v>
      </c>
      <c r="AR27">
        <v>0.13</v>
      </c>
      <c r="AS27">
        <v>0</v>
      </c>
      <c r="AT27">
        <v>80</v>
      </c>
      <c r="AU27">
        <v>68</v>
      </c>
      <c r="AV27">
        <v>1</v>
      </c>
      <c r="AW27">
        <v>1</v>
      </c>
      <c r="AZ27">
        <v>6.08</v>
      </c>
      <c r="BA27">
        <v>6.08</v>
      </c>
      <c r="BB27">
        <v>6.08</v>
      </c>
      <c r="BC27">
        <v>6.08</v>
      </c>
      <c r="BD27" t="s">
        <v>4</v>
      </c>
      <c r="BE27" t="s">
        <v>4</v>
      </c>
      <c r="BF27" t="s">
        <v>4</v>
      </c>
      <c r="BG27" t="s">
        <v>4</v>
      </c>
      <c r="BH27">
        <v>0</v>
      </c>
      <c r="BI27">
        <v>1</v>
      </c>
      <c r="BJ27" t="s">
        <v>24</v>
      </c>
      <c r="BM27">
        <v>57001</v>
      </c>
      <c r="BN27">
        <v>0</v>
      </c>
      <c r="BO27" t="s">
        <v>4</v>
      </c>
      <c r="BP27">
        <v>0</v>
      </c>
      <c r="BQ27">
        <v>6</v>
      </c>
      <c r="BR27">
        <v>0</v>
      </c>
      <c r="BS27">
        <v>6.08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4</v>
      </c>
      <c r="BZ27">
        <v>80</v>
      </c>
      <c r="CA27">
        <v>68</v>
      </c>
      <c r="CF27">
        <v>0</v>
      </c>
      <c r="CG27">
        <v>0</v>
      </c>
      <c r="CM27">
        <v>0</v>
      </c>
      <c r="CN27" t="s">
        <v>4</v>
      </c>
      <c r="CO27">
        <v>0</v>
      </c>
      <c r="CP27">
        <f t="shared" si="31"/>
        <v>225.37</v>
      </c>
      <c r="CQ27">
        <f t="shared" si="32"/>
        <v>0</v>
      </c>
      <c r="CR27">
        <f t="shared" si="33"/>
        <v>24.684799999999999</v>
      </c>
      <c r="CS27">
        <f t="shared" si="34"/>
        <v>10.700800000000001</v>
      </c>
      <c r="CT27">
        <f t="shared" si="35"/>
        <v>540.1472</v>
      </c>
      <c r="CU27">
        <f t="shared" si="36"/>
        <v>0</v>
      </c>
      <c r="CV27">
        <f t="shared" si="37"/>
        <v>11.39</v>
      </c>
      <c r="CW27">
        <f t="shared" si="38"/>
        <v>0.13</v>
      </c>
      <c r="CX27">
        <f t="shared" si="39"/>
        <v>0</v>
      </c>
      <c r="CY27">
        <f t="shared" si="40"/>
        <v>175.83199999999999</v>
      </c>
      <c r="CZ27">
        <f t="shared" si="41"/>
        <v>149.4572</v>
      </c>
      <c r="DC27" t="s">
        <v>4</v>
      </c>
      <c r="DD27" t="s">
        <v>4</v>
      </c>
      <c r="DE27" t="s">
        <v>4</v>
      </c>
      <c r="DF27" t="s">
        <v>4</v>
      </c>
      <c r="DG27" t="s">
        <v>4</v>
      </c>
      <c r="DH27" t="s">
        <v>4</v>
      </c>
      <c r="DI27" t="s">
        <v>4</v>
      </c>
      <c r="DJ27" t="s">
        <v>4</v>
      </c>
      <c r="DK27" t="s">
        <v>4</v>
      </c>
      <c r="DL27" t="s">
        <v>4</v>
      </c>
      <c r="DM27" t="s">
        <v>4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23</v>
      </c>
      <c r="DW27" t="s">
        <v>23</v>
      </c>
      <c r="DX27">
        <v>100</v>
      </c>
      <c r="EE27">
        <v>16510566</v>
      </c>
      <c r="EF27">
        <v>6</v>
      </c>
      <c r="EG27" t="s">
        <v>17</v>
      </c>
      <c r="EH27">
        <v>0</v>
      </c>
      <c r="EI27" t="s">
        <v>4</v>
      </c>
      <c r="EJ27">
        <v>1</v>
      </c>
      <c r="EK27">
        <v>57001</v>
      </c>
      <c r="EL27" t="s">
        <v>18</v>
      </c>
      <c r="EM27" t="s">
        <v>19</v>
      </c>
      <c r="EO27" t="s">
        <v>4</v>
      </c>
      <c r="EQ27">
        <v>0</v>
      </c>
      <c r="ER27">
        <v>92.9</v>
      </c>
      <c r="ES27">
        <v>0</v>
      </c>
      <c r="ET27">
        <v>4.0599999999999996</v>
      </c>
      <c r="EU27">
        <v>1.76</v>
      </c>
      <c r="EV27">
        <v>88.84</v>
      </c>
      <c r="EW27">
        <v>11.39</v>
      </c>
      <c r="EX27">
        <v>0.13</v>
      </c>
      <c r="EY27">
        <v>0</v>
      </c>
      <c r="FQ27">
        <v>0</v>
      </c>
      <c r="FR27">
        <f t="shared" si="42"/>
        <v>0</v>
      </c>
      <c r="FS27">
        <v>0</v>
      </c>
      <c r="FX27">
        <v>80</v>
      </c>
      <c r="FY27">
        <v>68</v>
      </c>
      <c r="GA27" t="s">
        <v>4</v>
      </c>
      <c r="GD27">
        <v>0</v>
      </c>
      <c r="GF27">
        <v>-1228944231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3"/>
        <v>0</v>
      </c>
      <c r="GM27">
        <f t="shared" si="44"/>
        <v>550.66</v>
      </c>
      <c r="GN27">
        <f t="shared" si="45"/>
        <v>550.66</v>
      </c>
      <c r="GO27">
        <f t="shared" si="46"/>
        <v>0</v>
      </c>
      <c r="GP27">
        <f t="shared" si="47"/>
        <v>0</v>
      </c>
      <c r="GR27">
        <v>0</v>
      </c>
      <c r="GS27">
        <v>3</v>
      </c>
      <c r="GT27">
        <v>0</v>
      </c>
      <c r="GU27" t="s">
        <v>4</v>
      </c>
      <c r="GV27">
        <f t="shared" si="48"/>
        <v>0</v>
      </c>
      <c r="GW27">
        <v>1</v>
      </c>
      <c r="GX27">
        <f t="shared" si="49"/>
        <v>0</v>
      </c>
      <c r="HA27">
        <v>0</v>
      </c>
      <c r="HB27"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ROW(SmtRes!A15)</f>
        <v>15</v>
      </c>
      <c r="D28" s="2">
        <f>ROW(EtalonRes!A19)</f>
        <v>19</v>
      </c>
      <c r="E28" s="2" t="s">
        <v>25</v>
      </c>
      <c r="F28" s="2" t="s">
        <v>26</v>
      </c>
      <c r="G28" s="2" t="s">
        <v>27</v>
      </c>
      <c r="H28" s="2" t="s">
        <v>23</v>
      </c>
      <c r="I28" s="2">
        <f t="shared" si="50"/>
        <v>0.39900000000000002</v>
      </c>
      <c r="J28" s="2">
        <v>0</v>
      </c>
      <c r="K28" s="2"/>
      <c r="L28" s="2"/>
      <c r="M28" s="2"/>
      <c r="N28" s="2"/>
      <c r="O28" s="2">
        <f t="shared" si="14"/>
        <v>4420.38</v>
      </c>
      <c r="P28" s="2">
        <f t="shared" si="15"/>
        <v>4269.83</v>
      </c>
      <c r="Q28" s="2">
        <f t="shared" si="16"/>
        <v>3.11</v>
      </c>
      <c r="R28" s="2">
        <f t="shared" si="17"/>
        <v>0.98</v>
      </c>
      <c r="S28" s="2">
        <f t="shared" si="18"/>
        <v>147.44</v>
      </c>
      <c r="T28" s="2">
        <f t="shared" si="19"/>
        <v>0</v>
      </c>
      <c r="U28" s="2">
        <f t="shared" si="20"/>
        <v>17.284879499999999</v>
      </c>
      <c r="V28" s="2">
        <f t="shared" si="21"/>
        <v>8.4787500000000016E-2</v>
      </c>
      <c r="W28" s="2">
        <f t="shared" si="22"/>
        <v>0</v>
      </c>
      <c r="X28" s="2">
        <f t="shared" si="23"/>
        <v>164.75</v>
      </c>
      <c r="Y28" s="2">
        <f t="shared" si="24"/>
        <v>94.99</v>
      </c>
      <c r="Z28" s="2"/>
      <c r="AA28" s="2">
        <v>16500983</v>
      </c>
      <c r="AB28" s="2">
        <f t="shared" si="25"/>
        <v>11078.647000000001</v>
      </c>
      <c r="AC28" s="2">
        <f t="shared" si="26"/>
        <v>10701.33</v>
      </c>
      <c r="AD28" s="2">
        <f>ROUND(((((ET28*1.25))-((EU28*1.25)))+AE28),6)</f>
        <v>7.7874999999999996</v>
      </c>
      <c r="AE28" s="2">
        <f>ROUND(((EU28*1.25)),6)</f>
        <v>2.4624999999999999</v>
      </c>
      <c r="AF28" s="2">
        <f>ROUND(((EV28*1.15)),6)</f>
        <v>369.52949999999998</v>
      </c>
      <c r="AG28" s="2">
        <f t="shared" si="28"/>
        <v>0</v>
      </c>
      <c r="AH28" s="2">
        <f>((EW28*1.15))</f>
        <v>43.320499999999996</v>
      </c>
      <c r="AI28" s="2">
        <f>((EX28*1.25))</f>
        <v>0.21250000000000002</v>
      </c>
      <c r="AJ28" s="2">
        <f t="shared" si="30"/>
        <v>0</v>
      </c>
      <c r="AK28" s="2">
        <v>11028.89</v>
      </c>
      <c r="AL28" s="2">
        <v>10701.33</v>
      </c>
      <c r="AM28" s="2">
        <v>6.23</v>
      </c>
      <c r="AN28" s="2">
        <v>1.97</v>
      </c>
      <c r="AO28" s="2">
        <v>321.33</v>
      </c>
      <c r="AP28" s="2">
        <v>0</v>
      </c>
      <c r="AQ28" s="2">
        <v>37.67</v>
      </c>
      <c r="AR28" s="2">
        <v>0.17</v>
      </c>
      <c r="AS28" s="2">
        <v>0</v>
      </c>
      <c r="AT28" s="2">
        <v>111</v>
      </c>
      <c r="AU28" s="2">
        <v>64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4</v>
      </c>
      <c r="BE28" s="2" t="s">
        <v>4</v>
      </c>
      <c r="BF28" s="2" t="s">
        <v>4</v>
      </c>
      <c r="BG28" s="2" t="s">
        <v>4</v>
      </c>
      <c r="BH28" s="2">
        <v>0</v>
      </c>
      <c r="BI28" s="2">
        <v>1</v>
      </c>
      <c r="BJ28" s="2" t="s">
        <v>28</v>
      </c>
      <c r="BK28" s="2"/>
      <c r="BL28" s="2"/>
      <c r="BM28" s="2">
        <v>11001</v>
      </c>
      <c r="BN28" s="2">
        <v>0</v>
      </c>
      <c r="BO28" s="2" t="s">
        <v>4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4</v>
      </c>
      <c r="BZ28" s="2">
        <v>123</v>
      </c>
      <c r="CA28" s="2">
        <v>75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322</v>
      </c>
      <c r="CO28" s="2">
        <v>0</v>
      </c>
      <c r="CP28" s="2">
        <f t="shared" si="31"/>
        <v>4420.3799999999992</v>
      </c>
      <c r="CQ28" s="2">
        <f t="shared" si="32"/>
        <v>10701.33</v>
      </c>
      <c r="CR28" s="2">
        <f t="shared" si="33"/>
        <v>7.7874999999999996</v>
      </c>
      <c r="CS28" s="2">
        <f t="shared" si="34"/>
        <v>2.4624999999999999</v>
      </c>
      <c r="CT28" s="2">
        <f t="shared" si="35"/>
        <v>369.52949999999998</v>
      </c>
      <c r="CU28" s="2">
        <f t="shared" si="36"/>
        <v>0</v>
      </c>
      <c r="CV28" s="2">
        <f t="shared" si="37"/>
        <v>43.320499999999996</v>
      </c>
      <c r="CW28" s="2">
        <f t="shared" si="38"/>
        <v>0.21250000000000002</v>
      </c>
      <c r="CX28" s="2">
        <f t="shared" si="39"/>
        <v>0</v>
      </c>
      <c r="CY28" s="2">
        <f t="shared" si="40"/>
        <v>164.74619999999999</v>
      </c>
      <c r="CZ28" s="2">
        <f t="shared" si="41"/>
        <v>94.988799999999998</v>
      </c>
      <c r="DA28" s="2"/>
      <c r="DB28" s="2"/>
      <c r="DC28" s="2" t="s">
        <v>4</v>
      </c>
      <c r="DD28" s="2" t="s">
        <v>4</v>
      </c>
      <c r="DE28" s="2" t="s">
        <v>29</v>
      </c>
      <c r="DF28" s="2" t="s">
        <v>29</v>
      </c>
      <c r="DG28" s="2" t="s">
        <v>30</v>
      </c>
      <c r="DH28" s="2" t="s">
        <v>4</v>
      </c>
      <c r="DI28" s="2" t="s">
        <v>30</v>
      </c>
      <c r="DJ28" s="2" t="s">
        <v>29</v>
      </c>
      <c r="DK28" s="2" t="s">
        <v>4</v>
      </c>
      <c r="DL28" s="2" t="s">
        <v>4</v>
      </c>
      <c r="DM28" s="2" t="s">
        <v>4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23</v>
      </c>
      <c r="DW28" s="2" t="s">
        <v>23</v>
      </c>
      <c r="DX28" s="2">
        <v>100</v>
      </c>
      <c r="DY28" s="2"/>
      <c r="DZ28" s="2"/>
      <c r="EA28" s="2"/>
      <c r="EB28" s="2"/>
      <c r="EC28" s="2"/>
      <c r="ED28" s="2"/>
      <c r="EE28" s="2">
        <v>16510488</v>
      </c>
      <c r="EF28" s="2">
        <v>2</v>
      </c>
      <c r="EG28" s="2" t="s">
        <v>31</v>
      </c>
      <c r="EH28" s="2">
        <v>0</v>
      </c>
      <c r="EI28" s="2" t="s">
        <v>4</v>
      </c>
      <c r="EJ28" s="2">
        <v>1</v>
      </c>
      <c r="EK28" s="2">
        <v>11001</v>
      </c>
      <c r="EL28" s="2" t="s">
        <v>18</v>
      </c>
      <c r="EM28" s="2" t="s">
        <v>32</v>
      </c>
      <c r="EN28" s="2"/>
      <c r="EO28" s="2" t="s">
        <v>33</v>
      </c>
      <c r="EP28" s="2"/>
      <c r="EQ28" s="2">
        <v>0</v>
      </c>
      <c r="ER28" s="2">
        <v>11028.89</v>
      </c>
      <c r="ES28" s="2">
        <v>10701.33</v>
      </c>
      <c r="ET28" s="2">
        <v>6.23</v>
      </c>
      <c r="EU28" s="2">
        <v>1.97</v>
      </c>
      <c r="EV28" s="2">
        <v>321.33</v>
      </c>
      <c r="EW28" s="2">
        <v>37.67</v>
      </c>
      <c r="EX28" s="2">
        <v>0.17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2"/>
        <v>0</v>
      </c>
      <c r="FS28" s="2">
        <v>0</v>
      </c>
      <c r="FT28" s="2" t="s">
        <v>34</v>
      </c>
      <c r="FU28" s="2" t="s">
        <v>35</v>
      </c>
      <c r="FV28" s="2"/>
      <c r="FW28" s="2"/>
      <c r="FX28" s="2">
        <v>110.7</v>
      </c>
      <c r="FY28" s="2">
        <v>63.75</v>
      </c>
      <c r="FZ28" s="2"/>
      <c r="GA28" s="2" t="s">
        <v>4</v>
      </c>
      <c r="GB28" s="2"/>
      <c r="GC28" s="2"/>
      <c r="GD28" s="2">
        <v>0</v>
      </c>
      <c r="GE28" s="2"/>
      <c r="GF28" s="2">
        <v>1715562049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3"/>
        <v>0</v>
      </c>
      <c r="GM28" s="2">
        <f t="shared" si="44"/>
        <v>4680.12</v>
      </c>
      <c r="GN28" s="2">
        <f t="shared" si="45"/>
        <v>4680.12</v>
      </c>
      <c r="GO28" s="2">
        <f t="shared" si="46"/>
        <v>0</v>
      </c>
      <c r="GP28" s="2">
        <f t="shared" si="47"/>
        <v>0</v>
      </c>
      <c r="GQ28" s="2"/>
      <c r="GR28" s="2">
        <v>0</v>
      </c>
      <c r="GS28" s="2">
        <v>3</v>
      </c>
      <c r="GT28" s="2">
        <v>0</v>
      </c>
      <c r="GU28" s="2" t="s">
        <v>4</v>
      </c>
      <c r="GV28" s="2">
        <f t="shared" si="48"/>
        <v>0</v>
      </c>
      <c r="GW28" s="2">
        <v>1</v>
      </c>
      <c r="GX28" s="2">
        <f t="shared" si="49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ROW(SmtRes!A22)</f>
        <v>22</v>
      </c>
      <c r="D29">
        <f>ROW(EtalonRes!A26)</f>
        <v>26</v>
      </c>
      <c r="E29" t="s">
        <v>25</v>
      </c>
      <c r="F29" t="s">
        <v>26</v>
      </c>
      <c r="G29" t="s">
        <v>27</v>
      </c>
      <c r="H29" t="s">
        <v>23</v>
      </c>
      <c r="I29">
        <f t="shared" si="50"/>
        <v>0.39900000000000002</v>
      </c>
      <c r="J29">
        <v>0</v>
      </c>
      <c r="O29">
        <f t="shared" si="14"/>
        <v>26875.91</v>
      </c>
      <c r="P29">
        <f t="shared" si="15"/>
        <v>25960.57</v>
      </c>
      <c r="Q29">
        <f t="shared" si="16"/>
        <v>18.89</v>
      </c>
      <c r="R29">
        <f t="shared" si="17"/>
        <v>5.97</v>
      </c>
      <c r="S29">
        <f t="shared" si="18"/>
        <v>896.45</v>
      </c>
      <c r="T29">
        <f t="shared" si="19"/>
        <v>0</v>
      </c>
      <c r="U29">
        <f t="shared" si="20"/>
        <v>17.284879499999999</v>
      </c>
      <c r="V29">
        <f t="shared" si="21"/>
        <v>8.4787500000000016E-2</v>
      </c>
      <c r="W29">
        <f t="shared" si="22"/>
        <v>0</v>
      </c>
      <c r="X29">
        <f t="shared" si="23"/>
        <v>1001.69</v>
      </c>
      <c r="Y29">
        <f t="shared" si="24"/>
        <v>577.54999999999995</v>
      </c>
      <c r="AA29">
        <v>16500997</v>
      </c>
      <c r="AB29">
        <f t="shared" si="25"/>
        <v>11078.647000000001</v>
      </c>
      <c r="AC29">
        <f t="shared" si="26"/>
        <v>10701.33</v>
      </c>
      <c r="AD29">
        <f>ROUND(((((ET29*1.25))-((EU29*1.25)))+AE29),6)</f>
        <v>7.7874999999999996</v>
      </c>
      <c r="AE29">
        <f>ROUND(((EU29*1.25)),6)</f>
        <v>2.4624999999999999</v>
      </c>
      <c r="AF29">
        <f>ROUND(((EV29*1.15)),6)</f>
        <v>369.52949999999998</v>
      </c>
      <c r="AG29">
        <f t="shared" si="28"/>
        <v>0</v>
      </c>
      <c r="AH29">
        <f>((EW29*1.15))</f>
        <v>43.320499999999996</v>
      </c>
      <c r="AI29">
        <f>((EX29*1.25))</f>
        <v>0.21250000000000002</v>
      </c>
      <c r="AJ29">
        <f t="shared" si="30"/>
        <v>0</v>
      </c>
      <c r="AK29">
        <v>11028.89</v>
      </c>
      <c r="AL29">
        <v>10701.33</v>
      </c>
      <c r="AM29">
        <v>6.23</v>
      </c>
      <c r="AN29">
        <v>1.97</v>
      </c>
      <c r="AO29">
        <v>321.33</v>
      </c>
      <c r="AP29">
        <v>0</v>
      </c>
      <c r="AQ29">
        <v>37.67</v>
      </c>
      <c r="AR29">
        <v>0.17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6.08</v>
      </c>
      <c r="BA29">
        <v>6.08</v>
      </c>
      <c r="BB29">
        <v>6.08</v>
      </c>
      <c r="BC29">
        <v>6.08</v>
      </c>
      <c r="BD29" t="s">
        <v>4</v>
      </c>
      <c r="BE29" t="s">
        <v>4</v>
      </c>
      <c r="BF29" t="s">
        <v>4</v>
      </c>
      <c r="BG29" t="s">
        <v>4</v>
      </c>
      <c r="BH29">
        <v>0</v>
      </c>
      <c r="BI29">
        <v>1</v>
      </c>
      <c r="BJ29" t="s">
        <v>28</v>
      </c>
      <c r="BM29">
        <v>11001</v>
      </c>
      <c r="BN29">
        <v>0</v>
      </c>
      <c r="BO29" t="s">
        <v>4</v>
      </c>
      <c r="BP29">
        <v>0</v>
      </c>
      <c r="BQ29">
        <v>2</v>
      </c>
      <c r="BR29">
        <v>0</v>
      </c>
      <c r="BS29">
        <v>6.08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4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322</v>
      </c>
      <c r="CO29">
        <v>0</v>
      </c>
      <c r="CP29">
        <f t="shared" si="31"/>
        <v>26875.91</v>
      </c>
      <c r="CQ29">
        <f t="shared" si="32"/>
        <v>65064.0864</v>
      </c>
      <c r="CR29">
        <f t="shared" si="33"/>
        <v>47.347999999999999</v>
      </c>
      <c r="CS29">
        <f t="shared" si="34"/>
        <v>14.972</v>
      </c>
      <c r="CT29">
        <f t="shared" si="35"/>
        <v>2246.73936</v>
      </c>
      <c r="CU29">
        <f t="shared" si="36"/>
        <v>0</v>
      </c>
      <c r="CV29">
        <f t="shared" si="37"/>
        <v>43.320499999999996</v>
      </c>
      <c r="CW29">
        <f t="shared" si="38"/>
        <v>0.21250000000000002</v>
      </c>
      <c r="CX29">
        <f t="shared" si="39"/>
        <v>0</v>
      </c>
      <c r="CY29">
        <f t="shared" si="40"/>
        <v>1001.6862000000001</v>
      </c>
      <c r="CZ29">
        <f t="shared" si="41"/>
        <v>577.54880000000003</v>
      </c>
      <c r="DC29" t="s">
        <v>4</v>
      </c>
      <c r="DD29" t="s">
        <v>4</v>
      </c>
      <c r="DE29" t="s">
        <v>29</v>
      </c>
      <c r="DF29" t="s">
        <v>29</v>
      </c>
      <c r="DG29" t="s">
        <v>30</v>
      </c>
      <c r="DH29" t="s">
        <v>4</v>
      </c>
      <c r="DI29" t="s">
        <v>30</v>
      </c>
      <c r="DJ29" t="s">
        <v>29</v>
      </c>
      <c r="DK29" t="s">
        <v>4</v>
      </c>
      <c r="DL29" t="s">
        <v>4</v>
      </c>
      <c r="DM29" t="s">
        <v>4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23</v>
      </c>
      <c r="DW29" t="s">
        <v>23</v>
      </c>
      <c r="DX29">
        <v>100</v>
      </c>
      <c r="EE29">
        <v>16510488</v>
      </c>
      <c r="EF29">
        <v>2</v>
      </c>
      <c r="EG29" t="s">
        <v>31</v>
      </c>
      <c r="EH29">
        <v>0</v>
      </c>
      <c r="EI29" t="s">
        <v>4</v>
      </c>
      <c r="EJ29">
        <v>1</v>
      </c>
      <c r="EK29">
        <v>11001</v>
      </c>
      <c r="EL29" t="s">
        <v>18</v>
      </c>
      <c r="EM29" t="s">
        <v>32</v>
      </c>
      <c r="EO29" t="s">
        <v>33</v>
      </c>
      <c r="EQ29">
        <v>0</v>
      </c>
      <c r="ER29">
        <v>11028.89</v>
      </c>
      <c r="ES29">
        <v>10701.33</v>
      </c>
      <c r="ET29">
        <v>6.23</v>
      </c>
      <c r="EU29">
        <v>1.97</v>
      </c>
      <c r="EV29">
        <v>321.33</v>
      </c>
      <c r="EW29">
        <v>37.67</v>
      </c>
      <c r="EX29">
        <v>0.17</v>
      </c>
      <c r="EY29">
        <v>0</v>
      </c>
      <c r="FQ29">
        <v>0</v>
      </c>
      <c r="FR29">
        <f t="shared" si="42"/>
        <v>0</v>
      </c>
      <c r="FS29">
        <v>0</v>
      </c>
      <c r="FT29" t="s">
        <v>34</v>
      </c>
      <c r="FU29" t="s">
        <v>35</v>
      </c>
      <c r="FX29">
        <v>110.7</v>
      </c>
      <c r="FY29">
        <v>63.75</v>
      </c>
      <c r="GA29" t="s">
        <v>4</v>
      </c>
      <c r="GD29">
        <v>0</v>
      </c>
      <c r="GF29">
        <v>1715562049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3"/>
        <v>0</v>
      </c>
      <c r="GM29">
        <f t="shared" si="44"/>
        <v>28455.15</v>
      </c>
      <c r="GN29">
        <f t="shared" si="45"/>
        <v>28455.15</v>
      </c>
      <c r="GO29">
        <f t="shared" si="46"/>
        <v>0</v>
      </c>
      <c r="GP29">
        <f t="shared" si="47"/>
        <v>0</v>
      </c>
      <c r="GR29">
        <v>0</v>
      </c>
      <c r="GS29">
        <v>3</v>
      </c>
      <c r="GT29">
        <v>0</v>
      </c>
      <c r="GU29" t="s">
        <v>4</v>
      </c>
      <c r="GV29">
        <f t="shared" si="48"/>
        <v>0</v>
      </c>
      <c r="GW29">
        <v>1</v>
      </c>
      <c r="GX29">
        <f t="shared" si="49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ROW(SmtRes!A28)</f>
        <v>28</v>
      </c>
      <c r="D30" s="2">
        <f>ROW(EtalonRes!A32)</f>
        <v>32</v>
      </c>
      <c r="E30" s="2" t="s">
        <v>36</v>
      </c>
      <c r="F30" s="2" t="s">
        <v>37</v>
      </c>
      <c r="G30" s="2" t="s">
        <v>38</v>
      </c>
      <c r="H30" s="2" t="s">
        <v>23</v>
      </c>
      <c r="I30" s="2">
        <f t="shared" si="50"/>
        <v>0.39900000000000002</v>
      </c>
      <c r="J30" s="2">
        <v>0</v>
      </c>
      <c r="K30" s="2"/>
      <c r="L30" s="2"/>
      <c r="M30" s="2"/>
      <c r="N30" s="2"/>
      <c r="O30" s="2">
        <f t="shared" si="14"/>
        <v>4137.63</v>
      </c>
      <c r="P30" s="2">
        <f t="shared" si="15"/>
        <v>4087.26</v>
      </c>
      <c r="Q30" s="2">
        <f t="shared" si="16"/>
        <v>3.02</v>
      </c>
      <c r="R30" s="2">
        <f t="shared" si="17"/>
        <v>0.87</v>
      </c>
      <c r="S30" s="2">
        <f t="shared" si="18"/>
        <v>47.35</v>
      </c>
      <c r="T30" s="2">
        <f t="shared" si="19"/>
        <v>0</v>
      </c>
      <c r="U30" s="2">
        <f t="shared" si="20"/>
        <v>5.5520849999999999</v>
      </c>
      <c r="V30" s="2">
        <f t="shared" si="21"/>
        <v>7.4812500000000004E-2</v>
      </c>
      <c r="W30" s="2">
        <f t="shared" si="22"/>
        <v>0</v>
      </c>
      <c r="X30" s="2">
        <f t="shared" si="23"/>
        <v>53.52</v>
      </c>
      <c r="Y30" s="2">
        <f t="shared" si="24"/>
        <v>30.86</v>
      </c>
      <c r="Z30" s="2"/>
      <c r="AA30" s="2">
        <v>16500983</v>
      </c>
      <c r="AB30" s="2">
        <f t="shared" si="25"/>
        <v>10369.9925</v>
      </c>
      <c r="AC30" s="2">
        <f>ROUND(((ES30*5)),6)</f>
        <v>10243.75</v>
      </c>
      <c r="AD30" s="2">
        <f>ROUND((((((ET30*5)*1.25))-(((EU30*5)*1.25)))+AE30),6)</f>
        <v>7.5625</v>
      </c>
      <c r="AE30" s="2">
        <f>ROUND((((EU30*5)*1.25)),6)</f>
        <v>2.1875</v>
      </c>
      <c r="AF30" s="2">
        <f>ROUND((((EV30*5)*1.15)),6)</f>
        <v>118.68</v>
      </c>
      <c r="AG30" s="2">
        <f t="shared" si="28"/>
        <v>0</v>
      </c>
      <c r="AH30" s="2">
        <f>(((EW30*5)*1.15))</f>
        <v>13.914999999999999</v>
      </c>
      <c r="AI30" s="2">
        <f>(((EX30*5)*1.25))</f>
        <v>0.1875</v>
      </c>
      <c r="AJ30" s="2">
        <f t="shared" si="30"/>
        <v>0</v>
      </c>
      <c r="AK30" s="2">
        <v>2070.6</v>
      </c>
      <c r="AL30" s="2">
        <v>2048.75</v>
      </c>
      <c r="AM30" s="2">
        <v>1.21</v>
      </c>
      <c r="AN30" s="2">
        <v>0.35</v>
      </c>
      <c r="AO30" s="2">
        <v>20.64</v>
      </c>
      <c r="AP30" s="2">
        <v>0</v>
      </c>
      <c r="AQ30" s="2">
        <v>2.42</v>
      </c>
      <c r="AR30" s="2">
        <v>0.03</v>
      </c>
      <c r="AS30" s="2">
        <v>0</v>
      </c>
      <c r="AT30" s="2">
        <v>111</v>
      </c>
      <c r="AU30" s="2">
        <v>64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4</v>
      </c>
      <c r="BE30" s="2" t="s">
        <v>4</v>
      </c>
      <c r="BF30" s="2" t="s">
        <v>4</v>
      </c>
      <c r="BG30" s="2" t="s">
        <v>4</v>
      </c>
      <c r="BH30" s="2">
        <v>0</v>
      </c>
      <c r="BI30" s="2">
        <v>1</v>
      </c>
      <c r="BJ30" s="2" t="s">
        <v>39</v>
      </c>
      <c r="BK30" s="2"/>
      <c r="BL30" s="2"/>
      <c r="BM30" s="2">
        <v>11001</v>
      </c>
      <c r="BN30" s="2">
        <v>0</v>
      </c>
      <c r="BO30" s="2" t="s">
        <v>4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4</v>
      </c>
      <c r="BZ30" s="2">
        <v>123</v>
      </c>
      <c r="CA30" s="2">
        <v>75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322</v>
      </c>
      <c r="CO30" s="2">
        <v>0</v>
      </c>
      <c r="CP30" s="2">
        <f t="shared" si="31"/>
        <v>4137.63</v>
      </c>
      <c r="CQ30" s="2">
        <f t="shared" si="32"/>
        <v>10243.75</v>
      </c>
      <c r="CR30" s="2">
        <f t="shared" si="33"/>
        <v>7.5625</v>
      </c>
      <c r="CS30" s="2">
        <f t="shared" si="34"/>
        <v>2.1875</v>
      </c>
      <c r="CT30" s="2">
        <f t="shared" si="35"/>
        <v>118.68</v>
      </c>
      <c r="CU30" s="2">
        <f t="shared" si="36"/>
        <v>0</v>
      </c>
      <c r="CV30" s="2">
        <f t="shared" si="37"/>
        <v>13.914999999999999</v>
      </c>
      <c r="CW30" s="2">
        <f t="shared" si="38"/>
        <v>0.1875</v>
      </c>
      <c r="CX30" s="2">
        <f t="shared" si="39"/>
        <v>0</v>
      </c>
      <c r="CY30" s="2">
        <f t="shared" si="40"/>
        <v>53.5242</v>
      </c>
      <c r="CZ30" s="2">
        <f t="shared" si="41"/>
        <v>30.860799999999998</v>
      </c>
      <c r="DA30" s="2"/>
      <c r="DB30" s="2"/>
      <c r="DC30" s="2" t="s">
        <v>4</v>
      </c>
      <c r="DD30" s="2" t="s">
        <v>40</v>
      </c>
      <c r="DE30" s="2" t="s">
        <v>41</v>
      </c>
      <c r="DF30" s="2" t="s">
        <v>41</v>
      </c>
      <c r="DG30" s="2" t="s">
        <v>42</v>
      </c>
      <c r="DH30" s="2" t="s">
        <v>4</v>
      </c>
      <c r="DI30" s="2" t="s">
        <v>42</v>
      </c>
      <c r="DJ30" s="2" t="s">
        <v>41</v>
      </c>
      <c r="DK30" s="2" t="s">
        <v>4</v>
      </c>
      <c r="DL30" s="2" t="s">
        <v>4</v>
      </c>
      <c r="DM30" s="2" t="s">
        <v>4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23</v>
      </c>
      <c r="DW30" s="2" t="s">
        <v>23</v>
      </c>
      <c r="DX30" s="2">
        <v>100</v>
      </c>
      <c r="DY30" s="2"/>
      <c r="DZ30" s="2"/>
      <c r="EA30" s="2"/>
      <c r="EB30" s="2"/>
      <c r="EC30" s="2"/>
      <c r="ED30" s="2"/>
      <c r="EE30" s="2">
        <v>16510488</v>
      </c>
      <c r="EF30" s="2">
        <v>2</v>
      </c>
      <c r="EG30" s="2" t="s">
        <v>31</v>
      </c>
      <c r="EH30" s="2">
        <v>0</v>
      </c>
      <c r="EI30" s="2" t="s">
        <v>4</v>
      </c>
      <c r="EJ30" s="2">
        <v>1</v>
      </c>
      <c r="EK30" s="2">
        <v>11001</v>
      </c>
      <c r="EL30" s="2" t="s">
        <v>18</v>
      </c>
      <c r="EM30" s="2" t="s">
        <v>32</v>
      </c>
      <c r="EN30" s="2"/>
      <c r="EO30" s="2" t="s">
        <v>33</v>
      </c>
      <c r="EP30" s="2"/>
      <c r="EQ30" s="2">
        <v>0</v>
      </c>
      <c r="ER30" s="2">
        <v>2070.6</v>
      </c>
      <c r="ES30" s="2">
        <v>2048.75</v>
      </c>
      <c r="ET30" s="2">
        <v>1.21</v>
      </c>
      <c r="EU30" s="2">
        <v>0.35</v>
      </c>
      <c r="EV30" s="2">
        <v>20.64</v>
      </c>
      <c r="EW30" s="2">
        <v>2.42</v>
      </c>
      <c r="EX30" s="2">
        <v>0.03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2"/>
        <v>0</v>
      </c>
      <c r="FS30" s="2">
        <v>0</v>
      </c>
      <c r="FT30" s="2" t="s">
        <v>34</v>
      </c>
      <c r="FU30" s="2" t="s">
        <v>35</v>
      </c>
      <c r="FV30" s="2"/>
      <c r="FW30" s="2"/>
      <c r="FX30" s="2">
        <v>110.7</v>
      </c>
      <c r="FY30" s="2">
        <v>63.75</v>
      </c>
      <c r="FZ30" s="2"/>
      <c r="GA30" s="2" t="s">
        <v>4</v>
      </c>
      <c r="GB30" s="2"/>
      <c r="GC30" s="2"/>
      <c r="GD30" s="2">
        <v>0</v>
      </c>
      <c r="GE30" s="2"/>
      <c r="GF30" s="2">
        <v>337317905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3"/>
        <v>0</v>
      </c>
      <c r="GM30" s="2">
        <f t="shared" si="44"/>
        <v>4222.01</v>
      </c>
      <c r="GN30" s="2">
        <f t="shared" si="45"/>
        <v>4222.01</v>
      </c>
      <c r="GO30" s="2">
        <f t="shared" si="46"/>
        <v>0</v>
      </c>
      <c r="GP30" s="2">
        <f t="shared" si="47"/>
        <v>0</v>
      </c>
      <c r="GQ30" s="2"/>
      <c r="GR30" s="2">
        <v>0</v>
      </c>
      <c r="GS30" s="2">
        <v>3</v>
      </c>
      <c r="GT30" s="2">
        <v>0</v>
      </c>
      <c r="GU30" s="2" t="s">
        <v>4</v>
      </c>
      <c r="GV30" s="2">
        <f t="shared" si="48"/>
        <v>0</v>
      </c>
      <c r="GW30" s="2">
        <v>1</v>
      </c>
      <c r="GX30" s="2">
        <f t="shared" si="49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ROW(SmtRes!A34)</f>
        <v>34</v>
      </c>
      <c r="D31">
        <f>ROW(EtalonRes!A38)</f>
        <v>38</v>
      </c>
      <c r="E31" t="s">
        <v>36</v>
      </c>
      <c r="F31" t="s">
        <v>37</v>
      </c>
      <c r="G31" t="s">
        <v>38</v>
      </c>
      <c r="H31" t="s">
        <v>23</v>
      </c>
      <c r="I31">
        <f t="shared" si="50"/>
        <v>0.39900000000000002</v>
      </c>
      <c r="J31">
        <v>0</v>
      </c>
      <c r="O31">
        <f t="shared" si="14"/>
        <v>25156.78</v>
      </c>
      <c r="P31">
        <f t="shared" si="15"/>
        <v>24850.52</v>
      </c>
      <c r="Q31">
        <f t="shared" si="16"/>
        <v>18.350000000000001</v>
      </c>
      <c r="R31">
        <f t="shared" si="17"/>
        <v>5.31</v>
      </c>
      <c r="S31">
        <f t="shared" si="18"/>
        <v>287.91000000000003</v>
      </c>
      <c r="T31">
        <f t="shared" si="19"/>
        <v>0</v>
      </c>
      <c r="U31">
        <f t="shared" si="20"/>
        <v>5.5520849999999999</v>
      </c>
      <c r="V31">
        <f t="shared" si="21"/>
        <v>7.4812500000000004E-2</v>
      </c>
      <c r="W31">
        <f t="shared" si="22"/>
        <v>0</v>
      </c>
      <c r="X31">
        <f t="shared" si="23"/>
        <v>325.47000000000003</v>
      </c>
      <c r="Y31">
        <f t="shared" si="24"/>
        <v>187.66</v>
      </c>
      <c r="AA31">
        <v>16500997</v>
      </c>
      <c r="AB31">
        <f t="shared" si="25"/>
        <v>10369.9925</v>
      </c>
      <c r="AC31">
        <f>ROUND(((ES31*5)),6)</f>
        <v>10243.75</v>
      </c>
      <c r="AD31">
        <f>ROUND((((((ET31*5)*1.25))-(((EU31*5)*1.25)))+AE31),6)</f>
        <v>7.5625</v>
      </c>
      <c r="AE31">
        <f>ROUND((((EU31*5)*1.25)),6)</f>
        <v>2.1875</v>
      </c>
      <c r="AF31">
        <f>ROUND((((EV31*5)*1.15)),6)</f>
        <v>118.68</v>
      </c>
      <c r="AG31">
        <f t="shared" si="28"/>
        <v>0</v>
      </c>
      <c r="AH31">
        <f>(((EW31*5)*1.15))</f>
        <v>13.914999999999999</v>
      </c>
      <c r="AI31">
        <f>(((EX31*5)*1.25))</f>
        <v>0.1875</v>
      </c>
      <c r="AJ31">
        <f t="shared" si="30"/>
        <v>0</v>
      </c>
      <c r="AK31">
        <v>2070.6</v>
      </c>
      <c r="AL31">
        <v>2048.75</v>
      </c>
      <c r="AM31">
        <v>1.21</v>
      </c>
      <c r="AN31">
        <v>0.35</v>
      </c>
      <c r="AO31">
        <v>20.64</v>
      </c>
      <c r="AP31">
        <v>0</v>
      </c>
      <c r="AQ31">
        <v>2.42</v>
      </c>
      <c r="AR31">
        <v>0.03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6.08</v>
      </c>
      <c r="BA31">
        <v>6.08</v>
      </c>
      <c r="BB31">
        <v>6.08</v>
      </c>
      <c r="BC31">
        <v>6.08</v>
      </c>
      <c r="BD31" t="s">
        <v>4</v>
      </c>
      <c r="BE31" t="s">
        <v>4</v>
      </c>
      <c r="BF31" t="s">
        <v>4</v>
      </c>
      <c r="BG31" t="s">
        <v>4</v>
      </c>
      <c r="BH31">
        <v>0</v>
      </c>
      <c r="BI31">
        <v>1</v>
      </c>
      <c r="BJ31" t="s">
        <v>39</v>
      </c>
      <c r="BM31">
        <v>11001</v>
      </c>
      <c r="BN31">
        <v>0</v>
      </c>
      <c r="BO31" t="s">
        <v>4</v>
      </c>
      <c r="BP31">
        <v>0</v>
      </c>
      <c r="BQ31">
        <v>2</v>
      </c>
      <c r="BR31">
        <v>0</v>
      </c>
      <c r="BS31">
        <v>6.08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4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322</v>
      </c>
      <c r="CO31">
        <v>0</v>
      </c>
      <c r="CP31">
        <f t="shared" si="31"/>
        <v>25156.78</v>
      </c>
      <c r="CQ31">
        <f t="shared" si="32"/>
        <v>62282</v>
      </c>
      <c r="CR31">
        <f t="shared" si="33"/>
        <v>45.980000000000004</v>
      </c>
      <c r="CS31">
        <f t="shared" si="34"/>
        <v>13.3</v>
      </c>
      <c r="CT31">
        <f t="shared" si="35"/>
        <v>721.57440000000008</v>
      </c>
      <c r="CU31">
        <f t="shared" si="36"/>
        <v>0</v>
      </c>
      <c r="CV31">
        <f t="shared" si="37"/>
        <v>13.914999999999999</v>
      </c>
      <c r="CW31">
        <f t="shared" si="38"/>
        <v>0.1875</v>
      </c>
      <c r="CX31">
        <f t="shared" si="39"/>
        <v>0</v>
      </c>
      <c r="CY31">
        <f t="shared" si="40"/>
        <v>325.4742</v>
      </c>
      <c r="CZ31">
        <f t="shared" si="41"/>
        <v>187.66080000000002</v>
      </c>
      <c r="DC31" t="s">
        <v>4</v>
      </c>
      <c r="DD31" t="s">
        <v>40</v>
      </c>
      <c r="DE31" t="s">
        <v>41</v>
      </c>
      <c r="DF31" t="s">
        <v>41</v>
      </c>
      <c r="DG31" t="s">
        <v>42</v>
      </c>
      <c r="DH31" t="s">
        <v>4</v>
      </c>
      <c r="DI31" t="s">
        <v>42</v>
      </c>
      <c r="DJ31" t="s">
        <v>41</v>
      </c>
      <c r="DK31" t="s">
        <v>4</v>
      </c>
      <c r="DL31" t="s">
        <v>4</v>
      </c>
      <c r="DM31" t="s">
        <v>4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23</v>
      </c>
      <c r="DW31" t="s">
        <v>23</v>
      </c>
      <c r="DX31">
        <v>100</v>
      </c>
      <c r="EE31">
        <v>16510488</v>
      </c>
      <c r="EF31">
        <v>2</v>
      </c>
      <c r="EG31" t="s">
        <v>31</v>
      </c>
      <c r="EH31">
        <v>0</v>
      </c>
      <c r="EI31" t="s">
        <v>4</v>
      </c>
      <c r="EJ31">
        <v>1</v>
      </c>
      <c r="EK31">
        <v>11001</v>
      </c>
      <c r="EL31" t="s">
        <v>18</v>
      </c>
      <c r="EM31" t="s">
        <v>32</v>
      </c>
      <c r="EO31" t="s">
        <v>33</v>
      </c>
      <c r="EQ31">
        <v>0</v>
      </c>
      <c r="ER31">
        <v>2070.6</v>
      </c>
      <c r="ES31">
        <v>2048.75</v>
      </c>
      <c r="ET31">
        <v>1.21</v>
      </c>
      <c r="EU31">
        <v>0.35</v>
      </c>
      <c r="EV31">
        <v>20.64</v>
      </c>
      <c r="EW31">
        <v>2.42</v>
      </c>
      <c r="EX31">
        <v>0.03</v>
      </c>
      <c r="EY31">
        <v>0</v>
      </c>
      <c r="FQ31">
        <v>0</v>
      </c>
      <c r="FR31">
        <f t="shared" si="42"/>
        <v>0</v>
      </c>
      <c r="FS31">
        <v>0</v>
      </c>
      <c r="FT31" t="s">
        <v>34</v>
      </c>
      <c r="FU31" t="s">
        <v>35</v>
      </c>
      <c r="FX31">
        <v>110.7</v>
      </c>
      <c r="FY31">
        <v>63.75</v>
      </c>
      <c r="GA31" t="s">
        <v>4</v>
      </c>
      <c r="GD31">
        <v>0</v>
      </c>
      <c r="GF31">
        <v>337317905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3"/>
        <v>0</v>
      </c>
      <c r="GM31">
        <f t="shared" si="44"/>
        <v>25669.91</v>
      </c>
      <c r="GN31">
        <f t="shared" si="45"/>
        <v>25669.91</v>
      </c>
      <c r="GO31">
        <f t="shared" si="46"/>
        <v>0</v>
      </c>
      <c r="GP31">
        <f t="shared" si="47"/>
        <v>0</v>
      </c>
      <c r="GR31">
        <v>0</v>
      </c>
      <c r="GS31">
        <v>3</v>
      </c>
      <c r="GT31">
        <v>0</v>
      </c>
      <c r="GU31" t="s">
        <v>4</v>
      </c>
      <c r="GV31">
        <f t="shared" si="48"/>
        <v>0</v>
      </c>
      <c r="GW31">
        <v>1</v>
      </c>
      <c r="GX31">
        <f t="shared" si="49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ROW(SmtRes!A42)</f>
        <v>42</v>
      </c>
      <c r="D32" s="2">
        <f>ROW(EtalonRes!A45)</f>
        <v>45</v>
      </c>
      <c r="E32" s="2" t="s">
        <v>43</v>
      </c>
      <c r="F32" s="2" t="s">
        <v>44</v>
      </c>
      <c r="G32" s="2" t="s">
        <v>45</v>
      </c>
      <c r="H32" s="2" t="s">
        <v>23</v>
      </c>
      <c r="I32" s="2">
        <f t="shared" si="50"/>
        <v>0.39900000000000002</v>
      </c>
      <c r="J32" s="2">
        <v>0</v>
      </c>
      <c r="K32" s="2"/>
      <c r="L32" s="2"/>
      <c r="M32" s="2"/>
      <c r="N32" s="2"/>
      <c r="O32" s="2">
        <f t="shared" si="14"/>
        <v>183.88</v>
      </c>
      <c r="P32" s="2">
        <f t="shared" si="15"/>
        <v>0.36</v>
      </c>
      <c r="Q32" s="2">
        <f t="shared" si="16"/>
        <v>21.85</v>
      </c>
      <c r="R32" s="2">
        <f t="shared" si="17"/>
        <v>5.25</v>
      </c>
      <c r="S32" s="2">
        <f t="shared" si="18"/>
        <v>161.66999999999999</v>
      </c>
      <c r="T32" s="2">
        <f t="shared" si="19"/>
        <v>0</v>
      </c>
      <c r="U32" s="2">
        <f t="shared" si="20"/>
        <v>19.45524</v>
      </c>
      <c r="V32" s="2">
        <f t="shared" si="21"/>
        <v>0.42393750000000002</v>
      </c>
      <c r="W32" s="2">
        <f t="shared" si="22"/>
        <v>0</v>
      </c>
      <c r="X32" s="2">
        <f t="shared" si="23"/>
        <v>185.28</v>
      </c>
      <c r="Y32" s="2">
        <f t="shared" si="24"/>
        <v>106.83</v>
      </c>
      <c r="Z32" s="2"/>
      <c r="AA32" s="2">
        <v>16500983</v>
      </c>
      <c r="AB32" s="2">
        <f t="shared" si="25"/>
        <v>460.851</v>
      </c>
      <c r="AC32" s="2">
        <f t="shared" ref="AC32:AC73" si="51">ROUND((ES32),6)</f>
        <v>0.91</v>
      </c>
      <c r="AD32" s="2">
        <f>ROUND(((((ET32*1.25))-((EU32*1.25)))+AE32),6)</f>
        <v>54.75</v>
      </c>
      <c r="AE32" s="2">
        <f>ROUND(((EU32*1.25)),6)</f>
        <v>13.1625</v>
      </c>
      <c r="AF32" s="2">
        <f>ROUND(((EV32*1.15)),6)</f>
        <v>405.19099999999997</v>
      </c>
      <c r="AG32" s="2">
        <f t="shared" si="28"/>
        <v>0</v>
      </c>
      <c r="AH32" s="2">
        <f>((EW32*1.15))</f>
        <v>48.76</v>
      </c>
      <c r="AI32" s="2">
        <f>((EX32*1.25))</f>
        <v>1.0625</v>
      </c>
      <c r="AJ32" s="2">
        <f t="shared" si="30"/>
        <v>0</v>
      </c>
      <c r="AK32" s="2">
        <v>397.05</v>
      </c>
      <c r="AL32" s="2">
        <v>0.91</v>
      </c>
      <c r="AM32" s="2">
        <v>43.8</v>
      </c>
      <c r="AN32" s="2">
        <v>10.53</v>
      </c>
      <c r="AO32" s="2">
        <v>352.34</v>
      </c>
      <c r="AP32" s="2">
        <v>0</v>
      </c>
      <c r="AQ32" s="2">
        <v>42.4</v>
      </c>
      <c r="AR32" s="2">
        <v>0.85</v>
      </c>
      <c r="AS32" s="2">
        <v>0</v>
      </c>
      <c r="AT32" s="2">
        <v>111</v>
      </c>
      <c r="AU32" s="2">
        <v>64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4</v>
      </c>
      <c r="BE32" s="2" t="s">
        <v>4</v>
      </c>
      <c r="BF32" s="2" t="s">
        <v>4</v>
      </c>
      <c r="BG32" s="2" t="s">
        <v>4</v>
      </c>
      <c r="BH32" s="2">
        <v>0</v>
      </c>
      <c r="BI32" s="2">
        <v>1</v>
      </c>
      <c r="BJ32" s="2" t="s">
        <v>46</v>
      </c>
      <c r="BK32" s="2"/>
      <c r="BL32" s="2"/>
      <c r="BM32" s="2">
        <v>11001</v>
      </c>
      <c r="BN32" s="2">
        <v>0</v>
      </c>
      <c r="BO32" s="2" t="s">
        <v>4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4</v>
      </c>
      <c r="BZ32" s="2">
        <v>123</v>
      </c>
      <c r="CA32" s="2">
        <v>75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322</v>
      </c>
      <c r="CO32" s="2">
        <v>0</v>
      </c>
      <c r="CP32" s="2">
        <f t="shared" si="31"/>
        <v>183.88</v>
      </c>
      <c r="CQ32" s="2">
        <f t="shared" si="32"/>
        <v>0.91</v>
      </c>
      <c r="CR32" s="2">
        <f t="shared" si="33"/>
        <v>54.75</v>
      </c>
      <c r="CS32" s="2">
        <f t="shared" si="34"/>
        <v>13.1625</v>
      </c>
      <c r="CT32" s="2">
        <f t="shared" si="35"/>
        <v>405.19099999999997</v>
      </c>
      <c r="CU32" s="2">
        <f t="shared" si="36"/>
        <v>0</v>
      </c>
      <c r="CV32" s="2">
        <f t="shared" si="37"/>
        <v>48.76</v>
      </c>
      <c r="CW32" s="2">
        <f t="shared" si="38"/>
        <v>1.0625</v>
      </c>
      <c r="CX32" s="2">
        <f t="shared" si="39"/>
        <v>0</v>
      </c>
      <c r="CY32" s="2">
        <f t="shared" si="40"/>
        <v>185.28119999999998</v>
      </c>
      <c r="CZ32" s="2">
        <f t="shared" si="41"/>
        <v>106.82879999999999</v>
      </c>
      <c r="DA32" s="2"/>
      <c r="DB32" s="2"/>
      <c r="DC32" s="2" t="s">
        <v>4</v>
      </c>
      <c r="DD32" s="2" t="s">
        <v>4</v>
      </c>
      <c r="DE32" s="2" t="s">
        <v>29</v>
      </c>
      <c r="DF32" s="2" t="s">
        <v>29</v>
      </c>
      <c r="DG32" s="2" t="s">
        <v>30</v>
      </c>
      <c r="DH32" s="2" t="s">
        <v>4</v>
      </c>
      <c r="DI32" s="2" t="s">
        <v>30</v>
      </c>
      <c r="DJ32" s="2" t="s">
        <v>29</v>
      </c>
      <c r="DK32" s="2" t="s">
        <v>4</v>
      </c>
      <c r="DL32" s="2" t="s">
        <v>4</v>
      </c>
      <c r="DM32" s="2" t="s">
        <v>4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23</v>
      </c>
      <c r="DW32" s="2" t="s">
        <v>23</v>
      </c>
      <c r="DX32" s="2">
        <v>100</v>
      </c>
      <c r="DY32" s="2"/>
      <c r="DZ32" s="2"/>
      <c r="EA32" s="2"/>
      <c r="EB32" s="2"/>
      <c r="EC32" s="2"/>
      <c r="ED32" s="2"/>
      <c r="EE32" s="2">
        <v>16510488</v>
      </c>
      <c r="EF32" s="2">
        <v>2</v>
      </c>
      <c r="EG32" s="2" t="s">
        <v>31</v>
      </c>
      <c r="EH32" s="2">
        <v>0</v>
      </c>
      <c r="EI32" s="2" t="s">
        <v>4</v>
      </c>
      <c r="EJ32" s="2">
        <v>1</v>
      </c>
      <c r="EK32" s="2">
        <v>11001</v>
      </c>
      <c r="EL32" s="2" t="s">
        <v>18</v>
      </c>
      <c r="EM32" s="2" t="s">
        <v>32</v>
      </c>
      <c r="EN32" s="2"/>
      <c r="EO32" s="2" t="s">
        <v>33</v>
      </c>
      <c r="EP32" s="2"/>
      <c r="EQ32" s="2">
        <v>0</v>
      </c>
      <c r="ER32" s="2">
        <v>397.05</v>
      </c>
      <c r="ES32" s="2">
        <v>0.91</v>
      </c>
      <c r="ET32" s="2">
        <v>43.8</v>
      </c>
      <c r="EU32" s="2">
        <v>10.53</v>
      </c>
      <c r="EV32" s="2">
        <v>352.34</v>
      </c>
      <c r="EW32" s="2">
        <v>42.4</v>
      </c>
      <c r="EX32" s="2">
        <v>0.85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2"/>
        <v>0</v>
      </c>
      <c r="FS32" s="2">
        <v>0</v>
      </c>
      <c r="FT32" s="2" t="s">
        <v>34</v>
      </c>
      <c r="FU32" s="2" t="s">
        <v>35</v>
      </c>
      <c r="FV32" s="2"/>
      <c r="FW32" s="2"/>
      <c r="FX32" s="2">
        <v>110.7</v>
      </c>
      <c r="FY32" s="2">
        <v>63.75</v>
      </c>
      <c r="FZ32" s="2"/>
      <c r="GA32" s="2" t="s">
        <v>4</v>
      </c>
      <c r="GB32" s="2"/>
      <c r="GC32" s="2"/>
      <c r="GD32" s="2">
        <v>0</v>
      </c>
      <c r="GE32" s="2"/>
      <c r="GF32" s="2">
        <v>35623097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3"/>
        <v>0</v>
      </c>
      <c r="GM32" s="2">
        <f t="shared" si="44"/>
        <v>475.99</v>
      </c>
      <c r="GN32" s="2">
        <f t="shared" si="45"/>
        <v>475.99</v>
      </c>
      <c r="GO32" s="2">
        <f t="shared" si="46"/>
        <v>0</v>
      </c>
      <c r="GP32" s="2">
        <f t="shared" si="47"/>
        <v>0</v>
      </c>
      <c r="GQ32" s="2"/>
      <c r="GR32" s="2">
        <v>0</v>
      </c>
      <c r="GS32" s="2">
        <v>3</v>
      </c>
      <c r="GT32" s="2">
        <v>0</v>
      </c>
      <c r="GU32" s="2" t="s">
        <v>4</v>
      </c>
      <c r="GV32" s="2">
        <f t="shared" si="48"/>
        <v>0</v>
      </c>
      <c r="GW32" s="2">
        <v>1</v>
      </c>
      <c r="GX32" s="2">
        <f t="shared" si="49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ROW(SmtRes!A50)</f>
        <v>50</v>
      </c>
      <c r="D33">
        <f>ROW(EtalonRes!A52)</f>
        <v>52</v>
      </c>
      <c r="E33" t="s">
        <v>43</v>
      </c>
      <c r="F33" t="s">
        <v>44</v>
      </c>
      <c r="G33" t="s">
        <v>45</v>
      </c>
      <c r="H33" t="s">
        <v>23</v>
      </c>
      <c r="I33">
        <f t="shared" si="50"/>
        <v>0.39900000000000002</v>
      </c>
      <c r="J33">
        <v>0</v>
      </c>
      <c r="O33">
        <f t="shared" si="14"/>
        <v>1117.99</v>
      </c>
      <c r="P33">
        <f t="shared" si="15"/>
        <v>2.21</v>
      </c>
      <c r="Q33">
        <f t="shared" si="16"/>
        <v>132.82</v>
      </c>
      <c r="R33">
        <f t="shared" si="17"/>
        <v>31.93</v>
      </c>
      <c r="S33">
        <f t="shared" si="18"/>
        <v>982.96</v>
      </c>
      <c r="T33">
        <f t="shared" si="19"/>
        <v>0</v>
      </c>
      <c r="U33">
        <f t="shared" si="20"/>
        <v>19.45524</v>
      </c>
      <c r="V33">
        <f t="shared" si="21"/>
        <v>0.42393750000000002</v>
      </c>
      <c r="W33">
        <f t="shared" si="22"/>
        <v>0</v>
      </c>
      <c r="X33">
        <f t="shared" si="23"/>
        <v>1126.53</v>
      </c>
      <c r="Y33">
        <f t="shared" si="24"/>
        <v>649.53</v>
      </c>
      <c r="AA33">
        <v>16500997</v>
      </c>
      <c r="AB33">
        <f t="shared" si="25"/>
        <v>460.851</v>
      </c>
      <c r="AC33">
        <f t="shared" si="51"/>
        <v>0.91</v>
      </c>
      <c r="AD33">
        <f>ROUND(((((ET33*1.25))-((EU33*1.25)))+AE33),6)</f>
        <v>54.75</v>
      </c>
      <c r="AE33">
        <f>ROUND(((EU33*1.25)),6)</f>
        <v>13.1625</v>
      </c>
      <c r="AF33">
        <f>ROUND(((EV33*1.15)),6)</f>
        <v>405.19099999999997</v>
      </c>
      <c r="AG33">
        <f t="shared" si="28"/>
        <v>0</v>
      </c>
      <c r="AH33">
        <f>((EW33*1.15))</f>
        <v>48.76</v>
      </c>
      <c r="AI33">
        <f>((EX33*1.25))</f>
        <v>1.0625</v>
      </c>
      <c r="AJ33">
        <f t="shared" si="30"/>
        <v>0</v>
      </c>
      <c r="AK33">
        <v>397.05</v>
      </c>
      <c r="AL33">
        <v>0.91</v>
      </c>
      <c r="AM33">
        <v>43.8</v>
      </c>
      <c r="AN33">
        <v>10.53</v>
      </c>
      <c r="AO33">
        <v>352.34</v>
      </c>
      <c r="AP33">
        <v>0</v>
      </c>
      <c r="AQ33">
        <v>42.4</v>
      </c>
      <c r="AR33">
        <v>0.85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4</v>
      </c>
      <c r="BE33" t="s">
        <v>4</v>
      </c>
      <c r="BF33" t="s">
        <v>4</v>
      </c>
      <c r="BG33" t="s">
        <v>4</v>
      </c>
      <c r="BH33">
        <v>0</v>
      </c>
      <c r="BI33">
        <v>1</v>
      </c>
      <c r="BJ33" t="s">
        <v>46</v>
      </c>
      <c r="BM33">
        <v>11001</v>
      </c>
      <c r="BN33">
        <v>0</v>
      </c>
      <c r="BO33" t="s">
        <v>4</v>
      </c>
      <c r="BP33">
        <v>0</v>
      </c>
      <c r="BQ33">
        <v>2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4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322</v>
      </c>
      <c r="CO33">
        <v>0</v>
      </c>
      <c r="CP33">
        <f t="shared" si="31"/>
        <v>1117.99</v>
      </c>
      <c r="CQ33">
        <f t="shared" si="32"/>
        <v>5.5327999999999999</v>
      </c>
      <c r="CR33">
        <f t="shared" si="33"/>
        <v>332.88</v>
      </c>
      <c r="CS33">
        <f t="shared" si="34"/>
        <v>80.028000000000006</v>
      </c>
      <c r="CT33">
        <f t="shared" si="35"/>
        <v>2463.5612799999999</v>
      </c>
      <c r="CU33">
        <f t="shared" si="36"/>
        <v>0</v>
      </c>
      <c r="CV33">
        <f t="shared" si="37"/>
        <v>48.76</v>
      </c>
      <c r="CW33">
        <f t="shared" si="38"/>
        <v>1.0625</v>
      </c>
      <c r="CX33">
        <f t="shared" si="39"/>
        <v>0</v>
      </c>
      <c r="CY33">
        <f t="shared" si="40"/>
        <v>1126.5279</v>
      </c>
      <c r="CZ33">
        <f t="shared" si="41"/>
        <v>649.52959999999996</v>
      </c>
      <c r="DC33" t="s">
        <v>4</v>
      </c>
      <c r="DD33" t="s">
        <v>4</v>
      </c>
      <c r="DE33" t="s">
        <v>29</v>
      </c>
      <c r="DF33" t="s">
        <v>29</v>
      </c>
      <c r="DG33" t="s">
        <v>30</v>
      </c>
      <c r="DH33" t="s">
        <v>4</v>
      </c>
      <c r="DI33" t="s">
        <v>30</v>
      </c>
      <c r="DJ33" t="s">
        <v>29</v>
      </c>
      <c r="DK33" t="s">
        <v>4</v>
      </c>
      <c r="DL33" t="s">
        <v>4</v>
      </c>
      <c r="DM33" t="s">
        <v>4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23</v>
      </c>
      <c r="DW33" t="s">
        <v>23</v>
      </c>
      <c r="DX33">
        <v>100</v>
      </c>
      <c r="EE33">
        <v>16510488</v>
      </c>
      <c r="EF33">
        <v>2</v>
      </c>
      <c r="EG33" t="s">
        <v>31</v>
      </c>
      <c r="EH33">
        <v>0</v>
      </c>
      <c r="EI33" t="s">
        <v>4</v>
      </c>
      <c r="EJ33">
        <v>1</v>
      </c>
      <c r="EK33">
        <v>11001</v>
      </c>
      <c r="EL33" t="s">
        <v>18</v>
      </c>
      <c r="EM33" t="s">
        <v>32</v>
      </c>
      <c r="EO33" t="s">
        <v>33</v>
      </c>
      <c r="EQ33">
        <v>0</v>
      </c>
      <c r="ER33">
        <v>397.05</v>
      </c>
      <c r="ES33">
        <v>0.91</v>
      </c>
      <c r="ET33">
        <v>43.8</v>
      </c>
      <c r="EU33">
        <v>10.53</v>
      </c>
      <c r="EV33">
        <v>352.34</v>
      </c>
      <c r="EW33">
        <v>42.4</v>
      </c>
      <c r="EX33">
        <v>0.85</v>
      </c>
      <c r="EY33">
        <v>0</v>
      </c>
      <c r="FQ33">
        <v>0</v>
      </c>
      <c r="FR33">
        <f t="shared" si="42"/>
        <v>0</v>
      </c>
      <c r="FS33">
        <v>0</v>
      </c>
      <c r="FT33" t="s">
        <v>34</v>
      </c>
      <c r="FU33" t="s">
        <v>35</v>
      </c>
      <c r="FX33">
        <v>110.7</v>
      </c>
      <c r="FY33">
        <v>63.75</v>
      </c>
      <c r="GA33" t="s">
        <v>4</v>
      </c>
      <c r="GD33">
        <v>0</v>
      </c>
      <c r="GF33">
        <v>35623097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3"/>
        <v>0</v>
      </c>
      <c r="GM33">
        <f t="shared" si="44"/>
        <v>2894.05</v>
      </c>
      <c r="GN33">
        <f t="shared" si="45"/>
        <v>2894.05</v>
      </c>
      <c r="GO33">
        <f t="shared" si="46"/>
        <v>0</v>
      </c>
      <c r="GP33">
        <f t="shared" si="47"/>
        <v>0</v>
      </c>
      <c r="GR33">
        <v>0</v>
      </c>
      <c r="GS33">
        <v>3</v>
      </c>
      <c r="GT33">
        <v>0</v>
      </c>
      <c r="GU33" t="s">
        <v>4</v>
      </c>
      <c r="GV33">
        <f t="shared" si="48"/>
        <v>0</v>
      </c>
      <c r="GW33">
        <v>1</v>
      </c>
      <c r="GX33">
        <f t="shared" si="49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39</v>
      </c>
      <c r="D34" s="2"/>
      <c r="E34" s="2" t="s">
        <v>47</v>
      </c>
      <c r="F34" s="2" t="s">
        <v>48</v>
      </c>
      <c r="G34" s="2" t="s">
        <v>49</v>
      </c>
      <c r="H34" s="2" t="s">
        <v>50</v>
      </c>
      <c r="I34" s="2">
        <f>I32*J34</f>
        <v>40.698</v>
      </c>
      <c r="J34" s="2">
        <v>102</v>
      </c>
      <c r="K34" s="2"/>
      <c r="L34" s="2"/>
      <c r="M34" s="2"/>
      <c r="N34" s="2"/>
      <c r="O34" s="2">
        <f t="shared" si="14"/>
        <v>0</v>
      </c>
      <c r="P34" s="2">
        <f t="shared" si="15"/>
        <v>0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16500983</v>
      </c>
      <c r="AB34" s="2">
        <f t="shared" si="25"/>
        <v>0</v>
      </c>
      <c r="AC34" s="2">
        <f t="shared" si="51"/>
        <v>0</v>
      </c>
      <c r="AD34" s="2">
        <f t="shared" ref="AD34:AD39" si="52">ROUND((((ET34)-(EU34))+AE34),6)</f>
        <v>0</v>
      </c>
      <c r="AE34" s="2">
        <f t="shared" ref="AE34:AF39" si="53">ROUND((EU34),6)</f>
        <v>0</v>
      </c>
      <c r="AF34" s="2">
        <f t="shared" si="53"/>
        <v>0</v>
      </c>
      <c r="AG34" s="2">
        <f t="shared" si="28"/>
        <v>0</v>
      </c>
      <c r="AH34" s="2">
        <f t="shared" ref="AH34:AI39" si="54">(EW34)</f>
        <v>0</v>
      </c>
      <c r="AI34" s="2">
        <f t="shared" si="54"/>
        <v>0</v>
      </c>
      <c r="AJ34" s="2">
        <f t="shared" si="30"/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111</v>
      </c>
      <c r="AU34" s="2">
        <v>64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4</v>
      </c>
      <c r="BE34" s="2" t="s">
        <v>4</v>
      </c>
      <c r="BF34" s="2" t="s">
        <v>4</v>
      </c>
      <c r="BG34" s="2" t="s">
        <v>4</v>
      </c>
      <c r="BH34" s="2">
        <v>3</v>
      </c>
      <c r="BI34" s="2">
        <v>1</v>
      </c>
      <c r="BJ34" s="2" t="s">
        <v>4</v>
      </c>
      <c r="BK34" s="2"/>
      <c r="BL34" s="2"/>
      <c r="BM34" s="2">
        <v>11001</v>
      </c>
      <c r="BN34" s="2">
        <v>0</v>
      </c>
      <c r="BO34" s="2" t="s">
        <v>4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4</v>
      </c>
      <c r="BZ34" s="2">
        <v>123</v>
      </c>
      <c r="CA34" s="2">
        <v>75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4</v>
      </c>
      <c r="CO34" s="2">
        <v>0</v>
      </c>
      <c r="CP34" s="2">
        <f t="shared" si="31"/>
        <v>0</v>
      </c>
      <c r="CQ34" s="2">
        <f t="shared" si="32"/>
        <v>0</v>
      </c>
      <c r="CR34" s="2">
        <f t="shared" si="33"/>
        <v>0</v>
      </c>
      <c r="CS34" s="2">
        <f t="shared" si="34"/>
        <v>0</v>
      </c>
      <c r="CT34" s="2">
        <f t="shared" si="35"/>
        <v>0</v>
      </c>
      <c r="CU34" s="2">
        <f t="shared" si="36"/>
        <v>0</v>
      </c>
      <c r="CV34" s="2">
        <f t="shared" si="37"/>
        <v>0</v>
      </c>
      <c r="CW34" s="2">
        <f t="shared" si="38"/>
        <v>0</v>
      </c>
      <c r="CX34" s="2">
        <f t="shared" si="39"/>
        <v>0</v>
      </c>
      <c r="CY34" s="2">
        <f t="shared" si="40"/>
        <v>0</v>
      </c>
      <c r="CZ34" s="2">
        <f t="shared" si="41"/>
        <v>0</v>
      </c>
      <c r="DA34" s="2"/>
      <c r="DB34" s="2"/>
      <c r="DC34" s="2" t="s">
        <v>4</v>
      </c>
      <c r="DD34" s="2" t="s">
        <v>4</v>
      </c>
      <c r="DE34" s="2" t="s">
        <v>4</v>
      </c>
      <c r="DF34" s="2" t="s">
        <v>4</v>
      </c>
      <c r="DG34" s="2" t="s">
        <v>4</v>
      </c>
      <c r="DH34" s="2" t="s">
        <v>4</v>
      </c>
      <c r="DI34" s="2" t="s">
        <v>4</v>
      </c>
      <c r="DJ34" s="2" t="s">
        <v>4</v>
      </c>
      <c r="DK34" s="2" t="s">
        <v>4</v>
      </c>
      <c r="DL34" s="2" t="s">
        <v>4</v>
      </c>
      <c r="DM34" s="2" t="s">
        <v>4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50</v>
      </c>
      <c r="DW34" s="2" t="s">
        <v>50</v>
      </c>
      <c r="DX34" s="2">
        <v>1</v>
      </c>
      <c r="DY34" s="2"/>
      <c r="DZ34" s="2"/>
      <c r="EA34" s="2"/>
      <c r="EB34" s="2"/>
      <c r="EC34" s="2"/>
      <c r="ED34" s="2"/>
      <c r="EE34" s="2">
        <v>16510488</v>
      </c>
      <c r="EF34" s="2">
        <v>2</v>
      </c>
      <c r="EG34" s="2" t="s">
        <v>31</v>
      </c>
      <c r="EH34" s="2">
        <v>0</v>
      </c>
      <c r="EI34" s="2" t="s">
        <v>4</v>
      </c>
      <c r="EJ34" s="2">
        <v>1</v>
      </c>
      <c r="EK34" s="2">
        <v>11001</v>
      </c>
      <c r="EL34" s="2" t="s">
        <v>18</v>
      </c>
      <c r="EM34" s="2" t="s">
        <v>32</v>
      </c>
      <c r="EN34" s="2"/>
      <c r="EO34" s="2" t="s">
        <v>4</v>
      </c>
      <c r="EP34" s="2"/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2"/>
        <v>0</v>
      </c>
      <c r="FS34" s="2">
        <v>0</v>
      </c>
      <c r="FT34" s="2" t="s">
        <v>34</v>
      </c>
      <c r="FU34" s="2" t="s">
        <v>35</v>
      </c>
      <c r="FV34" s="2"/>
      <c r="FW34" s="2"/>
      <c r="FX34" s="2">
        <v>110.7</v>
      </c>
      <c r="FY34" s="2">
        <v>63.75</v>
      </c>
      <c r="FZ34" s="2"/>
      <c r="GA34" s="2" t="s">
        <v>4</v>
      </c>
      <c r="GB34" s="2"/>
      <c r="GC34" s="2"/>
      <c r="GD34" s="2">
        <v>0</v>
      </c>
      <c r="GE34" s="2"/>
      <c r="GF34" s="2">
        <v>-919469713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3"/>
        <v>0</v>
      </c>
      <c r="GM34" s="2">
        <f t="shared" si="44"/>
        <v>0</v>
      </c>
      <c r="GN34" s="2">
        <f t="shared" si="45"/>
        <v>0</v>
      </c>
      <c r="GO34" s="2">
        <f t="shared" si="46"/>
        <v>0</v>
      </c>
      <c r="GP34" s="2">
        <f t="shared" si="47"/>
        <v>0</v>
      </c>
      <c r="GQ34" s="2"/>
      <c r="GR34" s="2">
        <v>0</v>
      </c>
      <c r="GS34" s="2">
        <v>3</v>
      </c>
      <c r="GT34" s="2">
        <v>0</v>
      </c>
      <c r="GU34" s="2" t="s">
        <v>4</v>
      </c>
      <c r="GV34" s="2">
        <f t="shared" si="48"/>
        <v>0</v>
      </c>
      <c r="GW34" s="2">
        <v>1</v>
      </c>
      <c r="GX34" s="2">
        <f t="shared" si="49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47</v>
      </c>
      <c r="E35" t="s">
        <v>47</v>
      </c>
      <c r="F35" t="s">
        <v>48</v>
      </c>
      <c r="G35" t="s">
        <v>49</v>
      </c>
      <c r="H35" t="s">
        <v>50</v>
      </c>
      <c r="I35">
        <f>I33*J35</f>
        <v>40.698</v>
      </c>
      <c r="J35">
        <v>102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16500997</v>
      </c>
      <c r="AB35">
        <f t="shared" si="25"/>
        <v>0</v>
      </c>
      <c r="AC35">
        <f t="shared" si="51"/>
        <v>0</v>
      </c>
      <c r="AD35">
        <f t="shared" si="52"/>
        <v>0</v>
      </c>
      <c r="AE35">
        <f t="shared" si="53"/>
        <v>0</v>
      </c>
      <c r="AF35">
        <f t="shared" si="53"/>
        <v>0</v>
      </c>
      <c r="AG35">
        <f t="shared" si="28"/>
        <v>0</v>
      </c>
      <c r="AH35">
        <f t="shared" si="54"/>
        <v>0</v>
      </c>
      <c r="AI35">
        <f t="shared" si="54"/>
        <v>0</v>
      </c>
      <c r="AJ35">
        <f t="shared" si="30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6.08</v>
      </c>
      <c r="BA35">
        <v>1</v>
      </c>
      <c r="BB35">
        <v>1</v>
      </c>
      <c r="BC35">
        <v>6.08</v>
      </c>
      <c r="BD35" t="s">
        <v>4</v>
      </c>
      <c r="BE35" t="s">
        <v>4</v>
      </c>
      <c r="BF35" t="s">
        <v>4</v>
      </c>
      <c r="BG35" t="s">
        <v>4</v>
      </c>
      <c r="BH35">
        <v>3</v>
      </c>
      <c r="BI35">
        <v>1</v>
      </c>
      <c r="BJ35" t="s">
        <v>4</v>
      </c>
      <c r="BM35">
        <v>11001</v>
      </c>
      <c r="BN35">
        <v>0</v>
      </c>
      <c r="BO35" t="s">
        <v>4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4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4</v>
      </c>
      <c r="CO35">
        <v>0</v>
      </c>
      <c r="CP35">
        <f t="shared" si="31"/>
        <v>0</v>
      </c>
      <c r="CQ35">
        <f t="shared" si="32"/>
        <v>0</v>
      </c>
      <c r="CR35">
        <f t="shared" si="33"/>
        <v>0</v>
      </c>
      <c r="CS35">
        <f t="shared" si="34"/>
        <v>0</v>
      </c>
      <c r="CT35">
        <f t="shared" si="35"/>
        <v>0</v>
      </c>
      <c r="CU35">
        <f t="shared" si="36"/>
        <v>0</v>
      </c>
      <c r="CV35">
        <f t="shared" si="37"/>
        <v>0</v>
      </c>
      <c r="CW35">
        <f t="shared" si="38"/>
        <v>0</v>
      </c>
      <c r="CX35">
        <f t="shared" si="39"/>
        <v>0</v>
      </c>
      <c r="CY35">
        <f t="shared" si="40"/>
        <v>0</v>
      </c>
      <c r="CZ35">
        <f t="shared" si="41"/>
        <v>0</v>
      </c>
      <c r="DC35" t="s">
        <v>4</v>
      </c>
      <c r="DD35" t="s">
        <v>4</v>
      </c>
      <c r="DE35" t="s">
        <v>4</v>
      </c>
      <c r="DF35" t="s">
        <v>4</v>
      </c>
      <c r="DG35" t="s">
        <v>4</v>
      </c>
      <c r="DH35" t="s">
        <v>4</v>
      </c>
      <c r="DI35" t="s">
        <v>4</v>
      </c>
      <c r="DJ35" t="s">
        <v>4</v>
      </c>
      <c r="DK35" t="s">
        <v>4</v>
      </c>
      <c r="DL35" t="s">
        <v>4</v>
      </c>
      <c r="DM35" t="s">
        <v>4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50</v>
      </c>
      <c r="DW35" t="s">
        <v>50</v>
      </c>
      <c r="DX35">
        <v>1</v>
      </c>
      <c r="EE35">
        <v>16510488</v>
      </c>
      <c r="EF35">
        <v>2</v>
      </c>
      <c r="EG35" t="s">
        <v>31</v>
      </c>
      <c r="EH35">
        <v>0</v>
      </c>
      <c r="EI35" t="s">
        <v>4</v>
      </c>
      <c r="EJ35">
        <v>1</v>
      </c>
      <c r="EK35">
        <v>11001</v>
      </c>
      <c r="EL35" t="s">
        <v>18</v>
      </c>
      <c r="EM35" t="s">
        <v>32</v>
      </c>
      <c r="EO35" t="s">
        <v>4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2"/>
        <v>0</v>
      </c>
      <c r="FS35">
        <v>0</v>
      </c>
      <c r="FT35" t="s">
        <v>34</v>
      </c>
      <c r="FU35" t="s">
        <v>35</v>
      </c>
      <c r="FX35">
        <v>110.7</v>
      </c>
      <c r="FY35">
        <v>63.75</v>
      </c>
      <c r="GA35" t="s">
        <v>4</v>
      </c>
      <c r="GD35">
        <v>0</v>
      </c>
      <c r="GF35">
        <v>-919469713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3"/>
        <v>0</v>
      </c>
      <c r="GM35">
        <f t="shared" si="44"/>
        <v>0</v>
      </c>
      <c r="GN35">
        <f t="shared" si="45"/>
        <v>0</v>
      </c>
      <c r="GO35">
        <f t="shared" si="46"/>
        <v>0</v>
      </c>
      <c r="GP35">
        <f t="shared" si="47"/>
        <v>0</v>
      </c>
      <c r="GR35">
        <v>0</v>
      </c>
      <c r="GS35">
        <v>3</v>
      </c>
      <c r="GT35">
        <v>0</v>
      </c>
      <c r="GU35" t="s">
        <v>4</v>
      </c>
      <c r="GV35">
        <f t="shared" si="48"/>
        <v>0</v>
      </c>
      <c r="GW35">
        <v>1</v>
      </c>
      <c r="GX35">
        <f t="shared" si="49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40</v>
      </c>
      <c r="D36" s="2"/>
      <c r="E36" s="2" t="s">
        <v>51</v>
      </c>
      <c r="F36" s="2" t="s">
        <v>52</v>
      </c>
      <c r="G36" s="2" t="s">
        <v>53</v>
      </c>
      <c r="H36" s="2" t="s">
        <v>50</v>
      </c>
      <c r="I36" s="2">
        <f>I32*J36</f>
        <v>40.698</v>
      </c>
      <c r="J36" s="2">
        <v>102</v>
      </c>
      <c r="K36" s="2"/>
      <c r="L36" s="2"/>
      <c r="M36" s="2"/>
      <c r="N36" s="2"/>
      <c r="O36" s="2">
        <f t="shared" si="14"/>
        <v>2908.69</v>
      </c>
      <c r="P36" s="2">
        <f t="shared" si="15"/>
        <v>2908.69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16500983</v>
      </c>
      <c r="AB36" s="2">
        <f t="shared" si="25"/>
        <v>71.47</v>
      </c>
      <c r="AC36" s="2">
        <f t="shared" si="51"/>
        <v>71.47</v>
      </c>
      <c r="AD36" s="2">
        <f t="shared" si="52"/>
        <v>0</v>
      </c>
      <c r="AE36" s="2">
        <f t="shared" si="53"/>
        <v>0</v>
      </c>
      <c r="AF36" s="2">
        <f t="shared" si="53"/>
        <v>0</v>
      </c>
      <c r="AG36" s="2">
        <f t="shared" si="28"/>
        <v>0</v>
      </c>
      <c r="AH36" s="2">
        <f t="shared" si="54"/>
        <v>0</v>
      </c>
      <c r="AI36" s="2">
        <f t="shared" si="54"/>
        <v>0</v>
      </c>
      <c r="AJ36" s="2">
        <f t="shared" si="30"/>
        <v>0</v>
      </c>
      <c r="AK36" s="2">
        <v>71.47</v>
      </c>
      <c r="AL36" s="2">
        <v>71.47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111</v>
      </c>
      <c r="AU36" s="2">
        <v>64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4</v>
      </c>
      <c r="BE36" s="2" t="s">
        <v>4</v>
      </c>
      <c r="BF36" s="2" t="s">
        <v>4</v>
      </c>
      <c r="BG36" s="2" t="s">
        <v>4</v>
      </c>
      <c r="BH36" s="2">
        <v>3</v>
      </c>
      <c r="BI36" s="2">
        <v>1</v>
      </c>
      <c r="BJ36" s="2" t="s">
        <v>54</v>
      </c>
      <c r="BK36" s="2"/>
      <c r="BL36" s="2"/>
      <c r="BM36" s="2">
        <v>11001</v>
      </c>
      <c r="BN36" s="2">
        <v>0</v>
      </c>
      <c r="BO36" s="2" t="s">
        <v>4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4</v>
      </c>
      <c r="BZ36" s="2">
        <v>123</v>
      </c>
      <c r="CA36" s="2">
        <v>75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4</v>
      </c>
      <c r="CO36" s="2">
        <v>0</v>
      </c>
      <c r="CP36" s="2">
        <f t="shared" si="31"/>
        <v>2908.69</v>
      </c>
      <c r="CQ36" s="2">
        <f t="shared" si="32"/>
        <v>71.47</v>
      </c>
      <c r="CR36" s="2">
        <f t="shared" si="33"/>
        <v>0</v>
      </c>
      <c r="CS36" s="2">
        <f t="shared" si="34"/>
        <v>0</v>
      </c>
      <c r="CT36" s="2">
        <f t="shared" si="35"/>
        <v>0</v>
      </c>
      <c r="CU36" s="2">
        <f t="shared" si="36"/>
        <v>0</v>
      </c>
      <c r="CV36" s="2">
        <f t="shared" si="37"/>
        <v>0</v>
      </c>
      <c r="CW36" s="2">
        <f t="shared" si="38"/>
        <v>0</v>
      </c>
      <c r="CX36" s="2">
        <f t="shared" si="39"/>
        <v>0</v>
      </c>
      <c r="CY36" s="2">
        <f t="shared" si="40"/>
        <v>0</v>
      </c>
      <c r="CZ36" s="2">
        <f t="shared" si="41"/>
        <v>0</v>
      </c>
      <c r="DA36" s="2"/>
      <c r="DB36" s="2"/>
      <c r="DC36" s="2" t="s">
        <v>4</v>
      </c>
      <c r="DD36" s="2" t="s">
        <v>4</v>
      </c>
      <c r="DE36" s="2" t="s">
        <v>4</v>
      </c>
      <c r="DF36" s="2" t="s">
        <v>4</v>
      </c>
      <c r="DG36" s="2" t="s">
        <v>4</v>
      </c>
      <c r="DH36" s="2" t="s">
        <v>4</v>
      </c>
      <c r="DI36" s="2" t="s">
        <v>4</v>
      </c>
      <c r="DJ36" s="2" t="s">
        <v>4</v>
      </c>
      <c r="DK36" s="2" t="s">
        <v>4</v>
      </c>
      <c r="DL36" s="2" t="s">
        <v>4</v>
      </c>
      <c r="DM36" s="2" t="s">
        <v>4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50</v>
      </c>
      <c r="DW36" s="2" t="s">
        <v>50</v>
      </c>
      <c r="DX36" s="2">
        <v>1</v>
      </c>
      <c r="DY36" s="2"/>
      <c r="DZ36" s="2"/>
      <c r="EA36" s="2"/>
      <c r="EB36" s="2"/>
      <c r="EC36" s="2"/>
      <c r="ED36" s="2"/>
      <c r="EE36" s="2">
        <v>16510488</v>
      </c>
      <c r="EF36" s="2">
        <v>2</v>
      </c>
      <c r="EG36" s="2" t="s">
        <v>31</v>
      </c>
      <c r="EH36" s="2">
        <v>0</v>
      </c>
      <c r="EI36" s="2" t="s">
        <v>4</v>
      </c>
      <c r="EJ36" s="2">
        <v>1</v>
      </c>
      <c r="EK36" s="2">
        <v>11001</v>
      </c>
      <c r="EL36" s="2" t="s">
        <v>18</v>
      </c>
      <c r="EM36" s="2" t="s">
        <v>32</v>
      </c>
      <c r="EN36" s="2"/>
      <c r="EO36" s="2" t="s">
        <v>4</v>
      </c>
      <c r="EP36" s="2"/>
      <c r="EQ36" s="2">
        <v>0</v>
      </c>
      <c r="ER36" s="2">
        <v>71.47</v>
      </c>
      <c r="ES36" s="2">
        <v>71.47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2"/>
        <v>0</v>
      </c>
      <c r="FS36" s="2">
        <v>0</v>
      </c>
      <c r="FT36" s="2" t="s">
        <v>34</v>
      </c>
      <c r="FU36" s="2" t="s">
        <v>35</v>
      </c>
      <c r="FV36" s="2"/>
      <c r="FW36" s="2"/>
      <c r="FX36" s="2">
        <v>110.7</v>
      </c>
      <c r="FY36" s="2">
        <v>63.75</v>
      </c>
      <c r="FZ36" s="2"/>
      <c r="GA36" s="2" t="s">
        <v>4</v>
      </c>
      <c r="GB36" s="2"/>
      <c r="GC36" s="2"/>
      <c r="GD36" s="2">
        <v>0</v>
      </c>
      <c r="GE36" s="2"/>
      <c r="GF36" s="2">
        <v>630556909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3"/>
        <v>0</v>
      </c>
      <c r="GM36" s="2">
        <f t="shared" si="44"/>
        <v>2908.69</v>
      </c>
      <c r="GN36" s="2">
        <f t="shared" si="45"/>
        <v>2908.69</v>
      </c>
      <c r="GO36" s="2">
        <f t="shared" si="46"/>
        <v>0</v>
      </c>
      <c r="GP36" s="2">
        <f t="shared" si="47"/>
        <v>0</v>
      </c>
      <c r="GQ36" s="2"/>
      <c r="GR36" s="2">
        <v>0</v>
      </c>
      <c r="GS36" s="2">
        <v>3</v>
      </c>
      <c r="GT36" s="2">
        <v>0</v>
      </c>
      <c r="GU36" s="2" t="s">
        <v>4</v>
      </c>
      <c r="GV36" s="2">
        <f t="shared" si="48"/>
        <v>0</v>
      </c>
      <c r="GW36" s="2">
        <v>1</v>
      </c>
      <c r="GX36" s="2">
        <f t="shared" si="49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48</v>
      </c>
      <c r="E37" t="s">
        <v>51</v>
      </c>
      <c r="F37" t="s">
        <v>52</v>
      </c>
      <c r="G37" t="s">
        <v>53</v>
      </c>
      <c r="H37" t="s">
        <v>50</v>
      </c>
      <c r="I37">
        <f>I33*J37</f>
        <v>40.698</v>
      </c>
      <c r="J37">
        <v>102</v>
      </c>
      <c r="O37">
        <f t="shared" si="14"/>
        <v>17684.810000000001</v>
      </c>
      <c r="P37">
        <f t="shared" si="15"/>
        <v>17684.810000000001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16500997</v>
      </c>
      <c r="AB37">
        <f t="shared" si="25"/>
        <v>71.47</v>
      </c>
      <c r="AC37">
        <f t="shared" si="51"/>
        <v>71.47</v>
      </c>
      <c r="AD37">
        <f t="shared" si="52"/>
        <v>0</v>
      </c>
      <c r="AE37">
        <f t="shared" si="53"/>
        <v>0</v>
      </c>
      <c r="AF37">
        <f t="shared" si="53"/>
        <v>0</v>
      </c>
      <c r="AG37">
        <f t="shared" si="28"/>
        <v>0</v>
      </c>
      <c r="AH37">
        <f t="shared" si="54"/>
        <v>0</v>
      </c>
      <c r="AI37">
        <f t="shared" si="54"/>
        <v>0</v>
      </c>
      <c r="AJ37">
        <f t="shared" si="30"/>
        <v>0</v>
      </c>
      <c r="AK37">
        <v>71.47</v>
      </c>
      <c r="AL37">
        <v>71.47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6.08</v>
      </c>
      <c r="BA37">
        <v>1</v>
      </c>
      <c r="BB37">
        <v>1</v>
      </c>
      <c r="BC37">
        <v>6.08</v>
      </c>
      <c r="BD37" t="s">
        <v>4</v>
      </c>
      <c r="BE37" t="s">
        <v>4</v>
      </c>
      <c r="BF37" t="s">
        <v>4</v>
      </c>
      <c r="BG37" t="s">
        <v>4</v>
      </c>
      <c r="BH37">
        <v>3</v>
      </c>
      <c r="BI37">
        <v>1</v>
      </c>
      <c r="BJ37" t="s">
        <v>54</v>
      </c>
      <c r="BM37">
        <v>11001</v>
      </c>
      <c r="BN37">
        <v>0</v>
      </c>
      <c r="BO37" t="s">
        <v>4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4</v>
      </c>
      <c r="BZ37">
        <v>123</v>
      </c>
      <c r="CA37">
        <v>75</v>
      </c>
      <c r="CF37">
        <v>0</v>
      </c>
      <c r="CG37">
        <v>0</v>
      </c>
      <c r="CM37">
        <v>0</v>
      </c>
      <c r="CN37" t="s">
        <v>4</v>
      </c>
      <c r="CO37">
        <v>0</v>
      </c>
      <c r="CP37">
        <f t="shared" si="31"/>
        <v>17684.810000000001</v>
      </c>
      <c r="CQ37">
        <f t="shared" si="32"/>
        <v>434.5376</v>
      </c>
      <c r="CR37">
        <f t="shared" si="33"/>
        <v>0</v>
      </c>
      <c r="CS37">
        <f t="shared" si="34"/>
        <v>0</v>
      </c>
      <c r="CT37">
        <f t="shared" si="35"/>
        <v>0</v>
      </c>
      <c r="CU37">
        <f t="shared" si="36"/>
        <v>0</v>
      </c>
      <c r="CV37">
        <f t="shared" si="37"/>
        <v>0</v>
      </c>
      <c r="CW37">
        <f t="shared" si="38"/>
        <v>0</v>
      </c>
      <c r="CX37">
        <f t="shared" si="39"/>
        <v>0</v>
      </c>
      <c r="CY37">
        <f t="shared" si="40"/>
        <v>0</v>
      </c>
      <c r="CZ37">
        <f t="shared" si="41"/>
        <v>0</v>
      </c>
      <c r="DC37" t="s">
        <v>4</v>
      </c>
      <c r="DD37" t="s">
        <v>4</v>
      </c>
      <c r="DE37" t="s">
        <v>4</v>
      </c>
      <c r="DF37" t="s">
        <v>4</v>
      </c>
      <c r="DG37" t="s">
        <v>4</v>
      </c>
      <c r="DH37" t="s">
        <v>4</v>
      </c>
      <c r="DI37" t="s">
        <v>4</v>
      </c>
      <c r="DJ37" t="s">
        <v>4</v>
      </c>
      <c r="DK37" t="s">
        <v>4</v>
      </c>
      <c r="DL37" t="s">
        <v>4</v>
      </c>
      <c r="DM37" t="s">
        <v>4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50</v>
      </c>
      <c r="DW37" t="s">
        <v>50</v>
      </c>
      <c r="DX37">
        <v>1</v>
      </c>
      <c r="EE37">
        <v>16510488</v>
      </c>
      <c r="EF37">
        <v>2</v>
      </c>
      <c r="EG37" t="s">
        <v>31</v>
      </c>
      <c r="EH37">
        <v>0</v>
      </c>
      <c r="EI37" t="s">
        <v>4</v>
      </c>
      <c r="EJ37">
        <v>1</v>
      </c>
      <c r="EK37">
        <v>11001</v>
      </c>
      <c r="EL37" t="s">
        <v>18</v>
      </c>
      <c r="EM37" t="s">
        <v>32</v>
      </c>
      <c r="EO37" t="s">
        <v>4</v>
      </c>
      <c r="EQ37">
        <v>0</v>
      </c>
      <c r="ER37">
        <v>71.47</v>
      </c>
      <c r="ES37">
        <v>71.47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2"/>
        <v>0</v>
      </c>
      <c r="FS37">
        <v>0</v>
      </c>
      <c r="FT37" t="s">
        <v>34</v>
      </c>
      <c r="FU37" t="s">
        <v>35</v>
      </c>
      <c r="FX37">
        <v>110.7</v>
      </c>
      <c r="FY37">
        <v>63.75</v>
      </c>
      <c r="GA37" t="s">
        <v>4</v>
      </c>
      <c r="GD37">
        <v>0</v>
      </c>
      <c r="GF37">
        <v>630556909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3"/>
        <v>0</v>
      </c>
      <c r="GM37">
        <f t="shared" si="44"/>
        <v>17684.810000000001</v>
      </c>
      <c r="GN37">
        <f t="shared" si="45"/>
        <v>17684.810000000001</v>
      </c>
      <c r="GO37">
        <f t="shared" si="46"/>
        <v>0</v>
      </c>
      <c r="GP37">
        <f t="shared" si="47"/>
        <v>0</v>
      </c>
      <c r="GR37">
        <v>0</v>
      </c>
      <c r="GS37">
        <v>3</v>
      </c>
      <c r="GT37">
        <v>0</v>
      </c>
      <c r="GU37" t="s">
        <v>4</v>
      </c>
      <c r="GV37">
        <f t="shared" si="48"/>
        <v>0</v>
      </c>
      <c r="GW37">
        <v>1</v>
      </c>
      <c r="GX37">
        <f t="shared" si="49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42</v>
      </c>
      <c r="D38" s="2"/>
      <c r="E38" s="2" t="s">
        <v>55</v>
      </c>
      <c r="F38" s="2" t="s">
        <v>56</v>
      </c>
      <c r="G38" s="2" t="s">
        <v>57</v>
      </c>
      <c r="H38" s="2" t="s">
        <v>58</v>
      </c>
      <c r="I38" s="2">
        <f>I32*J38</f>
        <v>1.9949999999999999E-2</v>
      </c>
      <c r="J38" s="2">
        <v>4.9999999999999996E-2</v>
      </c>
      <c r="K38" s="2"/>
      <c r="L38" s="2"/>
      <c r="M38" s="2"/>
      <c r="N38" s="2"/>
      <c r="O38" s="2">
        <f t="shared" si="14"/>
        <v>225.44</v>
      </c>
      <c r="P38" s="2">
        <f t="shared" si="15"/>
        <v>225.44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16500983</v>
      </c>
      <c r="AB38" s="2">
        <f t="shared" si="25"/>
        <v>11300</v>
      </c>
      <c r="AC38" s="2">
        <f t="shared" si="51"/>
        <v>11300</v>
      </c>
      <c r="AD38" s="2">
        <f t="shared" si="52"/>
        <v>0</v>
      </c>
      <c r="AE38" s="2">
        <f t="shared" si="53"/>
        <v>0</v>
      </c>
      <c r="AF38" s="2">
        <f t="shared" si="53"/>
        <v>0</v>
      </c>
      <c r="AG38" s="2">
        <f t="shared" si="28"/>
        <v>0</v>
      </c>
      <c r="AH38" s="2">
        <f t="shared" si="54"/>
        <v>0</v>
      </c>
      <c r="AI38" s="2">
        <f t="shared" si="54"/>
        <v>0</v>
      </c>
      <c r="AJ38" s="2">
        <f t="shared" si="30"/>
        <v>0</v>
      </c>
      <c r="AK38" s="2">
        <v>11300</v>
      </c>
      <c r="AL38" s="2">
        <v>11300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111</v>
      </c>
      <c r="AU38" s="2">
        <v>64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4</v>
      </c>
      <c r="BE38" s="2" t="s">
        <v>4</v>
      </c>
      <c r="BF38" s="2" t="s">
        <v>4</v>
      </c>
      <c r="BG38" s="2" t="s">
        <v>4</v>
      </c>
      <c r="BH38" s="2">
        <v>3</v>
      </c>
      <c r="BI38" s="2">
        <v>1</v>
      </c>
      <c r="BJ38" s="2" t="s">
        <v>59</v>
      </c>
      <c r="BK38" s="2"/>
      <c r="BL38" s="2"/>
      <c r="BM38" s="2">
        <v>11001</v>
      </c>
      <c r="BN38" s="2">
        <v>0</v>
      </c>
      <c r="BO38" s="2" t="s">
        <v>4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4</v>
      </c>
      <c r="BZ38" s="2">
        <v>123</v>
      </c>
      <c r="CA38" s="2">
        <v>75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4</v>
      </c>
      <c r="CO38" s="2">
        <v>0</v>
      </c>
      <c r="CP38" s="2">
        <f t="shared" si="31"/>
        <v>225.44</v>
      </c>
      <c r="CQ38" s="2">
        <f t="shared" si="32"/>
        <v>11300</v>
      </c>
      <c r="CR38" s="2">
        <f t="shared" si="33"/>
        <v>0</v>
      </c>
      <c r="CS38" s="2">
        <f t="shared" si="34"/>
        <v>0</v>
      </c>
      <c r="CT38" s="2">
        <f t="shared" si="35"/>
        <v>0</v>
      </c>
      <c r="CU38" s="2">
        <f t="shared" si="36"/>
        <v>0</v>
      </c>
      <c r="CV38" s="2">
        <f t="shared" si="37"/>
        <v>0</v>
      </c>
      <c r="CW38" s="2">
        <f t="shared" si="38"/>
        <v>0</v>
      </c>
      <c r="CX38" s="2">
        <f t="shared" si="39"/>
        <v>0</v>
      </c>
      <c r="CY38" s="2">
        <f t="shared" si="40"/>
        <v>0</v>
      </c>
      <c r="CZ38" s="2">
        <f t="shared" si="41"/>
        <v>0</v>
      </c>
      <c r="DA38" s="2"/>
      <c r="DB38" s="2"/>
      <c r="DC38" s="2" t="s">
        <v>4</v>
      </c>
      <c r="DD38" s="2" t="s">
        <v>4</v>
      </c>
      <c r="DE38" s="2" t="s">
        <v>4</v>
      </c>
      <c r="DF38" s="2" t="s">
        <v>4</v>
      </c>
      <c r="DG38" s="2" t="s">
        <v>4</v>
      </c>
      <c r="DH38" s="2" t="s">
        <v>4</v>
      </c>
      <c r="DI38" s="2" t="s">
        <v>4</v>
      </c>
      <c r="DJ38" s="2" t="s">
        <v>4</v>
      </c>
      <c r="DK38" s="2" t="s">
        <v>4</v>
      </c>
      <c r="DL38" s="2" t="s">
        <v>4</v>
      </c>
      <c r="DM38" s="2" t="s">
        <v>4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58</v>
      </c>
      <c r="DW38" s="2" t="s">
        <v>58</v>
      </c>
      <c r="DX38" s="2">
        <v>1000</v>
      </c>
      <c r="DY38" s="2"/>
      <c r="DZ38" s="2"/>
      <c r="EA38" s="2"/>
      <c r="EB38" s="2"/>
      <c r="EC38" s="2"/>
      <c r="ED38" s="2"/>
      <c r="EE38" s="2">
        <v>16510488</v>
      </c>
      <c r="EF38" s="2">
        <v>2</v>
      </c>
      <c r="EG38" s="2" t="s">
        <v>31</v>
      </c>
      <c r="EH38" s="2">
        <v>0</v>
      </c>
      <c r="EI38" s="2" t="s">
        <v>4</v>
      </c>
      <c r="EJ38" s="2">
        <v>1</v>
      </c>
      <c r="EK38" s="2">
        <v>11001</v>
      </c>
      <c r="EL38" s="2" t="s">
        <v>18</v>
      </c>
      <c r="EM38" s="2" t="s">
        <v>32</v>
      </c>
      <c r="EN38" s="2"/>
      <c r="EO38" s="2" t="s">
        <v>4</v>
      </c>
      <c r="EP38" s="2"/>
      <c r="EQ38" s="2">
        <v>0</v>
      </c>
      <c r="ER38" s="2">
        <v>11300</v>
      </c>
      <c r="ES38" s="2">
        <v>11300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2"/>
        <v>0</v>
      </c>
      <c r="FS38" s="2">
        <v>0</v>
      </c>
      <c r="FT38" s="2" t="s">
        <v>34</v>
      </c>
      <c r="FU38" s="2" t="s">
        <v>35</v>
      </c>
      <c r="FV38" s="2"/>
      <c r="FW38" s="2"/>
      <c r="FX38" s="2">
        <v>110.7</v>
      </c>
      <c r="FY38" s="2">
        <v>63.75</v>
      </c>
      <c r="FZ38" s="2"/>
      <c r="GA38" s="2" t="s">
        <v>4</v>
      </c>
      <c r="GB38" s="2"/>
      <c r="GC38" s="2"/>
      <c r="GD38" s="2">
        <v>0</v>
      </c>
      <c r="GE38" s="2"/>
      <c r="GF38" s="2">
        <v>486476101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3"/>
        <v>0</v>
      </c>
      <c r="GM38" s="2">
        <f t="shared" si="44"/>
        <v>225.44</v>
      </c>
      <c r="GN38" s="2">
        <f t="shared" si="45"/>
        <v>225.44</v>
      </c>
      <c r="GO38" s="2">
        <f t="shared" si="46"/>
        <v>0</v>
      </c>
      <c r="GP38" s="2">
        <f t="shared" si="47"/>
        <v>0</v>
      </c>
      <c r="GQ38" s="2"/>
      <c r="GR38" s="2">
        <v>0</v>
      </c>
      <c r="GS38" s="2">
        <v>3</v>
      </c>
      <c r="GT38" s="2">
        <v>0</v>
      </c>
      <c r="GU38" s="2" t="s">
        <v>4</v>
      </c>
      <c r="GV38" s="2">
        <f t="shared" si="48"/>
        <v>0</v>
      </c>
      <c r="GW38" s="2">
        <v>1</v>
      </c>
      <c r="GX38" s="2">
        <f t="shared" si="49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50</v>
      </c>
      <c r="E39" t="s">
        <v>55</v>
      </c>
      <c r="F39" t="s">
        <v>56</v>
      </c>
      <c r="G39" t="s">
        <v>57</v>
      </c>
      <c r="H39" t="s">
        <v>58</v>
      </c>
      <c r="I39">
        <f>I33*J39</f>
        <v>1.9949999999999999E-2</v>
      </c>
      <c r="J39">
        <v>4.9999999999999996E-2</v>
      </c>
      <c r="O39">
        <f t="shared" si="14"/>
        <v>1370.64</v>
      </c>
      <c r="P39">
        <f t="shared" si="15"/>
        <v>1370.64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16500997</v>
      </c>
      <c r="AB39">
        <f t="shared" si="25"/>
        <v>11300</v>
      </c>
      <c r="AC39">
        <f t="shared" si="51"/>
        <v>11300</v>
      </c>
      <c r="AD39">
        <f t="shared" si="52"/>
        <v>0</v>
      </c>
      <c r="AE39">
        <f t="shared" si="53"/>
        <v>0</v>
      </c>
      <c r="AF39">
        <f t="shared" si="53"/>
        <v>0</v>
      </c>
      <c r="AG39">
        <f t="shared" si="28"/>
        <v>0</v>
      </c>
      <c r="AH39">
        <f t="shared" si="54"/>
        <v>0</v>
      </c>
      <c r="AI39">
        <f t="shared" si="54"/>
        <v>0</v>
      </c>
      <c r="AJ39">
        <f t="shared" si="30"/>
        <v>0</v>
      </c>
      <c r="AK39">
        <v>11300</v>
      </c>
      <c r="AL39">
        <v>11300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6.08</v>
      </c>
      <c r="BA39">
        <v>1</v>
      </c>
      <c r="BB39">
        <v>1</v>
      </c>
      <c r="BC39">
        <v>6.08</v>
      </c>
      <c r="BD39" t="s">
        <v>4</v>
      </c>
      <c r="BE39" t="s">
        <v>4</v>
      </c>
      <c r="BF39" t="s">
        <v>4</v>
      </c>
      <c r="BG39" t="s">
        <v>4</v>
      </c>
      <c r="BH39">
        <v>3</v>
      </c>
      <c r="BI39">
        <v>1</v>
      </c>
      <c r="BJ39" t="s">
        <v>59</v>
      </c>
      <c r="BM39">
        <v>11001</v>
      </c>
      <c r="BN39">
        <v>0</v>
      </c>
      <c r="BO39" t="s">
        <v>4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4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4</v>
      </c>
      <c r="CO39">
        <v>0</v>
      </c>
      <c r="CP39">
        <f t="shared" si="31"/>
        <v>1370.64</v>
      </c>
      <c r="CQ39">
        <f t="shared" si="32"/>
        <v>68704</v>
      </c>
      <c r="CR39">
        <f t="shared" si="33"/>
        <v>0</v>
      </c>
      <c r="CS39">
        <f t="shared" si="34"/>
        <v>0</v>
      </c>
      <c r="CT39">
        <f t="shared" si="35"/>
        <v>0</v>
      </c>
      <c r="CU39">
        <f t="shared" si="36"/>
        <v>0</v>
      </c>
      <c r="CV39">
        <f t="shared" si="37"/>
        <v>0</v>
      </c>
      <c r="CW39">
        <f t="shared" si="38"/>
        <v>0</v>
      </c>
      <c r="CX39">
        <f t="shared" si="39"/>
        <v>0</v>
      </c>
      <c r="CY39">
        <f t="shared" si="40"/>
        <v>0</v>
      </c>
      <c r="CZ39">
        <f t="shared" si="41"/>
        <v>0</v>
      </c>
      <c r="DC39" t="s">
        <v>4</v>
      </c>
      <c r="DD39" t="s">
        <v>4</v>
      </c>
      <c r="DE39" t="s">
        <v>4</v>
      </c>
      <c r="DF39" t="s">
        <v>4</v>
      </c>
      <c r="DG39" t="s">
        <v>4</v>
      </c>
      <c r="DH39" t="s">
        <v>4</v>
      </c>
      <c r="DI39" t="s">
        <v>4</v>
      </c>
      <c r="DJ39" t="s">
        <v>4</v>
      </c>
      <c r="DK39" t="s">
        <v>4</v>
      </c>
      <c r="DL39" t="s">
        <v>4</v>
      </c>
      <c r="DM39" t="s">
        <v>4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58</v>
      </c>
      <c r="DW39" t="s">
        <v>58</v>
      </c>
      <c r="DX39">
        <v>1000</v>
      </c>
      <c r="EE39">
        <v>16510488</v>
      </c>
      <c r="EF39">
        <v>2</v>
      </c>
      <c r="EG39" t="s">
        <v>31</v>
      </c>
      <c r="EH39">
        <v>0</v>
      </c>
      <c r="EI39" t="s">
        <v>4</v>
      </c>
      <c r="EJ39">
        <v>1</v>
      </c>
      <c r="EK39">
        <v>11001</v>
      </c>
      <c r="EL39" t="s">
        <v>18</v>
      </c>
      <c r="EM39" t="s">
        <v>32</v>
      </c>
      <c r="EO39" t="s">
        <v>4</v>
      </c>
      <c r="EQ39">
        <v>0</v>
      </c>
      <c r="ER39">
        <v>11300</v>
      </c>
      <c r="ES39">
        <v>11300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2"/>
        <v>0</v>
      </c>
      <c r="FS39">
        <v>0</v>
      </c>
      <c r="FT39" t="s">
        <v>34</v>
      </c>
      <c r="FU39" t="s">
        <v>35</v>
      </c>
      <c r="FX39">
        <v>110.7</v>
      </c>
      <c r="FY39">
        <v>63.75</v>
      </c>
      <c r="GA39" t="s">
        <v>4</v>
      </c>
      <c r="GD39">
        <v>0</v>
      </c>
      <c r="GF39">
        <v>486476101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3"/>
        <v>0</v>
      </c>
      <c r="GM39">
        <f t="shared" si="44"/>
        <v>1370.64</v>
      </c>
      <c r="GN39">
        <f t="shared" si="45"/>
        <v>1370.64</v>
      </c>
      <c r="GO39">
        <f t="shared" si="46"/>
        <v>0</v>
      </c>
      <c r="GP39">
        <f t="shared" si="47"/>
        <v>0</v>
      </c>
      <c r="GR39">
        <v>0</v>
      </c>
      <c r="GS39">
        <v>3</v>
      </c>
      <c r="GT39">
        <v>0</v>
      </c>
      <c r="GU39" t="s">
        <v>4</v>
      </c>
      <c r="GV39">
        <f t="shared" si="48"/>
        <v>0</v>
      </c>
      <c r="GW39">
        <v>1</v>
      </c>
      <c r="GX39">
        <f t="shared" si="49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ROW(SmtRes!A62)</f>
        <v>62</v>
      </c>
      <c r="D40" s="2">
        <f>ROW(EtalonRes!A64)</f>
        <v>64</v>
      </c>
      <c r="E40" s="2" t="s">
        <v>60</v>
      </c>
      <c r="F40" s="2" t="s">
        <v>61</v>
      </c>
      <c r="G40" s="2" t="s">
        <v>62</v>
      </c>
      <c r="H40" s="2" t="s">
        <v>15</v>
      </c>
      <c r="I40" s="2">
        <f>ROUND(24/100,9)</f>
        <v>0.24</v>
      </c>
      <c r="J40" s="2">
        <v>0</v>
      </c>
      <c r="K40" s="2"/>
      <c r="L40" s="2"/>
      <c r="M40" s="2"/>
      <c r="N40" s="2"/>
      <c r="O40" s="2">
        <f t="shared" si="14"/>
        <v>35.229999999999997</v>
      </c>
      <c r="P40" s="2">
        <f t="shared" si="15"/>
        <v>17.670000000000002</v>
      </c>
      <c r="Q40" s="2">
        <f t="shared" si="16"/>
        <v>0.64</v>
      </c>
      <c r="R40" s="2">
        <f t="shared" si="17"/>
        <v>0.13</v>
      </c>
      <c r="S40" s="2">
        <f t="shared" si="18"/>
        <v>16.920000000000002</v>
      </c>
      <c r="T40" s="2">
        <f t="shared" si="19"/>
        <v>0</v>
      </c>
      <c r="U40" s="2">
        <f t="shared" si="20"/>
        <v>1.8436799999999998</v>
      </c>
      <c r="V40" s="2">
        <f t="shared" si="21"/>
        <v>1.2E-2</v>
      </c>
      <c r="W40" s="2">
        <f t="shared" si="22"/>
        <v>0</v>
      </c>
      <c r="X40" s="2">
        <f t="shared" si="23"/>
        <v>18.93</v>
      </c>
      <c r="Y40" s="2">
        <f t="shared" si="24"/>
        <v>10.91</v>
      </c>
      <c r="Z40" s="2"/>
      <c r="AA40" s="2">
        <v>16500983</v>
      </c>
      <c r="AB40" s="2">
        <f t="shared" si="25"/>
        <v>146.82050000000001</v>
      </c>
      <c r="AC40" s="2">
        <f t="shared" si="51"/>
        <v>73.64</v>
      </c>
      <c r="AD40" s="2">
        <f>ROUND(((((ET40*1.25))-((EU40*1.25)))+AE40),6)</f>
        <v>2.6625000000000001</v>
      </c>
      <c r="AE40" s="2">
        <f>ROUND(((EU40*1.25)),6)</f>
        <v>0.52500000000000002</v>
      </c>
      <c r="AF40" s="2">
        <f>ROUND(((EV40*1.15)),6)</f>
        <v>70.518000000000001</v>
      </c>
      <c r="AG40" s="2">
        <f t="shared" si="28"/>
        <v>0</v>
      </c>
      <c r="AH40" s="2">
        <f>((EW40*1.15))</f>
        <v>7.6819999999999995</v>
      </c>
      <c r="AI40" s="2">
        <f>((EX40*1.25))</f>
        <v>0.05</v>
      </c>
      <c r="AJ40" s="2">
        <f t="shared" si="30"/>
        <v>0</v>
      </c>
      <c r="AK40" s="2">
        <v>137.09</v>
      </c>
      <c r="AL40" s="2">
        <v>73.64</v>
      </c>
      <c r="AM40" s="2">
        <v>2.13</v>
      </c>
      <c r="AN40" s="2">
        <v>0.42</v>
      </c>
      <c r="AO40" s="2">
        <v>61.32</v>
      </c>
      <c r="AP40" s="2">
        <v>0</v>
      </c>
      <c r="AQ40" s="2">
        <v>6.68</v>
      </c>
      <c r="AR40" s="2">
        <v>0.04</v>
      </c>
      <c r="AS40" s="2">
        <v>0</v>
      </c>
      <c r="AT40" s="2">
        <v>111</v>
      </c>
      <c r="AU40" s="2">
        <v>64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4</v>
      </c>
      <c r="BE40" s="2" t="s">
        <v>4</v>
      </c>
      <c r="BF40" s="2" t="s">
        <v>4</v>
      </c>
      <c r="BG40" s="2" t="s">
        <v>4</v>
      </c>
      <c r="BH40" s="2">
        <v>0</v>
      </c>
      <c r="BI40" s="2">
        <v>1</v>
      </c>
      <c r="BJ40" s="2" t="s">
        <v>63</v>
      </c>
      <c r="BK40" s="2"/>
      <c r="BL40" s="2"/>
      <c r="BM40" s="2">
        <v>11001</v>
      </c>
      <c r="BN40" s="2">
        <v>0</v>
      </c>
      <c r="BO40" s="2" t="s">
        <v>4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4</v>
      </c>
      <c r="BZ40" s="2">
        <v>123</v>
      </c>
      <c r="CA40" s="2">
        <v>75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322</v>
      </c>
      <c r="CO40" s="2">
        <v>0</v>
      </c>
      <c r="CP40" s="2">
        <f t="shared" si="31"/>
        <v>35.230000000000004</v>
      </c>
      <c r="CQ40" s="2">
        <f t="shared" si="32"/>
        <v>73.64</v>
      </c>
      <c r="CR40" s="2">
        <f t="shared" si="33"/>
        <v>2.6625000000000001</v>
      </c>
      <c r="CS40" s="2">
        <f t="shared" si="34"/>
        <v>0.52500000000000002</v>
      </c>
      <c r="CT40" s="2">
        <f t="shared" si="35"/>
        <v>70.518000000000001</v>
      </c>
      <c r="CU40" s="2">
        <f t="shared" si="36"/>
        <v>0</v>
      </c>
      <c r="CV40" s="2">
        <f t="shared" si="37"/>
        <v>7.6819999999999995</v>
      </c>
      <c r="CW40" s="2">
        <f t="shared" si="38"/>
        <v>0.05</v>
      </c>
      <c r="CX40" s="2">
        <f t="shared" si="39"/>
        <v>0</v>
      </c>
      <c r="CY40" s="2">
        <f t="shared" si="40"/>
        <v>18.925500000000003</v>
      </c>
      <c r="CZ40" s="2">
        <f t="shared" si="41"/>
        <v>10.912000000000001</v>
      </c>
      <c r="DA40" s="2"/>
      <c r="DB40" s="2"/>
      <c r="DC40" s="2" t="s">
        <v>4</v>
      </c>
      <c r="DD40" s="2" t="s">
        <v>4</v>
      </c>
      <c r="DE40" s="2" t="s">
        <v>29</v>
      </c>
      <c r="DF40" s="2" t="s">
        <v>29</v>
      </c>
      <c r="DG40" s="2" t="s">
        <v>30</v>
      </c>
      <c r="DH40" s="2" t="s">
        <v>4</v>
      </c>
      <c r="DI40" s="2" t="s">
        <v>30</v>
      </c>
      <c r="DJ40" s="2" t="s">
        <v>29</v>
      </c>
      <c r="DK40" s="2" t="s">
        <v>4</v>
      </c>
      <c r="DL40" s="2" t="s">
        <v>4</v>
      </c>
      <c r="DM40" s="2" t="s">
        <v>4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1003</v>
      </c>
      <c r="DV40" s="2" t="s">
        <v>15</v>
      </c>
      <c r="DW40" s="2" t="s">
        <v>15</v>
      </c>
      <c r="DX40" s="2">
        <v>100</v>
      </c>
      <c r="DY40" s="2"/>
      <c r="DZ40" s="2"/>
      <c r="EA40" s="2"/>
      <c r="EB40" s="2"/>
      <c r="EC40" s="2"/>
      <c r="ED40" s="2"/>
      <c r="EE40" s="2">
        <v>16510488</v>
      </c>
      <c r="EF40" s="2">
        <v>2</v>
      </c>
      <c r="EG40" s="2" t="s">
        <v>31</v>
      </c>
      <c r="EH40" s="2">
        <v>0</v>
      </c>
      <c r="EI40" s="2" t="s">
        <v>4</v>
      </c>
      <c r="EJ40" s="2">
        <v>1</v>
      </c>
      <c r="EK40" s="2">
        <v>11001</v>
      </c>
      <c r="EL40" s="2" t="s">
        <v>18</v>
      </c>
      <c r="EM40" s="2" t="s">
        <v>32</v>
      </c>
      <c r="EN40" s="2"/>
      <c r="EO40" s="2" t="s">
        <v>33</v>
      </c>
      <c r="EP40" s="2"/>
      <c r="EQ40" s="2">
        <v>0</v>
      </c>
      <c r="ER40" s="2">
        <v>137.09</v>
      </c>
      <c r="ES40" s="2">
        <v>73.64</v>
      </c>
      <c r="ET40" s="2">
        <v>2.13</v>
      </c>
      <c r="EU40" s="2">
        <v>0.42</v>
      </c>
      <c r="EV40" s="2">
        <v>61.32</v>
      </c>
      <c r="EW40" s="2">
        <v>6.68</v>
      </c>
      <c r="EX40" s="2">
        <v>0.04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2"/>
        <v>0</v>
      </c>
      <c r="FS40" s="2">
        <v>0</v>
      </c>
      <c r="FT40" s="2" t="s">
        <v>34</v>
      </c>
      <c r="FU40" s="2" t="s">
        <v>35</v>
      </c>
      <c r="FV40" s="2"/>
      <c r="FW40" s="2"/>
      <c r="FX40" s="2">
        <v>110.7</v>
      </c>
      <c r="FY40" s="2">
        <v>63.75</v>
      </c>
      <c r="FZ40" s="2"/>
      <c r="GA40" s="2" t="s">
        <v>4</v>
      </c>
      <c r="GB40" s="2"/>
      <c r="GC40" s="2"/>
      <c r="GD40" s="2">
        <v>0</v>
      </c>
      <c r="GE40" s="2"/>
      <c r="GF40" s="2">
        <v>-1404287246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3"/>
        <v>0</v>
      </c>
      <c r="GM40" s="2">
        <f t="shared" si="44"/>
        <v>65.069999999999993</v>
      </c>
      <c r="GN40" s="2">
        <f t="shared" si="45"/>
        <v>65.069999999999993</v>
      </c>
      <c r="GO40" s="2">
        <f t="shared" si="46"/>
        <v>0</v>
      </c>
      <c r="GP40" s="2">
        <f t="shared" si="47"/>
        <v>0</v>
      </c>
      <c r="GQ40" s="2"/>
      <c r="GR40" s="2">
        <v>0</v>
      </c>
      <c r="GS40" s="2">
        <v>3</v>
      </c>
      <c r="GT40" s="2">
        <v>0</v>
      </c>
      <c r="GU40" s="2" t="s">
        <v>4</v>
      </c>
      <c r="GV40" s="2">
        <f t="shared" si="48"/>
        <v>0</v>
      </c>
      <c r="GW40" s="2">
        <v>1</v>
      </c>
      <c r="GX40" s="2">
        <f t="shared" si="49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ROW(SmtRes!A74)</f>
        <v>74</v>
      </c>
      <c r="D41">
        <f>ROW(EtalonRes!A76)</f>
        <v>76</v>
      </c>
      <c r="E41" t="s">
        <v>60</v>
      </c>
      <c r="F41" t="s">
        <v>61</v>
      </c>
      <c r="G41" t="s">
        <v>62</v>
      </c>
      <c r="H41" t="s">
        <v>15</v>
      </c>
      <c r="I41">
        <f>ROUND(24/100,9)</f>
        <v>0.24</v>
      </c>
      <c r="J41">
        <v>0</v>
      </c>
      <c r="O41">
        <f t="shared" si="14"/>
        <v>214.25</v>
      </c>
      <c r="P41">
        <f t="shared" si="15"/>
        <v>107.46</v>
      </c>
      <c r="Q41">
        <f t="shared" si="16"/>
        <v>3.89</v>
      </c>
      <c r="R41">
        <f t="shared" si="17"/>
        <v>0.77</v>
      </c>
      <c r="S41">
        <f t="shared" si="18"/>
        <v>102.9</v>
      </c>
      <c r="T41">
        <f t="shared" si="19"/>
        <v>0</v>
      </c>
      <c r="U41">
        <f t="shared" si="20"/>
        <v>1.8436799999999998</v>
      </c>
      <c r="V41">
        <f t="shared" si="21"/>
        <v>1.2E-2</v>
      </c>
      <c r="W41">
        <f t="shared" si="22"/>
        <v>0</v>
      </c>
      <c r="X41">
        <f t="shared" si="23"/>
        <v>115.07</v>
      </c>
      <c r="Y41">
        <f t="shared" si="24"/>
        <v>66.349999999999994</v>
      </c>
      <c r="AA41">
        <v>16500997</v>
      </c>
      <c r="AB41">
        <f t="shared" si="25"/>
        <v>146.82050000000001</v>
      </c>
      <c r="AC41">
        <f t="shared" si="51"/>
        <v>73.64</v>
      </c>
      <c r="AD41">
        <f>ROUND(((((ET41*1.25))-((EU41*1.25)))+AE41),6)</f>
        <v>2.6625000000000001</v>
      </c>
      <c r="AE41">
        <f>ROUND(((EU41*1.25)),6)</f>
        <v>0.52500000000000002</v>
      </c>
      <c r="AF41">
        <f>ROUND(((EV41*1.15)),6)</f>
        <v>70.518000000000001</v>
      </c>
      <c r="AG41">
        <f t="shared" si="28"/>
        <v>0</v>
      </c>
      <c r="AH41">
        <f>((EW41*1.15))</f>
        <v>7.6819999999999995</v>
      </c>
      <c r="AI41">
        <f>((EX41*1.25))</f>
        <v>0.05</v>
      </c>
      <c r="AJ41">
        <f t="shared" si="30"/>
        <v>0</v>
      </c>
      <c r="AK41">
        <v>137.09</v>
      </c>
      <c r="AL41">
        <v>73.64</v>
      </c>
      <c r="AM41">
        <v>2.13</v>
      </c>
      <c r="AN41">
        <v>0.42</v>
      </c>
      <c r="AO41">
        <v>61.32</v>
      </c>
      <c r="AP41">
        <v>0</v>
      </c>
      <c r="AQ41">
        <v>6.68</v>
      </c>
      <c r="AR41">
        <v>0.04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6.08</v>
      </c>
      <c r="BA41">
        <v>6.08</v>
      </c>
      <c r="BB41">
        <v>6.08</v>
      </c>
      <c r="BC41">
        <v>6.08</v>
      </c>
      <c r="BD41" t="s">
        <v>4</v>
      </c>
      <c r="BE41" t="s">
        <v>4</v>
      </c>
      <c r="BF41" t="s">
        <v>4</v>
      </c>
      <c r="BG41" t="s">
        <v>4</v>
      </c>
      <c r="BH41">
        <v>0</v>
      </c>
      <c r="BI41">
        <v>1</v>
      </c>
      <c r="BJ41" t="s">
        <v>63</v>
      </c>
      <c r="BM41">
        <v>11001</v>
      </c>
      <c r="BN41">
        <v>0</v>
      </c>
      <c r="BO41" t="s">
        <v>4</v>
      </c>
      <c r="BP41">
        <v>0</v>
      </c>
      <c r="BQ41">
        <v>2</v>
      </c>
      <c r="BR41">
        <v>0</v>
      </c>
      <c r="BS41">
        <v>6.08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4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322</v>
      </c>
      <c r="CO41">
        <v>0</v>
      </c>
      <c r="CP41">
        <f t="shared" si="31"/>
        <v>214.25</v>
      </c>
      <c r="CQ41">
        <f t="shared" si="32"/>
        <v>447.7312</v>
      </c>
      <c r="CR41">
        <f t="shared" si="33"/>
        <v>16.188000000000002</v>
      </c>
      <c r="CS41">
        <f t="shared" si="34"/>
        <v>3.1920000000000002</v>
      </c>
      <c r="CT41">
        <f t="shared" si="35"/>
        <v>428.74943999999999</v>
      </c>
      <c r="CU41">
        <f t="shared" si="36"/>
        <v>0</v>
      </c>
      <c r="CV41">
        <f t="shared" si="37"/>
        <v>7.6819999999999995</v>
      </c>
      <c r="CW41">
        <f t="shared" si="38"/>
        <v>0.05</v>
      </c>
      <c r="CX41">
        <f t="shared" si="39"/>
        <v>0</v>
      </c>
      <c r="CY41">
        <f t="shared" si="40"/>
        <v>115.0737</v>
      </c>
      <c r="CZ41">
        <f t="shared" si="41"/>
        <v>66.348799999999997</v>
      </c>
      <c r="DC41" t="s">
        <v>4</v>
      </c>
      <c r="DD41" t="s">
        <v>4</v>
      </c>
      <c r="DE41" t="s">
        <v>29</v>
      </c>
      <c r="DF41" t="s">
        <v>29</v>
      </c>
      <c r="DG41" t="s">
        <v>30</v>
      </c>
      <c r="DH41" t="s">
        <v>4</v>
      </c>
      <c r="DI41" t="s">
        <v>30</v>
      </c>
      <c r="DJ41" t="s">
        <v>29</v>
      </c>
      <c r="DK41" t="s">
        <v>4</v>
      </c>
      <c r="DL41" t="s">
        <v>4</v>
      </c>
      <c r="DM41" t="s">
        <v>4</v>
      </c>
      <c r="DN41">
        <v>0</v>
      </c>
      <c r="DO41">
        <v>0</v>
      </c>
      <c r="DP41">
        <v>1</v>
      </c>
      <c r="DQ41">
        <v>1</v>
      </c>
      <c r="DU41">
        <v>1003</v>
      </c>
      <c r="DV41" t="s">
        <v>15</v>
      </c>
      <c r="DW41" t="s">
        <v>15</v>
      </c>
      <c r="DX41">
        <v>100</v>
      </c>
      <c r="EE41">
        <v>16510488</v>
      </c>
      <c r="EF41">
        <v>2</v>
      </c>
      <c r="EG41" t="s">
        <v>31</v>
      </c>
      <c r="EH41">
        <v>0</v>
      </c>
      <c r="EI41" t="s">
        <v>4</v>
      </c>
      <c r="EJ41">
        <v>1</v>
      </c>
      <c r="EK41">
        <v>11001</v>
      </c>
      <c r="EL41" t="s">
        <v>18</v>
      </c>
      <c r="EM41" t="s">
        <v>32</v>
      </c>
      <c r="EO41" t="s">
        <v>33</v>
      </c>
      <c r="EQ41">
        <v>0</v>
      </c>
      <c r="ER41">
        <v>137.09</v>
      </c>
      <c r="ES41">
        <v>73.64</v>
      </c>
      <c r="ET41">
        <v>2.13</v>
      </c>
      <c r="EU41">
        <v>0.42</v>
      </c>
      <c r="EV41">
        <v>61.32</v>
      </c>
      <c r="EW41">
        <v>6.68</v>
      </c>
      <c r="EX41">
        <v>0.04</v>
      </c>
      <c r="EY41">
        <v>0</v>
      </c>
      <c r="FQ41">
        <v>0</v>
      </c>
      <c r="FR41">
        <f t="shared" si="42"/>
        <v>0</v>
      </c>
      <c r="FS41">
        <v>0</v>
      </c>
      <c r="FT41" t="s">
        <v>34</v>
      </c>
      <c r="FU41" t="s">
        <v>35</v>
      </c>
      <c r="FX41">
        <v>110.7</v>
      </c>
      <c r="FY41">
        <v>63.75</v>
      </c>
      <c r="GA41" t="s">
        <v>4</v>
      </c>
      <c r="GD41">
        <v>0</v>
      </c>
      <c r="GF41">
        <v>-1404287246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3"/>
        <v>0</v>
      </c>
      <c r="GM41">
        <f t="shared" si="44"/>
        <v>395.67</v>
      </c>
      <c r="GN41">
        <f t="shared" si="45"/>
        <v>395.67</v>
      </c>
      <c r="GO41">
        <f t="shared" si="46"/>
        <v>0</v>
      </c>
      <c r="GP41">
        <f t="shared" si="47"/>
        <v>0</v>
      </c>
      <c r="GR41">
        <v>0</v>
      </c>
      <c r="GS41">
        <v>3</v>
      </c>
      <c r="GT41">
        <v>0</v>
      </c>
      <c r="GU41" t="s">
        <v>4</v>
      </c>
      <c r="GV41">
        <f t="shared" si="48"/>
        <v>0</v>
      </c>
      <c r="GW41">
        <v>1</v>
      </c>
      <c r="GX41">
        <f t="shared" si="49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58</v>
      </c>
      <c r="D42" s="2"/>
      <c r="E42" s="2" t="s">
        <v>64</v>
      </c>
      <c r="F42" s="2" t="s">
        <v>65</v>
      </c>
      <c r="G42" s="2" t="s">
        <v>66</v>
      </c>
      <c r="H42" s="2" t="s">
        <v>67</v>
      </c>
      <c r="I42" s="2">
        <f>I40*J42</f>
        <v>0.02</v>
      </c>
      <c r="J42" s="2">
        <v>8.3333333333333343E-2</v>
      </c>
      <c r="K42" s="2"/>
      <c r="L42" s="2"/>
      <c r="M42" s="2"/>
      <c r="N42" s="2"/>
      <c r="O42" s="2">
        <f t="shared" si="14"/>
        <v>2.02</v>
      </c>
      <c r="P42" s="2">
        <f t="shared" si="15"/>
        <v>2.02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16500983</v>
      </c>
      <c r="AB42" s="2">
        <f t="shared" si="25"/>
        <v>101</v>
      </c>
      <c r="AC42" s="2">
        <f t="shared" si="51"/>
        <v>101</v>
      </c>
      <c r="AD42" s="2">
        <f t="shared" ref="AD42:AD53" si="55">ROUND((((ET42)-(EU42))+AE42),6)</f>
        <v>0</v>
      </c>
      <c r="AE42" s="2">
        <f t="shared" ref="AE42:AE53" si="56">ROUND((EU42),6)</f>
        <v>0</v>
      </c>
      <c r="AF42" s="2">
        <f t="shared" ref="AF42:AF53" si="57">ROUND((EV42),6)</f>
        <v>0</v>
      </c>
      <c r="AG42" s="2">
        <f t="shared" si="28"/>
        <v>0</v>
      </c>
      <c r="AH42" s="2">
        <f t="shared" ref="AH42:AH53" si="58">(EW42)</f>
        <v>0</v>
      </c>
      <c r="AI42" s="2">
        <f t="shared" ref="AI42:AI53" si="59">(EX42)</f>
        <v>0</v>
      </c>
      <c r="AJ42" s="2">
        <f t="shared" si="30"/>
        <v>0</v>
      </c>
      <c r="AK42" s="2">
        <v>101</v>
      </c>
      <c r="AL42" s="2">
        <v>101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111</v>
      </c>
      <c r="AU42" s="2">
        <v>64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4</v>
      </c>
      <c r="BE42" s="2" t="s">
        <v>4</v>
      </c>
      <c r="BF42" s="2" t="s">
        <v>4</v>
      </c>
      <c r="BG42" s="2" t="s">
        <v>4</v>
      </c>
      <c r="BH42" s="2">
        <v>3</v>
      </c>
      <c r="BI42" s="2">
        <v>1</v>
      </c>
      <c r="BJ42" s="2" t="s">
        <v>68</v>
      </c>
      <c r="BK42" s="2"/>
      <c r="BL42" s="2"/>
      <c r="BM42" s="2">
        <v>11001</v>
      </c>
      <c r="BN42" s="2">
        <v>0</v>
      </c>
      <c r="BO42" s="2" t="s">
        <v>4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4</v>
      </c>
      <c r="BZ42" s="2">
        <v>123</v>
      </c>
      <c r="CA42" s="2">
        <v>75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4</v>
      </c>
      <c r="CO42" s="2">
        <v>0</v>
      </c>
      <c r="CP42" s="2">
        <f t="shared" si="31"/>
        <v>2.02</v>
      </c>
      <c r="CQ42" s="2">
        <f t="shared" si="32"/>
        <v>101</v>
      </c>
      <c r="CR42" s="2">
        <f t="shared" si="33"/>
        <v>0</v>
      </c>
      <c r="CS42" s="2">
        <f t="shared" si="34"/>
        <v>0</v>
      </c>
      <c r="CT42" s="2">
        <f t="shared" si="35"/>
        <v>0</v>
      </c>
      <c r="CU42" s="2">
        <f t="shared" si="36"/>
        <v>0</v>
      </c>
      <c r="CV42" s="2">
        <f t="shared" si="37"/>
        <v>0</v>
      </c>
      <c r="CW42" s="2">
        <f t="shared" si="38"/>
        <v>0</v>
      </c>
      <c r="CX42" s="2">
        <f t="shared" si="39"/>
        <v>0</v>
      </c>
      <c r="CY42" s="2">
        <f t="shared" si="40"/>
        <v>0</v>
      </c>
      <c r="CZ42" s="2">
        <f t="shared" si="41"/>
        <v>0</v>
      </c>
      <c r="DA42" s="2"/>
      <c r="DB42" s="2"/>
      <c r="DC42" s="2" t="s">
        <v>4</v>
      </c>
      <c r="DD42" s="2" t="s">
        <v>4</v>
      </c>
      <c r="DE42" s="2" t="s">
        <v>4</v>
      </c>
      <c r="DF42" s="2" t="s">
        <v>4</v>
      </c>
      <c r="DG42" s="2" t="s">
        <v>4</v>
      </c>
      <c r="DH42" s="2" t="s">
        <v>4</v>
      </c>
      <c r="DI42" s="2" t="s">
        <v>4</v>
      </c>
      <c r="DJ42" s="2" t="s">
        <v>4</v>
      </c>
      <c r="DK42" s="2" t="s">
        <v>4</v>
      </c>
      <c r="DL42" s="2" t="s">
        <v>4</v>
      </c>
      <c r="DM42" s="2" t="s">
        <v>4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1010</v>
      </c>
      <c r="DV42" s="2" t="s">
        <v>67</v>
      </c>
      <c r="DW42" s="2" t="s">
        <v>67</v>
      </c>
      <c r="DX42" s="2">
        <v>100</v>
      </c>
      <c r="DY42" s="2"/>
      <c r="DZ42" s="2"/>
      <c r="EA42" s="2"/>
      <c r="EB42" s="2"/>
      <c r="EC42" s="2"/>
      <c r="ED42" s="2"/>
      <c r="EE42" s="2">
        <v>16510488</v>
      </c>
      <c r="EF42" s="2">
        <v>2</v>
      </c>
      <c r="EG42" s="2" t="s">
        <v>31</v>
      </c>
      <c r="EH42" s="2">
        <v>0</v>
      </c>
      <c r="EI42" s="2" t="s">
        <v>4</v>
      </c>
      <c r="EJ42" s="2">
        <v>1</v>
      </c>
      <c r="EK42" s="2">
        <v>11001</v>
      </c>
      <c r="EL42" s="2" t="s">
        <v>18</v>
      </c>
      <c r="EM42" s="2" t="s">
        <v>32</v>
      </c>
      <c r="EN42" s="2"/>
      <c r="EO42" s="2" t="s">
        <v>4</v>
      </c>
      <c r="EP42" s="2"/>
      <c r="EQ42" s="2">
        <v>0</v>
      </c>
      <c r="ER42" s="2">
        <v>101</v>
      </c>
      <c r="ES42" s="2">
        <v>101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2"/>
        <v>0</v>
      </c>
      <c r="FS42" s="2">
        <v>0</v>
      </c>
      <c r="FT42" s="2" t="s">
        <v>34</v>
      </c>
      <c r="FU42" s="2" t="s">
        <v>35</v>
      </c>
      <c r="FV42" s="2"/>
      <c r="FW42" s="2"/>
      <c r="FX42" s="2">
        <v>110.7</v>
      </c>
      <c r="FY42" s="2">
        <v>63.75</v>
      </c>
      <c r="FZ42" s="2"/>
      <c r="GA42" s="2" t="s">
        <v>4</v>
      </c>
      <c r="GB42" s="2"/>
      <c r="GC42" s="2"/>
      <c r="GD42" s="2">
        <v>0</v>
      </c>
      <c r="GE42" s="2"/>
      <c r="GF42" s="2">
        <v>766681708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3"/>
        <v>0</v>
      </c>
      <c r="GM42" s="2">
        <f t="shared" si="44"/>
        <v>2.02</v>
      </c>
      <c r="GN42" s="2">
        <f t="shared" si="45"/>
        <v>2.02</v>
      </c>
      <c r="GO42" s="2">
        <f t="shared" si="46"/>
        <v>0</v>
      </c>
      <c r="GP42" s="2">
        <f t="shared" si="47"/>
        <v>0</v>
      </c>
      <c r="GQ42" s="2"/>
      <c r="GR42" s="2">
        <v>0</v>
      </c>
      <c r="GS42" s="2">
        <v>3</v>
      </c>
      <c r="GT42" s="2">
        <v>0</v>
      </c>
      <c r="GU42" s="2" t="s">
        <v>4</v>
      </c>
      <c r="GV42" s="2">
        <f t="shared" si="48"/>
        <v>0</v>
      </c>
      <c r="GW42" s="2">
        <v>1</v>
      </c>
      <c r="GX42" s="2">
        <f t="shared" si="49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70</v>
      </c>
      <c r="E43" t="s">
        <v>64</v>
      </c>
      <c r="F43" t="s">
        <v>65</v>
      </c>
      <c r="G43" t="s">
        <v>66</v>
      </c>
      <c r="H43" t="s">
        <v>67</v>
      </c>
      <c r="I43">
        <f>I41*J43</f>
        <v>0.02</v>
      </c>
      <c r="J43">
        <v>8.3333333333333343E-2</v>
      </c>
      <c r="O43">
        <f t="shared" si="14"/>
        <v>12.28</v>
      </c>
      <c r="P43">
        <f t="shared" si="15"/>
        <v>12.28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16500997</v>
      </c>
      <c r="AB43">
        <f t="shared" si="25"/>
        <v>101</v>
      </c>
      <c r="AC43">
        <f t="shared" si="51"/>
        <v>101</v>
      </c>
      <c r="AD43">
        <f t="shared" si="55"/>
        <v>0</v>
      </c>
      <c r="AE43">
        <f t="shared" si="56"/>
        <v>0</v>
      </c>
      <c r="AF43">
        <f t="shared" si="57"/>
        <v>0</v>
      </c>
      <c r="AG43">
        <f t="shared" si="28"/>
        <v>0</v>
      </c>
      <c r="AH43">
        <f t="shared" si="58"/>
        <v>0</v>
      </c>
      <c r="AI43">
        <f t="shared" si="59"/>
        <v>0</v>
      </c>
      <c r="AJ43">
        <f t="shared" si="30"/>
        <v>0</v>
      </c>
      <c r="AK43">
        <v>101</v>
      </c>
      <c r="AL43">
        <v>101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6.08</v>
      </c>
      <c r="BA43">
        <v>1</v>
      </c>
      <c r="BB43">
        <v>1</v>
      </c>
      <c r="BC43">
        <v>6.08</v>
      </c>
      <c r="BD43" t="s">
        <v>4</v>
      </c>
      <c r="BE43" t="s">
        <v>4</v>
      </c>
      <c r="BF43" t="s">
        <v>4</v>
      </c>
      <c r="BG43" t="s">
        <v>4</v>
      </c>
      <c r="BH43">
        <v>3</v>
      </c>
      <c r="BI43">
        <v>1</v>
      </c>
      <c r="BJ43" t="s">
        <v>68</v>
      </c>
      <c r="BM43">
        <v>11001</v>
      </c>
      <c r="BN43">
        <v>0</v>
      </c>
      <c r="BO43" t="s">
        <v>4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4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4</v>
      </c>
      <c r="CO43">
        <v>0</v>
      </c>
      <c r="CP43">
        <f t="shared" si="31"/>
        <v>12.28</v>
      </c>
      <c r="CQ43">
        <f t="shared" si="32"/>
        <v>614.08000000000004</v>
      </c>
      <c r="CR43">
        <f t="shared" si="33"/>
        <v>0</v>
      </c>
      <c r="CS43">
        <f t="shared" si="34"/>
        <v>0</v>
      </c>
      <c r="CT43">
        <f t="shared" si="35"/>
        <v>0</v>
      </c>
      <c r="CU43">
        <f t="shared" si="36"/>
        <v>0</v>
      </c>
      <c r="CV43">
        <f t="shared" si="37"/>
        <v>0</v>
      </c>
      <c r="CW43">
        <f t="shared" si="38"/>
        <v>0</v>
      </c>
      <c r="CX43">
        <f t="shared" si="39"/>
        <v>0</v>
      </c>
      <c r="CY43">
        <f t="shared" si="40"/>
        <v>0</v>
      </c>
      <c r="CZ43">
        <f t="shared" si="41"/>
        <v>0</v>
      </c>
      <c r="DC43" t="s">
        <v>4</v>
      </c>
      <c r="DD43" t="s">
        <v>4</v>
      </c>
      <c r="DE43" t="s">
        <v>4</v>
      </c>
      <c r="DF43" t="s">
        <v>4</v>
      </c>
      <c r="DG43" t="s">
        <v>4</v>
      </c>
      <c r="DH43" t="s">
        <v>4</v>
      </c>
      <c r="DI43" t="s">
        <v>4</v>
      </c>
      <c r="DJ43" t="s">
        <v>4</v>
      </c>
      <c r="DK43" t="s">
        <v>4</v>
      </c>
      <c r="DL43" t="s">
        <v>4</v>
      </c>
      <c r="DM43" t="s">
        <v>4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67</v>
      </c>
      <c r="DW43" t="s">
        <v>67</v>
      </c>
      <c r="DX43">
        <v>100</v>
      </c>
      <c r="EE43">
        <v>16510488</v>
      </c>
      <c r="EF43">
        <v>2</v>
      </c>
      <c r="EG43" t="s">
        <v>31</v>
      </c>
      <c r="EH43">
        <v>0</v>
      </c>
      <c r="EI43" t="s">
        <v>4</v>
      </c>
      <c r="EJ43">
        <v>1</v>
      </c>
      <c r="EK43">
        <v>11001</v>
      </c>
      <c r="EL43" t="s">
        <v>18</v>
      </c>
      <c r="EM43" t="s">
        <v>32</v>
      </c>
      <c r="EO43" t="s">
        <v>4</v>
      </c>
      <c r="EQ43">
        <v>0</v>
      </c>
      <c r="ER43">
        <v>101</v>
      </c>
      <c r="ES43">
        <v>101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2"/>
        <v>0</v>
      </c>
      <c r="FS43">
        <v>0</v>
      </c>
      <c r="FT43" t="s">
        <v>34</v>
      </c>
      <c r="FU43" t="s">
        <v>35</v>
      </c>
      <c r="FX43">
        <v>110.7</v>
      </c>
      <c r="FY43">
        <v>63.75</v>
      </c>
      <c r="GA43" t="s">
        <v>4</v>
      </c>
      <c r="GD43">
        <v>0</v>
      </c>
      <c r="GF43">
        <v>766681708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3"/>
        <v>0</v>
      </c>
      <c r="GM43">
        <f t="shared" si="44"/>
        <v>12.28</v>
      </c>
      <c r="GN43">
        <f t="shared" si="45"/>
        <v>12.28</v>
      </c>
      <c r="GO43">
        <f t="shared" si="46"/>
        <v>0</v>
      </c>
      <c r="GP43">
        <f t="shared" si="47"/>
        <v>0</v>
      </c>
      <c r="GR43">
        <v>0</v>
      </c>
      <c r="GS43">
        <v>3</v>
      </c>
      <c r="GT43">
        <v>0</v>
      </c>
      <c r="GU43" t="s">
        <v>4</v>
      </c>
      <c r="GV43">
        <f t="shared" si="48"/>
        <v>0</v>
      </c>
      <c r="GW43">
        <v>1</v>
      </c>
      <c r="GX43">
        <f t="shared" si="49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57</v>
      </c>
      <c r="D44" s="2"/>
      <c r="E44" s="2" t="s">
        <v>69</v>
      </c>
      <c r="F44" s="2" t="s">
        <v>70</v>
      </c>
      <c r="G44" s="2" t="s">
        <v>71</v>
      </c>
      <c r="H44" s="2" t="s">
        <v>72</v>
      </c>
      <c r="I44" s="2">
        <f>I40*J44</f>
        <v>24.24</v>
      </c>
      <c r="J44" s="2">
        <v>101</v>
      </c>
      <c r="K44" s="2"/>
      <c r="L44" s="2"/>
      <c r="M44" s="2"/>
      <c r="N44" s="2"/>
      <c r="O44" s="2">
        <f t="shared" si="14"/>
        <v>298.14999999999998</v>
      </c>
      <c r="P44" s="2">
        <f t="shared" si="15"/>
        <v>298.14999999999998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16500983</v>
      </c>
      <c r="AB44" s="2">
        <f t="shared" si="25"/>
        <v>12.3</v>
      </c>
      <c r="AC44" s="2">
        <f t="shared" si="51"/>
        <v>12.3</v>
      </c>
      <c r="AD44" s="2">
        <f t="shared" si="55"/>
        <v>0</v>
      </c>
      <c r="AE44" s="2">
        <f t="shared" si="56"/>
        <v>0</v>
      </c>
      <c r="AF44" s="2">
        <f t="shared" si="57"/>
        <v>0</v>
      </c>
      <c r="AG44" s="2">
        <f t="shared" si="28"/>
        <v>0</v>
      </c>
      <c r="AH44" s="2">
        <f t="shared" si="58"/>
        <v>0</v>
      </c>
      <c r="AI44" s="2">
        <f t="shared" si="59"/>
        <v>0</v>
      </c>
      <c r="AJ44" s="2">
        <f t="shared" si="30"/>
        <v>0</v>
      </c>
      <c r="AK44" s="2">
        <v>12.3</v>
      </c>
      <c r="AL44" s="2">
        <v>12.3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111</v>
      </c>
      <c r="AU44" s="2">
        <v>64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4</v>
      </c>
      <c r="BE44" s="2" t="s">
        <v>4</v>
      </c>
      <c r="BF44" s="2" t="s">
        <v>4</v>
      </c>
      <c r="BG44" s="2" t="s">
        <v>4</v>
      </c>
      <c r="BH44" s="2">
        <v>3</v>
      </c>
      <c r="BI44" s="2">
        <v>1</v>
      </c>
      <c r="BJ44" s="2" t="s">
        <v>73</v>
      </c>
      <c r="BK44" s="2"/>
      <c r="BL44" s="2"/>
      <c r="BM44" s="2">
        <v>11001</v>
      </c>
      <c r="BN44" s="2">
        <v>0</v>
      </c>
      <c r="BO44" s="2" t="s">
        <v>4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4</v>
      </c>
      <c r="BZ44" s="2">
        <v>123</v>
      </c>
      <c r="CA44" s="2">
        <v>75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4</v>
      </c>
      <c r="CO44" s="2">
        <v>0</v>
      </c>
      <c r="CP44" s="2">
        <f t="shared" si="31"/>
        <v>298.14999999999998</v>
      </c>
      <c r="CQ44" s="2">
        <f t="shared" si="32"/>
        <v>12.3</v>
      </c>
      <c r="CR44" s="2">
        <f t="shared" si="33"/>
        <v>0</v>
      </c>
      <c r="CS44" s="2">
        <f t="shared" si="34"/>
        <v>0</v>
      </c>
      <c r="CT44" s="2">
        <f t="shared" si="35"/>
        <v>0</v>
      </c>
      <c r="CU44" s="2">
        <f t="shared" si="36"/>
        <v>0</v>
      </c>
      <c r="CV44" s="2">
        <f t="shared" si="37"/>
        <v>0</v>
      </c>
      <c r="CW44" s="2">
        <f t="shared" si="38"/>
        <v>0</v>
      </c>
      <c r="CX44" s="2">
        <f t="shared" si="39"/>
        <v>0</v>
      </c>
      <c r="CY44" s="2">
        <f t="shared" si="40"/>
        <v>0</v>
      </c>
      <c r="CZ44" s="2">
        <f t="shared" si="41"/>
        <v>0</v>
      </c>
      <c r="DA44" s="2"/>
      <c r="DB44" s="2"/>
      <c r="DC44" s="2" t="s">
        <v>4</v>
      </c>
      <c r="DD44" s="2" t="s">
        <v>4</v>
      </c>
      <c r="DE44" s="2" t="s">
        <v>4</v>
      </c>
      <c r="DF44" s="2" t="s">
        <v>4</v>
      </c>
      <c r="DG44" s="2" t="s">
        <v>4</v>
      </c>
      <c r="DH44" s="2" t="s">
        <v>4</v>
      </c>
      <c r="DI44" s="2" t="s">
        <v>4</v>
      </c>
      <c r="DJ44" s="2" t="s">
        <v>4</v>
      </c>
      <c r="DK44" s="2" t="s">
        <v>4</v>
      </c>
      <c r="DL44" s="2" t="s">
        <v>4</v>
      </c>
      <c r="DM44" s="2" t="s">
        <v>4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1003</v>
      </c>
      <c r="DV44" s="2" t="s">
        <v>72</v>
      </c>
      <c r="DW44" s="2" t="s">
        <v>72</v>
      </c>
      <c r="DX44" s="2">
        <v>1</v>
      </c>
      <c r="DY44" s="2"/>
      <c r="DZ44" s="2"/>
      <c r="EA44" s="2"/>
      <c r="EB44" s="2"/>
      <c r="EC44" s="2"/>
      <c r="ED44" s="2"/>
      <c r="EE44" s="2">
        <v>16510488</v>
      </c>
      <c r="EF44" s="2">
        <v>2</v>
      </c>
      <c r="EG44" s="2" t="s">
        <v>31</v>
      </c>
      <c r="EH44" s="2">
        <v>0</v>
      </c>
      <c r="EI44" s="2" t="s">
        <v>4</v>
      </c>
      <c r="EJ44" s="2">
        <v>1</v>
      </c>
      <c r="EK44" s="2">
        <v>11001</v>
      </c>
      <c r="EL44" s="2" t="s">
        <v>18</v>
      </c>
      <c r="EM44" s="2" t="s">
        <v>32</v>
      </c>
      <c r="EN44" s="2"/>
      <c r="EO44" s="2" t="s">
        <v>4</v>
      </c>
      <c r="EP44" s="2"/>
      <c r="EQ44" s="2">
        <v>0</v>
      </c>
      <c r="ER44" s="2">
        <v>12.3</v>
      </c>
      <c r="ES44" s="2">
        <v>12.3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2"/>
        <v>0</v>
      </c>
      <c r="FS44" s="2">
        <v>0</v>
      </c>
      <c r="FT44" s="2" t="s">
        <v>34</v>
      </c>
      <c r="FU44" s="2" t="s">
        <v>35</v>
      </c>
      <c r="FV44" s="2"/>
      <c r="FW44" s="2"/>
      <c r="FX44" s="2">
        <v>110.7</v>
      </c>
      <c r="FY44" s="2">
        <v>63.75</v>
      </c>
      <c r="FZ44" s="2"/>
      <c r="GA44" s="2" t="s">
        <v>4</v>
      </c>
      <c r="GB44" s="2"/>
      <c r="GC44" s="2"/>
      <c r="GD44" s="2">
        <v>0</v>
      </c>
      <c r="GE44" s="2"/>
      <c r="GF44" s="2">
        <v>26470480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3"/>
        <v>0</v>
      </c>
      <c r="GM44" s="2">
        <f t="shared" si="44"/>
        <v>298.14999999999998</v>
      </c>
      <c r="GN44" s="2">
        <f t="shared" si="45"/>
        <v>298.14999999999998</v>
      </c>
      <c r="GO44" s="2">
        <f t="shared" si="46"/>
        <v>0</v>
      </c>
      <c r="GP44" s="2">
        <f t="shared" si="47"/>
        <v>0</v>
      </c>
      <c r="GQ44" s="2"/>
      <c r="GR44" s="2">
        <v>0</v>
      </c>
      <c r="GS44" s="2">
        <v>3</v>
      </c>
      <c r="GT44" s="2">
        <v>0</v>
      </c>
      <c r="GU44" s="2" t="s">
        <v>4</v>
      </c>
      <c r="GV44" s="2">
        <f t="shared" si="48"/>
        <v>0</v>
      </c>
      <c r="GW44" s="2">
        <v>1</v>
      </c>
      <c r="GX44" s="2">
        <f t="shared" si="49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69</v>
      </c>
      <c r="E45" t="s">
        <v>69</v>
      </c>
      <c r="F45" t="s">
        <v>70</v>
      </c>
      <c r="G45" t="s">
        <v>71</v>
      </c>
      <c r="H45" t="s">
        <v>72</v>
      </c>
      <c r="I45">
        <f>I41*J45</f>
        <v>24.24</v>
      </c>
      <c r="J45">
        <v>101</v>
      </c>
      <c r="O45">
        <f t="shared" si="14"/>
        <v>1812.76</v>
      </c>
      <c r="P45">
        <f t="shared" si="15"/>
        <v>1812.76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16500997</v>
      </c>
      <c r="AB45">
        <f t="shared" si="25"/>
        <v>12.3</v>
      </c>
      <c r="AC45">
        <f t="shared" si="51"/>
        <v>12.3</v>
      </c>
      <c r="AD45">
        <f t="shared" si="55"/>
        <v>0</v>
      </c>
      <c r="AE45">
        <f t="shared" si="56"/>
        <v>0</v>
      </c>
      <c r="AF45">
        <f t="shared" si="57"/>
        <v>0</v>
      </c>
      <c r="AG45">
        <f t="shared" si="28"/>
        <v>0</v>
      </c>
      <c r="AH45">
        <f t="shared" si="58"/>
        <v>0</v>
      </c>
      <c r="AI45">
        <f t="shared" si="59"/>
        <v>0</v>
      </c>
      <c r="AJ45">
        <f t="shared" si="30"/>
        <v>0</v>
      </c>
      <c r="AK45">
        <v>12.3</v>
      </c>
      <c r="AL45">
        <v>12.3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6.08</v>
      </c>
      <c r="BA45">
        <v>1</v>
      </c>
      <c r="BB45">
        <v>1</v>
      </c>
      <c r="BC45">
        <v>6.08</v>
      </c>
      <c r="BD45" t="s">
        <v>4</v>
      </c>
      <c r="BE45" t="s">
        <v>4</v>
      </c>
      <c r="BF45" t="s">
        <v>4</v>
      </c>
      <c r="BG45" t="s">
        <v>4</v>
      </c>
      <c r="BH45">
        <v>3</v>
      </c>
      <c r="BI45">
        <v>1</v>
      </c>
      <c r="BJ45" t="s">
        <v>73</v>
      </c>
      <c r="BM45">
        <v>11001</v>
      </c>
      <c r="BN45">
        <v>0</v>
      </c>
      <c r="BO45" t="s">
        <v>4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4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4</v>
      </c>
      <c r="CO45">
        <v>0</v>
      </c>
      <c r="CP45">
        <f t="shared" si="31"/>
        <v>1812.76</v>
      </c>
      <c r="CQ45">
        <f t="shared" si="32"/>
        <v>74.784000000000006</v>
      </c>
      <c r="CR45">
        <f t="shared" si="33"/>
        <v>0</v>
      </c>
      <c r="CS45">
        <f t="shared" si="34"/>
        <v>0</v>
      </c>
      <c r="CT45">
        <f t="shared" si="35"/>
        <v>0</v>
      </c>
      <c r="CU45">
        <f t="shared" si="36"/>
        <v>0</v>
      </c>
      <c r="CV45">
        <f t="shared" si="37"/>
        <v>0</v>
      </c>
      <c r="CW45">
        <f t="shared" si="38"/>
        <v>0</v>
      </c>
      <c r="CX45">
        <f t="shared" si="39"/>
        <v>0</v>
      </c>
      <c r="CY45">
        <f t="shared" si="40"/>
        <v>0</v>
      </c>
      <c r="CZ45">
        <f t="shared" si="41"/>
        <v>0</v>
      </c>
      <c r="DC45" t="s">
        <v>4</v>
      </c>
      <c r="DD45" t="s">
        <v>4</v>
      </c>
      <c r="DE45" t="s">
        <v>4</v>
      </c>
      <c r="DF45" t="s">
        <v>4</v>
      </c>
      <c r="DG45" t="s">
        <v>4</v>
      </c>
      <c r="DH45" t="s">
        <v>4</v>
      </c>
      <c r="DI45" t="s">
        <v>4</v>
      </c>
      <c r="DJ45" t="s">
        <v>4</v>
      </c>
      <c r="DK45" t="s">
        <v>4</v>
      </c>
      <c r="DL45" t="s">
        <v>4</v>
      </c>
      <c r="DM45" t="s">
        <v>4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72</v>
      </c>
      <c r="DW45" t="s">
        <v>72</v>
      </c>
      <c r="DX45">
        <v>1</v>
      </c>
      <c r="EE45">
        <v>16510488</v>
      </c>
      <c r="EF45">
        <v>2</v>
      </c>
      <c r="EG45" t="s">
        <v>31</v>
      </c>
      <c r="EH45">
        <v>0</v>
      </c>
      <c r="EI45" t="s">
        <v>4</v>
      </c>
      <c r="EJ45">
        <v>1</v>
      </c>
      <c r="EK45">
        <v>11001</v>
      </c>
      <c r="EL45" t="s">
        <v>18</v>
      </c>
      <c r="EM45" t="s">
        <v>32</v>
      </c>
      <c r="EO45" t="s">
        <v>4</v>
      </c>
      <c r="EQ45">
        <v>0</v>
      </c>
      <c r="ER45">
        <v>12.3</v>
      </c>
      <c r="ES45">
        <v>12.3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2"/>
        <v>0</v>
      </c>
      <c r="FS45">
        <v>0</v>
      </c>
      <c r="FT45" t="s">
        <v>34</v>
      </c>
      <c r="FU45" t="s">
        <v>35</v>
      </c>
      <c r="FX45">
        <v>110.7</v>
      </c>
      <c r="FY45">
        <v>63.75</v>
      </c>
      <c r="GA45" t="s">
        <v>4</v>
      </c>
      <c r="GD45">
        <v>0</v>
      </c>
      <c r="GF45">
        <v>26470480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3"/>
        <v>0</v>
      </c>
      <c r="GM45">
        <f t="shared" si="44"/>
        <v>1812.76</v>
      </c>
      <c r="GN45">
        <f t="shared" si="45"/>
        <v>1812.76</v>
      </c>
      <c r="GO45">
        <f t="shared" si="46"/>
        <v>0</v>
      </c>
      <c r="GP45">
        <f t="shared" si="47"/>
        <v>0</v>
      </c>
      <c r="GR45">
        <v>0</v>
      </c>
      <c r="GS45">
        <v>3</v>
      </c>
      <c r="GT45">
        <v>0</v>
      </c>
      <c r="GU45" t="s">
        <v>4</v>
      </c>
      <c r="GV45">
        <f t="shared" si="48"/>
        <v>0</v>
      </c>
      <c r="GW45">
        <v>1</v>
      </c>
      <c r="GX45">
        <f t="shared" si="49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59</v>
      </c>
      <c r="D46" s="2"/>
      <c r="E46" s="2" t="s">
        <v>74</v>
      </c>
      <c r="F46" s="2" t="s">
        <v>75</v>
      </c>
      <c r="G46" s="2" t="s">
        <v>76</v>
      </c>
      <c r="H46" s="2" t="s">
        <v>67</v>
      </c>
      <c r="I46" s="2">
        <f>I40*J46</f>
        <v>0.02</v>
      </c>
      <c r="J46" s="2">
        <v>8.3333333333333343E-2</v>
      </c>
      <c r="K46" s="2"/>
      <c r="L46" s="2"/>
      <c r="M46" s="2"/>
      <c r="N46" s="2"/>
      <c r="O46" s="2">
        <f t="shared" si="14"/>
        <v>2.02</v>
      </c>
      <c r="P46" s="2">
        <f t="shared" si="15"/>
        <v>2.02</v>
      </c>
      <c r="Q46" s="2">
        <f t="shared" si="16"/>
        <v>0</v>
      </c>
      <c r="R46" s="2">
        <f t="shared" si="17"/>
        <v>0</v>
      </c>
      <c r="S46" s="2">
        <f t="shared" si="18"/>
        <v>0</v>
      </c>
      <c r="T46" s="2">
        <f t="shared" si="19"/>
        <v>0</v>
      </c>
      <c r="U46" s="2">
        <f t="shared" si="20"/>
        <v>0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16500983</v>
      </c>
      <c r="AB46" s="2">
        <f t="shared" si="25"/>
        <v>101</v>
      </c>
      <c r="AC46" s="2">
        <f t="shared" si="51"/>
        <v>101</v>
      </c>
      <c r="AD46" s="2">
        <f t="shared" si="55"/>
        <v>0</v>
      </c>
      <c r="AE46" s="2">
        <f t="shared" si="56"/>
        <v>0</v>
      </c>
      <c r="AF46" s="2">
        <f t="shared" si="57"/>
        <v>0</v>
      </c>
      <c r="AG46" s="2">
        <f t="shared" si="28"/>
        <v>0</v>
      </c>
      <c r="AH46" s="2">
        <f t="shared" si="58"/>
        <v>0</v>
      </c>
      <c r="AI46" s="2">
        <f t="shared" si="59"/>
        <v>0</v>
      </c>
      <c r="AJ46" s="2">
        <f t="shared" si="30"/>
        <v>0</v>
      </c>
      <c r="AK46" s="2">
        <v>101</v>
      </c>
      <c r="AL46" s="2">
        <v>101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111</v>
      </c>
      <c r="AU46" s="2">
        <v>64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4</v>
      </c>
      <c r="BE46" s="2" t="s">
        <v>4</v>
      </c>
      <c r="BF46" s="2" t="s">
        <v>4</v>
      </c>
      <c r="BG46" s="2" t="s">
        <v>4</v>
      </c>
      <c r="BH46" s="2">
        <v>3</v>
      </c>
      <c r="BI46" s="2">
        <v>1</v>
      </c>
      <c r="BJ46" s="2" t="s">
        <v>77</v>
      </c>
      <c r="BK46" s="2"/>
      <c r="BL46" s="2"/>
      <c r="BM46" s="2">
        <v>11001</v>
      </c>
      <c r="BN46" s="2">
        <v>0</v>
      </c>
      <c r="BO46" s="2" t="s">
        <v>4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4</v>
      </c>
      <c r="BZ46" s="2">
        <v>123</v>
      </c>
      <c r="CA46" s="2">
        <v>75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4</v>
      </c>
      <c r="CO46" s="2">
        <v>0</v>
      </c>
      <c r="CP46" s="2">
        <f t="shared" si="31"/>
        <v>2.02</v>
      </c>
      <c r="CQ46" s="2">
        <f t="shared" si="32"/>
        <v>101</v>
      </c>
      <c r="CR46" s="2">
        <f t="shared" si="33"/>
        <v>0</v>
      </c>
      <c r="CS46" s="2">
        <f t="shared" si="34"/>
        <v>0</v>
      </c>
      <c r="CT46" s="2">
        <f t="shared" si="35"/>
        <v>0</v>
      </c>
      <c r="CU46" s="2">
        <f t="shared" si="36"/>
        <v>0</v>
      </c>
      <c r="CV46" s="2">
        <f t="shared" si="37"/>
        <v>0</v>
      </c>
      <c r="CW46" s="2">
        <f t="shared" si="38"/>
        <v>0</v>
      </c>
      <c r="CX46" s="2">
        <f t="shared" si="39"/>
        <v>0</v>
      </c>
      <c r="CY46" s="2">
        <f t="shared" si="40"/>
        <v>0</v>
      </c>
      <c r="CZ46" s="2">
        <f t="shared" si="41"/>
        <v>0</v>
      </c>
      <c r="DA46" s="2"/>
      <c r="DB46" s="2"/>
      <c r="DC46" s="2" t="s">
        <v>4</v>
      </c>
      <c r="DD46" s="2" t="s">
        <v>4</v>
      </c>
      <c r="DE46" s="2" t="s">
        <v>4</v>
      </c>
      <c r="DF46" s="2" t="s">
        <v>4</v>
      </c>
      <c r="DG46" s="2" t="s">
        <v>4</v>
      </c>
      <c r="DH46" s="2" t="s">
        <v>4</v>
      </c>
      <c r="DI46" s="2" t="s">
        <v>4</v>
      </c>
      <c r="DJ46" s="2" t="s">
        <v>4</v>
      </c>
      <c r="DK46" s="2" t="s">
        <v>4</v>
      </c>
      <c r="DL46" s="2" t="s">
        <v>4</v>
      </c>
      <c r="DM46" s="2" t="s">
        <v>4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1010</v>
      </c>
      <c r="DV46" s="2" t="s">
        <v>67</v>
      </c>
      <c r="DW46" s="2" t="s">
        <v>67</v>
      </c>
      <c r="DX46" s="2">
        <v>100</v>
      </c>
      <c r="DY46" s="2"/>
      <c r="DZ46" s="2"/>
      <c r="EA46" s="2"/>
      <c r="EB46" s="2"/>
      <c r="EC46" s="2"/>
      <c r="ED46" s="2"/>
      <c r="EE46" s="2">
        <v>16510488</v>
      </c>
      <c r="EF46" s="2">
        <v>2</v>
      </c>
      <c r="EG46" s="2" t="s">
        <v>31</v>
      </c>
      <c r="EH46" s="2">
        <v>0</v>
      </c>
      <c r="EI46" s="2" t="s">
        <v>4</v>
      </c>
      <c r="EJ46" s="2">
        <v>1</v>
      </c>
      <c r="EK46" s="2">
        <v>11001</v>
      </c>
      <c r="EL46" s="2" t="s">
        <v>18</v>
      </c>
      <c r="EM46" s="2" t="s">
        <v>32</v>
      </c>
      <c r="EN46" s="2"/>
      <c r="EO46" s="2" t="s">
        <v>4</v>
      </c>
      <c r="EP46" s="2"/>
      <c r="EQ46" s="2">
        <v>0</v>
      </c>
      <c r="ER46" s="2">
        <v>101</v>
      </c>
      <c r="ES46" s="2">
        <v>101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2"/>
        <v>0</v>
      </c>
      <c r="FS46" s="2">
        <v>0</v>
      </c>
      <c r="FT46" s="2" t="s">
        <v>34</v>
      </c>
      <c r="FU46" s="2" t="s">
        <v>35</v>
      </c>
      <c r="FV46" s="2"/>
      <c r="FW46" s="2"/>
      <c r="FX46" s="2">
        <v>110.7</v>
      </c>
      <c r="FY46" s="2">
        <v>63.75</v>
      </c>
      <c r="FZ46" s="2"/>
      <c r="GA46" s="2" t="s">
        <v>4</v>
      </c>
      <c r="GB46" s="2"/>
      <c r="GC46" s="2"/>
      <c r="GD46" s="2">
        <v>0</v>
      </c>
      <c r="GE46" s="2"/>
      <c r="GF46" s="2">
        <v>191136453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3"/>
        <v>0</v>
      </c>
      <c r="GM46" s="2">
        <f t="shared" si="44"/>
        <v>2.02</v>
      </c>
      <c r="GN46" s="2">
        <f t="shared" si="45"/>
        <v>2.02</v>
      </c>
      <c r="GO46" s="2">
        <f t="shared" si="46"/>
        <v>0</v>
      </c>
      <c r="GP46" s="2">
        <f t="shared" si="47"/>
        <v>0</v>
      </c>
      <c r="GQ46" s="2"/>
      <c r="GR46" s="2">
        <v>0</v>
      </c>
      <c r="GS46" s="2">
        <v>3</v>
      </c>
      <c r="GT46" s="2">
        <v>0</v>
      </c>
      <c r="GU46" s="2" t="s">
        <v>4</v>
      </c>
      <c r="GV46" s="2">
        <f t="shared" si="48"/>
        <v>0</v>
      </c>
      <c r="GW46" s="2">
        <v>1</v>
      </c>
      <c r="GX46" s="2">
        <f t="shared" si="49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71</v>
      </c>
      <c r="E47" t="s">
        <v>74</v>
      </c>
      <c r="F47" t="s">
        <v>75</v>
      </c>
      <c r="G47" t="s">
        <v>76</v>
      </c>
      <c r="H47" t="s">
        <v>67</v>
      </c>
      <c r="I47">
        <f>I41*J47</f>
        <v>0.02</v>
      </c>
      <c r="J47">
        <v>8.3333333333333343E-2</v>
      </c>
      <c r="O47">
        <f t="shared" si="14"/>
        <v>12.28</v>
      </c>
      <c r="P47">
        <f t="shared" si="15"/>
        <v>12.28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16500997</v>
      </c>
      <c r="AB47">
        <f t="shared" si="25"/>
        <v>101</v>
      </c>
      <c r="AC47">
        <f t="shared" si="51"/>
        <v>101</v>
      </c>
      <c r="AD47">
        <f t="shared" si="55"/>
        <v>0</v>
      </c>
      <c r="AE47">
        <f t="shared" si="56"/>
        <v>0</v>
      </c>
      <c r="AF47">
        <f t="shared" si="57"/>
        <v>0</v>
      </c>
      <c r="AG47">
        <f t="shared" si="28"/>
        <v>0</v>
      </c>
      <c r="AH47">
        <f t="shared" si="58"/>
        <v>0</v>
      </c>
      <c r="AI47">
        <f t="shared" si="59"/>
        <v>0</v>
      </c>
      <c r="AJ47">
        <f t="shared" si="30"/>
        <v>0</v>
      </c>
      <c r="AK47">
        <v>101</v>
      </c>
      <c r="AL47">
        <v>101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4</v>
      </c>
      <c r="BE47" t="s">
        <v>4</v>
      </c>
      <c r="BF47" t="s">
        <v>4</v>
      </c>
      <c r="BG47" t="s">
        <v>4</v>
      </c>
      <c r="BH47">
        <v>3</v>
      </c>
      <c r="BI47">
        <v>1</v>
      </c>
      <c r="BJ47" t="s">
        <v>77</v>
      </c>
      <c r="BM47">
        <v>11001</v>
      </c>
      <c r="BN47">
        <v>0</v>
      </c>
      <c r="BO47" t="s">
        <v>4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4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4</v>
      </c>
      <c r="CO47">
        <v>0</v>
      </c>
      <c r="CP47">
        <f t="shared" si="31"/>
        <v>12.28</v>
      </c>
      <c r="CQ47">
        <f t="shared" si="32"/>
        <v>614.08000000000004</v>
      </c>
      <c r="CR47">
        <f t="shared" si="33"/>
        <v>0</v>
      </c>
      <c r="CS47">
        <f t="shared" si="34"/>
        <v>0</v>
      </c>
      <c r="CT47">
        <f t="shared" si="35"/>
        <v>0</v>
      </c>
      <c r="CU47">
        <f t="shared" si="36"/>
        <v>0</v>
      </c>
      <c r="CV47">
        <f t="shared" si="37"/>
        <v>0</v>
      </c>
      <c r="CW47">
        <f t="shared" si="38"/>
        <v>0</v>
      </c>
      <c r="CX47">
        <f t="shared" si="39"/>
        <v>0</v>
      </c>
      <c r="CY47">
        <f t="shared" si="40"/>
        <v>0</v>
      </c>
      <c r="CZ47">
        <f t="shared" si="41"/>
        <v>0</v>
      </c>
      <c r="DC47" t="s">
        <v>4</v>
      </c>
      <c r="DD47" t="s">
        <v>4</v>
      </c>
      <c r="DE47" t="s">
        <v>4</v>
      </c>
      <c r="DF47" t="s">
        <v>4</v>
      </c>
      <c r="DG47" t="s">
        <v>4</v>
      </c>
      <c r="DH47" t="s">
        <v>4</v>
      </c>
      <c r="DI47" t="s">
        <v>4</v>
      </c>
      <c r="DJ47" t="s">
        <v>4</v>
      </c>
      <c r="DK47" t="s">
        <v>4</v>
      </c>
      <c r="DL47" t="s">
        <v>4</v>
      </c>
      <c r="DM47" t="s">
        <v>4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67</v>
      </c>
      <c r="DW47" t="s">
        <v>67</v>
      </c>
      <c r="DX47">
        <v>100</v>
      </c>
      <c r="EE47">
        <v>16510488</v>
      </c>
      <c r="EF47">
        <v>2</v>
      </c>
      <c r="EG47" t="s">
        <v>31</v>
      </c>
      <c r="EH47">
        <v>0</v>
      </c>
      <c r="EI47" t="s">
        <v>4</v>
      </c>
      <c r="EJ47">
        <v>1</v>
      </c>
      <c r="EK47">
        <v>11001</v>
      </c>
      <c r="EL47" t="s">
        <v>18</v>
      </c>
      <c r="EM47" t="s">
        <v>32</v>
      </c>
      <c r="EO47" t="s">
        <v>4</v>
      </c>
      <c r="EQ47">
        <v>0</v>
      </c>
      <c r="ER47">
        <v>101</v>
      </c>
      <c r="ES47">
        <v>101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2"/>
        <v>0</v>
      </c>
      <c r="FS47">
        <v>0</v>
      </c>
      <c r="FT47" t="s">
        <v>34</v>
      </c>
      <c r="FU47" t="s">
        <v>35</v>
      </c>
      <c r="FX47">
        <v>110.7</v>
      </c>
      <c r="FY47">
        <v>63.75</v>
      </c>
      <c r="GA47" t="s">
        <v>4</v>
      </c>
      <c r="GD47">
        <v>0</v>
      </c>
      <c r="GF47">
        <v>191136453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3"/>
        <v>0</v>
      </c>
      <c r="GM47">
        <f t="shared" si="44"/>
        <v>12.28</v>
      </c>
      <c r="GN47">
        <f t="shared" si="45"/>
        <v>12.28</v>
      </c>
      <c r="GO47">
        <f t="shared" si="46"/>
        <v>0</v>
      </c>
      <c r="GP47">
        <f t="shared" si="47"/>
        <v>0</v>
      </c>
      <c r="GR47">
        <v>0</v>
      </c>
      <c r="GS47">
        <v>3</v>
      </c>
      <c r="GT47">
        <v>0</v>
      </c>
      <c r="GU47" t="s">
        <v>4</v>
      </c>
      <c r="GV47">
        <f t="shared" si="48"/>
        <v>0</v>
      </c>
      <c r="GW47">
        <v>1</v>
      </c>
      <c r="GX47">
        <f t="shared" si="49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60</v>
      </c>
      <c r="D48" s="2"/>
      <c r="E48" s="2" t="s">
        <v>78</v>
      </c>
      <c r="F48" s="2" t="s">
        <v>79</v>
      </c>
      <c r="G48" s="2" t="s">
        <v>80</v>
      </c>
      <c r="H48" s="2" t="s">
        <v>67</v>
      </c>
      <c r="I48" s="2">
        <f>I40*J48</f>
        <v>0.1</v>
      </c>
      <c r="J48" s="2">
        <v>0.41666666666666669</v>
      </c>
      <c r="K48" s="2"/>
      <c r="L48" s="2"/>
      <c r="M48" s="2"/>
      <c r="N48" s="2"/>
      <c r="O48" s="2">
        <f t="shared" si="14"/>
        <v>12.8</v>
      </c>
      <c r="P48" s="2">
        <f t="shared" si="15"/>
        <v>12.8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16500983</v>
      </c>
      <c r="AB48" s="2">
        <f t="shared" si="25"/>
        <v>128</v>
      </c>
      <c r="AC48" s="2">
        <f t="shared" si="51"/>
        <v>128</v>
      </c>
      <c r="AD48" s="2">
        <f t="shared" si="55"/>
        <v>0</v>
      </c>
      <c r="AE48" s="2">
        <f t="shared" si="56"/>
        <v>0</v>
      </c>
      <c r="AF48" s="2">
        <f t="shared" si="57"/>
        <v>0</v>
      </c>
      <c r="AG48" s="2">
        <f t="shared" si="28"/>
        <v>0</v>
      </c>
      <c r="AH48" s="2">
        <f t="shared" si="58"/>
        <v>0</v>
      </c>
      <c r="AI48" s="2">
        <f t="shared" si="59"/>
        <v>0</v>
      </c>
      <c r="AJ48" s="2">
        <f t="shared" si="30"/>
        <v>0</v>
      </c>
      <c r="AK48" s="2">
        <v>128</v>
      </c>
      <c r="AL48" s="2">
        <v>128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111</v>
      </c>
      <c r="AU48" s="2">
        <v>64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4</v>
      </c>
      <c r="BE48" s="2" t="s">
        <v>4</v>
      </c>
      <c r="BF48" s="2" t="s">
        <v>4</v>
      </c>
      <c r="BG48" s="2" t="s">
        <v>4</v>
      </c>
      <c r="BH48" s="2">
        <v>3</v>
      </c>
      <c r="BI48" s="2">
        <v>1</v>
      </c>
      <c r="BJ48" s="2" t="s">
        <v>81</v>
      </c>
      <c r="BK48" s="2"/>
      <c r="BL48" s="2"/>
      <c r="BM48" s="2">
        <v>11001</v>
      </c>
      <c r="BN48" s="2">
        <v>0</v>
      </c>
      <c r="BO48" s="2" t="s">
        <v>4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4</v>
      </c>
      <c r="BZ48" s="2">
        <v>123</v>
      </c>
      <c r="CA48" s="2">
        <v>75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4</v>
      </c>
      <c r="CO48" s="2">
        <v>0</v>
      </c>
      <c r="CP48" s="2">
        <f t="shared" si="31"/>
        <v>12.8</v>
      </c>
      <c r="CQ48" s="2">
        <f t="shared" si="32"/>
        <v>128</v>
      </c>
      <c r="CR48" s="2">
        <f t="shared" si="33"/>
        <v>0</v>
      </c>
      <c r="CS48" s="2">
        <f t="shared" si="34"/>
        <v>0</v>
      </c>
      <c r="CT48" s="2">
        <f t="shared" si="35"/>
        <v>0</v>
      </c>
      <c r="CU48" s="2">
        <f t="shared" si="36"/>
        <v>0</v>
      </c>
      <c r="CV48" s="2">
        <f t="shared" si="37"/>
        <v>0</v>
      </c>
      <c r="CW48" s="2">
        <f t="shared" si="38"/>
        <v>0</v>
      </c>
      <c r="CX48" s="2">
        <f t="shared" si="39"/>
        <v>0</v>
      </c>
      <c r="CY48" s="2">
        <f t="shared" si="40"/>
        <v>0</v>
      </c>
      <c r="CZ48" s="2">
        <f t="shared" si="41"/>
        <v>0</v>
      </c>
      <c r="DA48" s="2"/>
      <c r="DB48" s="2"/>
      <c r="DC48" s="2" t="s">
        <v>4</v>
      </c>
      <c r="DD48" s="2" t="s">
        <v>4</v>
      </c>
      <c r="DE48" s="2" t="s">
        <v>4</v>
      </c>
      <c r="DF48" s="2" t="s">
        <v>4</v>
      </c>
      <c r="DG48" s="2" t="s">
        <v>4</v>
      </c>
      <c r="DH48" s="2" t="s">
        <v>4</v>
      </c>
      <c r="DI48" s="2" t="s">
        <v>4</v>
      </c>
      <c r="DJ48" s="2" t="s">
        <v>4</v>
      </c>
      <c r="DK48" s="2" t="s">
        <v>4</v>
      </c>
      <c r="DL48" s="2" t="s">
        <v>4</v>
      </c>
      <c r="DM48" s="2" t="s">
        <v>4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1010</v>
      </c>
      <c r="DV48" s="2" t="s">
        <v>67</v>
      </c>
      <c r="DW48" s="2" t="s">
        <v>67</v>
      </c>
      <c r="DX48" s="2">
        <v>100</v>
      </c>
      <c r="DY48" s="2"/>
      <c r="DZ48" s="2"/>
      <c r="EA48" s="2"/>
      <c r="EB48" s="2"/>
      <c r="EC48" s="2"/>
      <c r="ED48" s="2"/>
      <c r="EE48" s="2">
        <v>16510488</v>
      </c>
      <c r="EF48" s="2">
        <v>2</v>
      </c>
      <c r="EG48" s="2" t="s">
        <v>31</v>
      </c>
      <c r="EH48" s="2">
        <v>0</v>
      </c>
      <c r="EI48" s="2" t="s">
        <v>4</v>
      </c>
      <c r="EJ48" s="2">
        <v>1</v>
      </c>
      <c r="EK48" s="2">
        <v>11001</v>
      </c>
      <c r="EL48" s="2" t="s">
        <v>18</v>
      </c>
      <c r="EM48" s="2" t="s">
        <v>32</v>
      </c>
      <c r="EN48" s="2"/>
      <c r="EO48" s="2" t="s">
        <v>4</v>
      </c>
      <c r="EP48" s="2"/>
      <c r="EQ48" s="2">
        <v>0</v>
      </c>
      <c r="ER48" s="2">
        <v>128</v>
      </c>
      <c r="ES48" s="2">
        <v>128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2"/>
        <v>0</v>
      </c>
      <c r="FS48" s="2">
        <v>0</v>
      </c>
      <c r="FT48" s="2" t="s">
        <v>34</v>
      </c>
      <c r="FU48" s="2" t="s">
        <v>35</v>
      </c>
      <c r="FV48" s="2"/>
      <c r="FW48" s="2"/>
      <c r="FX48" s="2">
        <v>110.7</v>
      </c>
      <c r="FY48" s="2">
        <v>63.75</v>
      </c>
      <c r="FZ48" s="2"/>
      <c r="GA48" s="2" t="s">
        <v>4</v>
      </c>
      <c r="GB48" s="2"/>
      <c r="GC48" s="2"/>
      <c r="GD48" s="2">
        <v>0</v>
      </c>
      <c r="GE48" s="2"/>
      <c r="GF48" s="2">
        <v>1073883569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3"/>
        <v>0</v>
      </c>
      <c r="GM48" s="2">
        <f t="shared" si="44"/>
        <v>12.8</v>
      </c>
      <c r="GN48" s="2">
        <f t="shared" si="45"/>
        <v>12.8</v>
      </c>
      <c r="GO48" s="2">
        <f t="shared" si="46"/>
        <v>0</v>
      </c>
      <c r="GP48" s="2">
        <f t="shared" si="47"/>
        <v>0</v>
      </c>
      <c r="GQ48" s="2"/>
      <c r="GR48" s="2">
        <v>0</v>
      </c>
      <c r="GS48" s="2">
        <v>3</v>
      </c>
      <c r="GT48" s="2">
        <v>0</v>
      </c>
      <c r="GU48" s="2" t="s">
        <v>4</v>
      </c>
      <c r="GV48" s="2">
        <f t="shared" si="48"/>
        <v>0</v>
      </c>
      <c r="GW48" s="2">
        <v>1</v>
      </c>
      <c r="GX48" s="2">
        <f t="shared" si="49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72</v>
      </c>
      <c r="E49" t="s">
        <v>78</v>
      </c>
      <c r="F49" t="s">
        <v>79</v>
      </c>
      <c r="G49" t="s">
        <v>80</v>
      </c>
      <c r="H49" t="s">
        <v>67</v>
      </c>
      <c r="I49">
        <f>I41*J49</f>
        <v>0.1</v>
      </c>
      <c r="J49">
        <v>0.41666666666666669</v>
      </c>
      <c r="O49">
        <f t="shared" si="14"/>
        <v>77.819999999999993</v>
      </c>
      <c r="P49">
        <f t="shared" si="15"/>
        <v>77.819999999999993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16500997</v>
      </c>
      <c r="AB49">
        <f t="shared" si="25"/>
        <v>128</v>
      </c>
      <c r="AC49">
        <f t="shared" si="51"/>
        <v>128</v>
      </c>
      <c r="AD49">
        <f t="shared" si="55"/>
        <v>0</v>
      </c>
      <c r="AE49">
        <f t="shared" si="56"/>
        <v>0</v>
      </c>
      <c r="AF49">
        <f t="shared" si="57"/>
        <v>0</v>
      </c>
      <c r="AG49">
        <f t="shared" si="28"/>
        <v>0</v>
      </c>
      <c r="AH49">
        <f t="shared" si="58"/>
        <v>0</v>
      </c>
      <c r="AI49">
        <f t="shared" si="59"/>
        <v>0</v>
      </c>
      <c r="AJ49">
        <f t="shared" si="30"/>
        <v>0</v>
      </c>
      <c r="AK49">
        <v>128</v>
      </c>
      <c r="AL49">
        <v>128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6.08</v>
      </c>
      <c r="BA49">
        <v>1</v>
      </c>
      <c r="BB49">
        <v>1</v>
      </c>
      <c r="BC49">
        <v>6.08</v>
      </c>
      <c r="BD49" t="s">
        <v>4</v>
      </c>
      <c r="BE49" t="s">
        <v>4</v>
      </c>
      <c r="BF49" t="s">
        <v>4</v>
      </c>
      <c r="BG49" t="s">
        <v>4</v>
      </c>
      <c r="BH49">
        <v>3</v>
      </c>
      <c r="BI49">
        <v>1</v>
      </c>
      <c r="BJ49" t="s">
        <v>81</v>
      </c>
      <c r="BM49">
        <v>11001</v>
      </c>
      <c r="BN49">
        <v>0</v>
      </c>
      <c r="BO49" t="s">
        <v>4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4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4</v>
      </c>
      <c r="CO49">
        <v>0</v>
      </c>
      <c r="CP49">
        <f t="shared" si="31"/>
        <v>77.819999999999993</v>
      </c>
      <c r="CQ49">
        <f t="shared" si="32"/>
        <v>778.24</v>
      </c>
      <c r="CR49">
        <f t="shared" si="33"/>
        <v>0</v>
      </c>
      <c r="CS49">
        <f t="shared" si="34"/>
        <v>0</v>
      </c>
      <c r="CT49">
        <f t="shared" si="35"/>
        <v>0</v>
      </c>
      <c r="CU49">
        <f t="shared" si="36"/>
        <v>0</v>
      </c>
      <c r="CV49">
        <f t="shared" si="37"/>
        <v>0</v>
      </c>
      <c r="CW49">
        <f t="shared" si="38"/>
        <v>0</v>
      </c>
      <c r="CX49">
        <f t="shared" si="39"/>
        <v>0</v>
      </c>
      <c r="CY49">
        <f t="shared" si="40"/>
        <v>0</v>
      </c>
      <c r="CZ49">
        <f t="shared" si="41"/>
        <v>0</v>
      </c>
      <c r="DC49" t="s">
        <v>4</v>
      </c>
      <c r="DD49" t="s">
        <v>4</v>
      </c>
      <c r="DE49" t="s">
        <v>4</v>
      </c>
      <c r="DF49" t="s">
        <v>4</v>
      </c>
      <c r="DG49" t="s">
        <v>4</v>
      </c>
      <c r="DH49" t="s">
        <v>4</v>
      </c>
      <c r="DI49" t="s">
        <v>4</v>
      </c>
      <c r="DJ49" t="s">
        <v>4</v>
      </c>
      <c r="DK49" t="s">
        <v>4</v>
      </c>
      <c r="DL49" t="s">
        <v>4</v>
      </c>
      <c r="DM49" t="s">
        <v>4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67</v>
      </c>
      <c r="DW49" t="s">
        <v>67</v>
      </c>
      <c r="DX49">
        <v>100</v>
      </c>
      <c r="EE49">
        <v>16510488</v>
      </c>
      <c r="EF49">
        <v>2</v>
      </c>
      <c r="EG49" t="s">
        <v>31</v>
      </c>
      <c r="EH49">
        <v>0</v>
      </c>
      <c r="EI49" t="s">
        <v>4</v>
      </c>
      <c r="EJ49">
        <v>1</v>
      </c>
      <c r="EK49">
        <v>11001</v>
      </c>
      <c r="EL49" t="s">
        <v>18</v>
      </c>
      <c r="EM49" t="s">
        <v>32</v>
      </c>
      <c r="EO49" t="s">
        <v>4</v>
      </c>
      <c r="EQ49">
        <v>0</v>
      </c>
      <c r="ER49">
        <v>128</v>
      </c>
      <c r="ES49">
        <v>128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2"/>
        <v>0</v>
      </c>
      <c r="FS49">
        <v>0</v>
      </c>
      <c r="FT49" t="s">
        <v>34</v>
      </c>
      <c r="FU49" t="s">
        <v>35</v>
      </c>
      <c r="FX49">
        <v>110.7</v>
      </c>
      <c r="FY49">
        <v>63.75</v>
      </c>
      <c r="GA49" t="s">
        <v>4</v>
      </c>
      <c r="GD49">
        <v>0</v>
      </c>
      <c r="GF49">
        <v>1073883569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3"/>
        <v>0</v>
      </c>
      <c r="GM49">
        <f t="shared" si="44"/>
        <v>77.819999999999993</v>
      </c>
      <c r="GN49">
        <f t="shared" si="45"/>
        <v>77.819999999999993</v>
      </c>
      <c r="GO49">
        <f t="shared" si="46"/>
        <v>0</v>
      </c>
      <c r="GP49">
        <f t="shared" si="47"/>
        <v>0</v>
      </c>
      <c r="GR49">
        <v>0</v>
      </c>
      <c r="GS49">
        <v>3</v>
      </c>
      <c r="GT49">
        <v>0</v>
      </c>
      <c r="GU49" t="s">
        <v>4</v>
      </c>
      <c r="GV49">
        <f t="shared" si="48"/>
        <v>0</v>
      </c>
      <c r="GW49">
        <v>1</v>
      </c>
      <c r="GX49">
        <f t="shared" si="49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61</v>
      </c>
      <c r="D50" s="2"/>
      <c r="E50" s="2" t="s">
        <v>82</v>
      </c>
      <c r="F50" s="2" t="s">
        <v>83</v>
      </c>
      <c r="G50" s="2" t="s">
        <v>84</v>
      </c>
      <c r="H50" s="2" t="s">
        <v>67</v>
      </c>
      <c r="I50" s="2">
        <f>I40*J50</f>
        <v>0.02</v>
      </c>
      <c r="J50" s="2">
        <v>8.3333333333333343E-2</v>
      </c>
      <c r="K50" s="2"/>
      <c r="L50" s="2"/>
      <c r="M50" s="2"/>
      <c r="N50" s="2"/>
      <c r="O50" s="2">
        <f t="shared" si="14"/>
        <v>2.56</v>
      </c>
      <c r="P50" s="2">
        <f t="shared" si="15"/>
        <v>2.56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16500983</v>
      </c>
      <c r="AB50" s="2">
        <f t="shared" si="25"/>
        <v>128</v>
      </c>
      <c r="AC50" s="2">
        <f t="shared" si="51"/>
        <v>128</v>
      </c>
      <c r="AD50" s="2">
        <f t="shared" si="55"/>
        <v>0</v>
      </c>
      <c r="AE50" s="2">
        <f t="shared" si="56"/>
        <v>0</v>
      </c>
      <c r="AF50" s="2">
        <f t="shared" si="57"/>
        <v>0</v>
      </c>
      <c r="AG50" s="2">
        <f t="shared" si="28"/>
        <v>0</v>
      </c>
      <c r="AH50" s="2">
        <f t="shared" si="58"/>
        <v>0</v>
      </c>
      <c r="AI50" s="2">
        <f t="shared" si="59"/>
        <v>0</v>
      </c>
      <c r="AJ50" s="2">
        <f t="shared" si="30"/>
        <v>0</v>
      </c>
      <c r="AK50" s="2">
        <v>128</v>
      </c>
      <c r="AL50" s="2">
        <v>128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111</v>
      </c>
      <c r="AU50" s="2">
        <v>64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4</v>
      </c>
      <c r="BE50" s="2" t="s">
        <v>4</v>
      </c>
      <c r="BF50" s="2" t="s">
        <v>4</v>
      </c>
      <c r="BG50" s="2" t="s">
        <v>4</v>
      </c>
      <c r="BH50" s="2">
        <v>3</v>
      </c>
      <c r="BI50" s="2">
        <v>1</v>
      </c>
      <c r="BJ50" s="2" t="s">
        <v>85</v>
      </c>
      <c r="BK50" s="2"/>
      <c r="BL50" s="2"/>
      <c r="BM50" s="2">
        <v>11001</v>
      </c>
      <c r="BN50" s="2">
        <v>0</v>
      </c>
      <c r="BO50" s="2" t="s">
        <v>4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4</v>
      </c>
      <c r="BZ50" s="2">
        <v>123</v>
      </c>
      <c r="CA50" s="2">
        <v>75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4</v>
      </c>
      <c r="CO50" s="2">
        <v>0</v>
      </c>
      <c r="CP50" s="2">
        <f t="shared" si="31"/>
        <v>2.56</v>
      </c>
      <c r="CQ50" s="2">
        <f t="shared" si="32"/>
        <v>128</v>
      </c>
      <c r="CR50" s="2">
        <f t="shared" si="33"/>
        <v>0</v>
      </c>
      <c r="CS50" s="2">
        <f t="shared" si="34"/>
        <v>0</v>
      </c>
      <c r="CT50" s="2">
        <f t="shared" si="35"/>
        <v>0</v>
      </c>
      <c r="CU50" s="2">
        <f t="shared" si="36"/>
        <v>0</v>
      </c>
      <c r="CV50" s="2">
        <f t="shared" si="37"/>
        <v>0</v>
      </c>
      <c r="CW50" s="2">
        <f t="shared" si="38"/>
        <v>0</v>
      </c>
      <c r="CX50" s="2">
        <f t="shared" si="39"/>
        <v>0</v>
      </c>
      <c r="CY50" s="2">
        <f t="shared" si="40"/>
        <v>0</v>
      </c>
      <c r="CZ50" s="2">
        <f t="shared" si="41"/>
        <v>0</v>
      </c>
      <c r="DA50" s="2"/>
      <c r="DB50" s="2"/>
      <c r="DC50" s="2" t="s">
        <v>4</v>
      </c>
      <c r="DD50" s="2" t="s">
        <v>4</v>
      </c>
      <c r="DE50" s="2" t="s">
        <v>4</v>
      </c>
      <c r="DF50" s="2" t="s">
        <v>4</v>
      </c>
      <c r="DG50" s="2" t="s">
        <v>4</v>
      </c>
      <c r="DH50" s="2" t="s">
        <v>4</v>
      </c>
      <c r="DI50" s="2" t="s">
        <v>4</v>
      </c>
      <c r="DJ50" s="2" t="s">
        <v>4</v>
      </c>
      <c r="DK50" s="2" t="s">
        <v>4</v>
      </c>
      <c r="DL50" s="2" t="s">
        <v>4</v>
      </c>
      <c r="DM50" s="2" t="s">
        <v>4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1010</v>
      </c>
      <c r="DV50" s="2" t="s">
        <v>67</v>
      </c>
      <c r="DW50" s="2" t="s">
        <v>67</v>
      </c>
      <c r="DX50" s="2">
        <v>100</v>
      </c>
      <c r="DY50" s="2"/>
      <c r="DZ50" s="2"/>
      <c r="EA50" s="2"/>
      <c r="EB50" s="2"/>
      <c r="EC50" s="2"/>
      <c r="ED50" s="2"/>
      <c r="EE50" s="2">
        <v>16510488</v>
      </c>
      <c r="EF50" s="2">
        <v>2</v>
      </c>
      <c r="EG50" s="2" t="s">
        <v>31</v>
      </c>
      <c r="EH50" s="2">
        <v>0</v>
      </c>
      <c r="EI50" s="2" t="s">
        <v>4</v>
      </c>
      <c r="EJ50" s="2">
        <v>1</v>
      </c>
      <c r="EK50" s="2">
        <v>11001</v>
      </c>
      <c r="EL50" s="2" t="s">
        <v>18</v>
      </c>
      <c r="EM50" s="2" t="s">
        <v>32</v>
      </c>
      <c r="EN50" s="2"/>
      <c r="EO50" s="2" t="s">
        <v>4</v>
      </c>
      <c r="EP50" s="2"/>
      <c r="EQ50" s="2">
        <v>0</v>
      </c>
      <c r="ER50" s="2">
        <v>128</v>
      </c>
      <c r="ES50" s="2">
        <v>128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2"/>
        <v>0</v>
      </c>
      <c r="FS50" s="2">
        <v>0</v>
      </c>
      <c r="FT50" s="2" t="s">
        <v>34</v>
      </c>
      <c r="FU50" s="2" t="s">
        <v>35</v>
      </c>
      <c r="FV50" s="2"/>
      <c r="FW50" s="2"/>
      <c r="FX50" s="2">
        <v>110.7</v>
      </c>
      <c r="FY50" s="2">
        <v>63.75</v>
      </c>
      <c r="FZ50" s="2"/>
      <c r="GA50" s="2" t="s">
        <v>4</v>
      </c>
      <c r="GB50" s="2"/>
      <c r="GC50" s="2"/>
      <c r="GD50" s="2">
        <v>0</v>
      </c>
      <c r="GE50" s="2"/>
      <c r="GF50" s="2">
        <v>1800897042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3"/>
        <v>0</v>
      </c>
      <c r="GM50" s="2">
        <f t="shared" si="44"/>
        <v>2.56</v>
      </c>
      <c r="GN50" s="2">
        <f t="shared" si="45"/>
        <v>2.56</v>
      </c>
      <c r="GO50" s="2">
        <f t="shared" si="46"/>
        <v>0</v>
      </c>
      <c r="GP50" s="2">
        <f t="shared" si="47"/>
        <v>0</v>
      </c>
      <c r="GQ50" s="2"/>
      <c r="GR50" s="2">
        <v>0</v>
      </c>
      <c r="GS50" s="2">
        <v>3</v>
      </c>
      <c r="GT50" s="2">
        <v>0</v>
      </c>
      <c r="GU50" s="2" t="s">
        <v>4</v>
      </c>
      <c r="GV50" s="2">
        <f t="shared" si="48"/>
        <v>0</v>
      </c>
      <c r="GW50" s="2">
        <v>1</v>
      </c>
      <c r="GX50" s="2">
        <f t="shared" si="49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73</v>
      </c>
      <c r="E51" t="s">
        <v>82</v>
      </c>
      <c r="F51" t="s">
        <v>83</v>
      </c>
      <c r="G51" t="s">
        <v>84</v>
      </c>
      <c r="H51" t="s">
        <v>67</v>
      </c>
      <c r="I51">
        <f>I41*J51</f>
        <v>0.02</v>
      </c>
      <c r="J51">
        <v>8.3333333333333343E-2</v>
      </c>
      <c r="O51">
        <f t="shared" si="14"/>
        <v>15.56</v>
      </c>
      <c r="P51">
        <f t="shared" si="15"/>
        <v>15.56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16500997</v>
      </c>
      <c r="AB51">
        <f t="shared" si="25"/>
        <v>128</v>
      </c>
      <c r="AC51">
        <f t="shared" si="51"/>
        <v>128</v>
      </c>
      <c r="AD51">
        <f t="shared" si="55"/>
        <v>0</v>
      </c>
      <c r="AE51">
        <f t="shared" si="56"/>
        <v>0</v>
      </c>
      <c r="AF51">
        <f t="shared" si="57"/>
        <v>0</v>
      </c>
      <c r="AG51">
        <f t="shared" si="28"/>
        <v>0</v>
      </c>
      <c r="AH51">
        <f t="shared" si="58"/>
        <v>0</v>
      </c>
      <c r="AI51">
        <f t="shared" si="59"/>
        <v>0</v>
      </c>
      <c r="AJ51">
        <f t="shared" si="30"/>
        <v>0</v>
      </c>
      <c r="AK51">
        <v>128</v>
      </c>
      <c r="AL51">
        <v>128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6.08</v>
      </c>
      <c r="BA51">
        <v>1</v>
      </c>
      <c r="BB51">
        <v>1</v>
      </c>
      <c r="BC51">
        <v>6.08</v>
      </c>
      <c r="BD51" t="s">
        <v>4</v>
      </c>
      <c r="BE51" t="s">
        <v>4</v>
      </c>
      <c r="BF51" t="s">
        <v>4</v>
      </c>
      <c r="BG51" t="s">
        <v>4</v>
      </c>
      <c r="BH51">
        <v>3</v>
      </c>
      <c r="BI51">
        <v>1</v>
      </c>
      <c r="BJ51" t="s">
        <v>85</v>
      </c>
      <c r="BM51">
        <v>11001</v>
      </c>
      <c r="BN51">
        <v>0</v>
      </c>
      <c r="BO51" t="s">
        <v>4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4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4</v>
      </c>
      <c r="CO51">
        <v>0</v>
      </c>
      <c r="CP51">
        <f t="shared" si="31"/>
        <v>15.56</v>
      </c>
      <c r="CQ51">
        <f t="shared" si="32"/>
        <v>778.24</v>
      </c>
      <c r="CR51">
        <f t="shared" si="33"/>
        <v>0</v>
      </c>
      <c r="CS51">
        <f t="shared" si="34"/>
        <v>0</v>
      </c>
      <c r="CT51">
        <f t="shared" si="35"/>
        <v>0</v>
      </c>
      <c r="CU51">
        <f t="shared" si="36"/>
        <v>0</v>
      </c>
      <c r="CV51">
        <f t="shared" si="37"/>
        <v>0</v>
      </c>
      <c r="CW51">
        <f t="shared" si="38"/>
        <v>0</v>
      </c>
      <c r="CX51">
        <f t="shared" si="39"/>
        <v>0</v>
      </c>
      <c r="CY51">
        <f t="shared" si="40"/>
        <v>0</v>
      </c>
      <c r="CZ51">
        <f t="shared" si="41"/>
        <v>0</v>
      </c>
      <c r="DC51" t="s">
        <v>4</v>
      </c>
      <c r="DD51" t="s">
        <v>4</v>
      </c>
      <c r="DE51" t="s">
        <v>4</v>
      </c>
      <c r="DF51" t="s">
        <v>4</v>
      </c>
      <c r="DG51" t="s">
        <v>4</v>
      </c>
      <c r="DH51" t="s">
        <v>4</v>
      </c>
      <c r="DI51" t="s">
        <v>4</v>
      </c>
      <c r="DJ51" t="s">
        <v>4</v>
      </c>
      <c r="DK51" t="s">
        <v>4</v>
      </c>
      <c r="DL51" t="s">
        <v>4</v>
      </c>
      <c r="DM51" t="s">
        <v>4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67</v>
      </c>
      <c r="DW51" t="s">
        <v>67</v>
      </c>
      <c r="DX51">
        <v>100</v>
      </c>
      <c r="EE51">
        <v>16510488</v>
      </c>
      <c r="EF51">
        <v>2</v>
      </c>
      <c r="EG51" t="s">
        <v>31</v>
      </c>
      <c r="EH51">
        <v>0</v>
      </c>
      <c r="EI51" t="s">
        <v>4</v>
      </c>
      <c r="EJ51">
        <v>1</v>
      </c>
      <c r="EK51">
        <v>11001</v>
      </c>
      <c r="EL51" t="s">
        <v>18</v>
      </c>
      <c r="EM51" t="s">
        <v>32</v>
      </c>
      <c r="EO51" t="s">
        <v>4</v>
      </c>
      <c r="EQ51">
        <v>0</v>
      </c>
      <c r="ER51">
        <v>128</v>
      </c>
      <c r="ES51">
        <v>128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2"/>
        <v>0</v>
      </c>
      <c r="FS51">
        <v>0</v>
      </c>
      <c r="FT51" t="s">
        <v>34</v>
      </c>
      <c r="FU51" t="s">
        <v>35</v>
      </c>
      <c r="FX51">
        <v>110.7</v>
      </c>
      <c r="FY51">
        <v>63.75</v>
      </c>
      <c r="GA51" t="s">
        <v>4</v>
      </c>
      <c r="GD51">
        <v>0</v>
      </c>
      <c r="GF51">
        <v>1800897042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3"/>
        <v>0</v>
      </c>
      <c r="GM51">
        <f t="shared" si="44"/>
        <v>15.56</v>
      </c>
      <c r="GN51">
        <f t="shared" si="45"/>
        <v>15.56</v>
      </c>
      <c r="GO51">
        <f t="shared" si="46"/>
        <v>0</v>
      </c>
      <c r="GP51">
        <f t="shared" si="47"/>
        <v>0</v>
      </c>
      <c r="GR51">
        <v>0</v>
      </c>
      <c r="GS51">
        <v>3</v>
      </c>
      <c r="GT51">
        <v>0</v>
      </c>
      <c r="GU51" t="s">
        <v>4</v>
      </c>
      <c r="GV51">
        <f t="shared" si="48"/>
        <v>0</v>
      </c>
      <c r="GW51">
        <v>1</v>
      </c>
      <c r="GX51">
        <f t="shared" si="49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62</v>
      </c>
      <c r="D52" s="2"/>
      <c r="E52" s="2" t="s">
        <v>86</v>
      </c>
      <c r="F52" s="2" t="s">
        <v>87</v>
      </c>
      <c r="G52" s="2" t="s">
        <v>88</v>
      </c>
      <c r="H52" s="2" t="s">
        <v>67</v>
      </c>
      <c r="I52" s="2">
        <f>I40*J52</f>
        <v>0.02</v>
      </c>
      <c r="J52" s="2">
        <v>8.3333333333333343E-2</v>
      </c>
      <c r="K52" s="2"/>
      <c r="L52" s="2"/>
      <c r="M52" s="2"/>
      <c r="N52" s="2"/>
      <c r="O52" s="2">
        <f t="shared" si="14"/>
        <v>2.56</v>
      </c>
      <c r="P52" s="2">
        <f t="shared" si="15"/>
        <v>2.56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16500983</v>
      </c>
      <c r="AB52" s="2">
        <f t="shared" si="25"/>
        <v>128</v>
      </c>
      <c r="AC52" s="2">
        <f t="shared" si="51"/>
        <v>128</v>
      </c>
      <c r="AD52" s="2">
        <f t="shared" si="55"/>
        <v>0</v>
      </c>
      <c r="AE52" s="2">
        <f t="shared" si="56"/>
        <v>0</v>
      </c>
      <c r="AF52" s="2">
        <f t="shared" si="57"/>
        <v>0</v>
      </c>
      <c r="AG52" s="2">
        <f t="shared" si="28"/>
        <v>0</v>
      </c>
      <c r="AH52" s="2">
        <f t="shared" si="58"/>
        <v>0</v>
      </c>
      <c r="AI52" s="2">
        <f t="shared" si="59"/>
        <v>0</v>
      </c>
      <c r="AJ52" s="2">
        <f t="shared" si="30"/>
        <v>0</v>
      </c>
      <c r="AK52" s="2">
        <v>128</v>
      </c>
      <c r="AL52" s="2">
        <v>128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111</v>
      </c>
      <c r="AU52" s="2">
        <v>64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4</v>
      </c>
      <c r="BE52" s="2" t="s">
        <v>4</v>
      </c>
      <c r="BF52" s="2" t="s">
        <v>4</v>
      </c>
      <c r="BG52" s="2" t="s">
        <v>4</v>
      </c>
      <c r="BH52" s="2">
        <v>3</v>
      </c>
      <c r="BI52" s="2">
        <v>1</v>
      </c>
      <c r="BJ52" s="2" t="s">
        <v>89</v>
      </c>
      <c r="BK52" s="2"/>
      <c r="BL52" s="2"/>
      <c r="BM52" s="2">
        <v>11001</v>
      </c>
      <c r="BN52" s="2">
        <v>0</v>
      </c>
      <c r="BO52" s="2" t="s">
        <v>4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4</v>
      </c>
      <c r="BZ52" s="2">
        <v>123</v>
      </c>
      <c r="CA52" s="2">
        <v>75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4</v>
      </c>
      <c r="CO52" s="2">
        <v>0</v>
      </c>
      <c r="CP52" s="2">
        <f t="shared" si="31"/>
        <v>2.56</v>
      </c>
      <c r="CQ52" s="2">
        <f t="shared" si="32"/>
        <v>128</v>
      </c>
      <c r="CR52" s="2">
        <f t="shared" si="33"/>
        <v>0</v>
      </c>
      <c r="CS52" s="2">
        <f t="shared" si="34"/>
        <v>0</v>
      </c>
      <c r="CT52" s="2">
        <f t="shared" si="35"/>
        <v>0</v>
      </c>
      <c r="CU52" s="2">
        <f t="shared" si="36"/>
        <v>0</v>
      </c>
      <c r="CV52" s="2">
        <f t="shared" si="37"/>
        <v>0</v>
      </c>
      <c r="CW52" s="2">
        <f t="shared" si="38"/>
        <v>0</v>
      </c>
      <c r="CX52" s="2">
        <f t="shared" si="39"/>
        <v>0</v>
      </c>
      <c r="CY52" s="2">
        <f t="shared" si="40"/>
        <v>0</v>
      </c>
      <c r="CZ52" s="2">
        <f t="shared" si="41"/>
        <v>0</v>
      </c>
      <c r="DA52" s="2"/>
      <c r="DB52" s="2"/>
      <c r="DC52" s="2" t="s">
        <v>4</v>
      </c>
      <c r="DD52" s="2" t="s">
        <v>4</v>
      </c>
      <c r="DE52" s="2" t="s">
        <v>4</v>
      </c>
      <c r="DF52" s="2" t="s">
        <v>4</v>
      </c>
      <c r="DG52" s="2" t="s">
        <v>4</v>
      </c>
      <c r="DH52" s="2" t="s">
        <v>4</v>
      </c>
      <c r="DI52" s="2" t="s">
        <v>4</v>
      </c>
      <c r="DJ52" s="2" t="s">
        <v>4</v>
      </c>
      <c r="DK52" s="2" t="s">
        <v>4</v>
      </c>
      <c r="DL52" s="2" t="s">
        <v>4</v>
      </c>
      <c r="DM52" s="2" t="s">
        <v>4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1010</v>
      </c>
      <c r="DV52" s="2" t="s">
        <v>67</v>
      </c>
      <c r="DW52" s="2" t="s">
        <v>67</v>
      </c>
      <c r="DX52" s="2">
        <v>100</v>
      </c>
      <c r="DY52" s="2"/>
      <c r="DZ52" s="2"/>
      <c r="EA52" s="2"/>
      <c r="EB52" s="2"/>
      <c r="EC52" s="2"/>
      <c r="ED52" s="2"/>
      <c r="EE52" s="2">
        <v>16510488</v>
      </c>
      <c r="EF52" s="2">
        <v>2</v>
      </c>
      <c r="EG52" s="2" t="s">
        <v>31</v>
      </c>
      <c r="EH52" s="2">
        <v>0</v>
      </c>
      <c r="EI52" s="2" t="s">
        <v>4</v>
      </c>
      <c r="EJ52" s="2">
        <v>1</v>
      </c>
      <c r="EK52" s="2">
        <v>11001</v>
      </c>
      <c r="EL52" s="2" t="s">
        <v>18</v>
      </c>
      <c r="EM52" s="2" t="s">
        <v>32</v>
      </c>
      <c r="EN52" s="2"/>
      <c r="EO52" s="2" t="s">
        <v>4</v>
      </c>
      <c r="EP52" s="2"/>
      <c r="EQ52" s="2">
        <v>0</v>
      </c>
      <c r="ER52" s="2">
        <v>128</v>
      </c>
      <c r="ES52" s="2">
        <v>128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2"/>
        <v>0</v>
      </c>
      <c r="FS52" s="2">
        <v>0</v>
      </c>
      <c r="FT52" s="2" t="s">
        <v>34</v>
      </c>
      <c r="FU52" s="2" t="s">
        <v>35</v>
      </c>
      <c r="FV52" s="2"/>
      <c r="FW52" s="2"/>
      <c r="FX52" s="2">
        <v>110.7</v>
      </c>
      <c r="FY52" s="2">
        <v>63.75</v>
      </c>
      <c r="FZ52" s="2"/>
      <c r="GA52" s="2" t="s">
        <v>4</v>
      </c>
      <c r="GB52" s="2"/>
      <c r="GC52" s="2"/>
      <c r="GD52" s="2">
        <v>0</v>
      </c>
      <c r="GE52" s="2"/>
      <c r="GF52" s="2">
        <v>952646044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3"/>
        <v>0</v>
      </c>
      <c r="GM52" s="2">
        <f t="shared" si="44"/>
        <v>2.56</v>
      </c>
      <c r="GN52" s="2">
        <f t="shared" si="45"/>
        <v>2.56</v>
      </c>
      <c r="GO52" s="2">
        <f t="shared" si="46"/>
        <v>0</v>
      </c>
      <c r="GP52" s="2">
        <f t="shared" si="47"/>
        <v>0</v>
      </c>
      <c r="GQ52" s="2"/>
      <c r="GR52" s="2">
        <v>0</v>
      </c>
      <c r="GS52" s="2">
        <v>3</v>
      </c>
      <c r="GT52" s="2">
        <v>0</v>
      </c>
      <c r="GU52" s="2" t="s">
        <v>4</v>
      </c>
      <c r="GV52" s="2">
        <f t="shared" si="48"/>
        <v>0</v>
      </c>
      <c r="GW52" s="2">
        <v>1</v>
      </c>
      <c r="GX52" s="2">
        <f t="shared" si="49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74</v>
      </c>
      <c r="E53" t="s">
        <v>86</v>
      </c>
      <c r="F53" t="s">
        <v>87</v>
      </c>
      <c r="G53" t="s">
        <v>88</v>
      </c>
      <c r="H53" t="s">
        <v>67</v>
      </c>
      <c r="I53">
        <f>I41*J53</f>
        <v>0.02</v>
      </c>
      <c r="J53">
        <v>8.3333333333333343E-2</v>
      </c>
      <c r="O53">
        <f t="shared" si="14"/>
        <v>15.56</v>
      </c>
      <c r="P53">
        <f t="shared" si="15"/>
        <v>15.56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16500997</v>
      </c>
      <c r="AB53">
        <f t="shared" si="25"/>
        <v>128</v>
      </c>
      <c r="AC53">
        <f t="shared" si="51"/>
        <v>128</v>
      </c>
      <c r="AD53">
        <f t="shared" si="55"/>
        <v>0</v>
      </c>
      <c r="AE53">
        <f t="shared" si="56"/>
        <v>0</v>
      </c>
      <c r="AF53">
        <f t="shared" si="57"/>
        <v>0</v>
      </c>
      <c r="AG53">
        <f t="shared" si="28"/>
        <v>0</v>
      </c>
      <c r="AH53">
        <f t="shared" si="58"/>
        <v>0</v>
      </c>
      <c r="AI53">
        <f t="shared" si="59"/>
        <v>0</v>
      </c>
      <c r="AJ53">
        <f t="shared" si="30"/>
        <v>0</v>
      </c>
      <c r="AK53">
        <v>128</v>
      </c>
      <c r="AL53">
        <v>128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6.08</v>
      </c>
      <c r="BA53">
        <v>1</v>
      </c>
      <c r="BB53">
        <v>1</v>
      </c>
      <c r="BC53">
        <v>6.08</v>
      </c>
      <c r="BD53" t="s">
        <v>4</v>
      </c>
      <c r="BE53" t="s">
        <v>4</v>
      </c>
      <c r="BF53" t="s">
        <v>4</v>
      </c>
      <c r="BG53" t="s">
        <v>4</v>
      </c>
      <c r="BH53">
        <v>3</v>
      </c>
      <c r="BI53">
        <v>1</v>
      </c>
      <c r="BJ53" t="s">
        <v>89</v>
      </c>
      <c r="BM53">
        <v>11001</v>
      </c>
      <c r="BN53">
        <v>0</v>
      </c>
      <c r="BO53" t="s">
        <v>4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4</v>
      </c>
      <c r="BZ53">
        <v>123</v>
      </c>
      <c r="CA53">
        <v>75</v>
      </c>
      <c r="CF53">
        <v>0</v>
      </c>
      <c r="CG53">
        <v>0</v>
      </c>
      <c r="CM53">
        <v>0</v>
      </c>
      <c r="CN53" t="s">
        <v>4</v>
      </c>
      <c r="CO53">
        <v>0</v>
      </c>
      <c r="CP53">
        <f t="shared" si="31"/>
        <v>15.56</v>
      </c>
      <c r="CQ53">
        <f t="shared" si="32"/>
        <v>778.24</v>
      </c>
      <c r="CR53">
        <f t="shared" si="33"/>
        <v>0</v>
      </c>
      <c r="CS53">
        <f t="shared" si="34"/>
        <v>0</v>
      </c>
      <c r="CT53">
        <f t="shared" si="35"/>
        <v>0</v>
      </c>
      <c r="CU53">
        <f t="shared" si="36"/>
        <v>0</v>
      </c>
      <c r="CV53">
        <f t="shared" si="37"/>
        <v>0</v>
      </c>
      <c r="CW53">
        <f t="shared" si="38"/>
        <v>0</v>
      </c>
      <c r="CX53">
        <f t="shared" si="39"/>
        <v>0</v>
      </c>
      <c r="CY53">
        <f t="shared" si="40"/>
        <v>0</v>
      </c>
      <c r="CZ53">
        <f t="shared" si="41"/>
        <v>0</v>
      </c>
      <c r="DC53" t="s">
        <v>4</v>
      </c>
      <c r="DD53" t="s">
        <v>4</v>
      </c>
      <c r="DE53" t="s">
        <v>4</v>
      </c>
      <c r="DF53" t="s">
        <v>4</v>
      </c>
      <c r="DG53" t="s">
        <v>4</v>
      </c>
      <c r="DH53" t="s">
        <v>4</v>
      </c>
      <c r="DI53" t="s">
        <v>4</v>
      </c>
      <c r="DJ53" t="s">
        <v>4</v>
      </c>
      <c r="DK53" t="s">
        <v>4</v>
      </c>
      <c r="DL53" t="s">
        <v>4</v>
      </c>
      <c r="DM53" t="s">
        <v>4</v>
      </c>
      <c r="DN53">
        <v>0</v>
      </c>
      <c r="DO53">
        <v>0</v>
      </c>
      <c r="DP53">
        <v>1</v>
      </c>
      <c r="DQ53">
        <v>1</v>
      </c>
      <c r="DU53">
        <v>1010</v>
      </c>
      <c r="DV53" t="s">
        <v>67</v>
      </c>
      <c r="DW53" t="s">
        <v>67</v>
      </c>
      <c r="DX53">
        <v>100</v>
      </c>
      <c r="EE53">
        <v>16510488</v>
      </c>
      <c r="EF53">
        <v>2</v>
      </c>
      <c r="EG53" t="s">
        <v>31</v>
      </c>
      <c r="EH53">
        <v>0</v>
      </c>
      <c r="EI53" t="s">
        <v>4</v>
      </c>
      <c r="EJ53">
        <v>1</v>
      </c>
      <c r="EK53">
        <v>11001</v>
      </c>
      <c r="EL53" t="s">
        <v>18</v>
      </c>
      <c r="EM53" t="s">
        <v>32</v>
      </c>
      <c r="EO53" t="s">
        <v>4</v>
      </c>
      <c r="EQ53">
        <v>0</v>
      </c>
      <c r="ER53">
        <v>128</v>
      </c>
      <c r="ES53">
        <v>128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2"/>
        <v>0</v>
      </c>
      <c r="FS53">
        <v>0</v>
      </c>
      <c r="FT53" t="s">
        <v>34</v>
      </c>
      <c r="FU53" t="s">
        <v>35</v>
      </c>
      <c r="FX53">
        <v>110.7</v>
      </c>
      <c r="FY53">
        <v>63.75</v>
      </c>
      <c r="GA53" t="s">
        <v>4</v>
      </c>
      <c r="GD53">
        <v>0</v>
      </c>
      <c r="GF53">
        <v>952646044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3"/>
        <v>0</v>
      </c>
      <c r="GM53">
        <f t="shared" si="44"/>
        <v>15.56</v>
      </c>
      <c r="GN53">
        <f t="shared" si="45"/>
        <v>15.56</v>
      </c>
      <c r="GO53">
        <f t="shared" si="46"/>
        <v>0</v>
      </c>
      <c r="GP53">
        <f t="shared" si="47"/>
        <v>0</v>
      </c>
      <c r="GR53">
        <v>0</v>
      </c>
      <c r="GS53">
        <v>3</v>
      </c>
      <c r="GT53">
        <v>0</v>
      </c>
      <c r="GU53" t="s">
        <v>4</v>
      </c>
      <c r="GV53">
        <f t="shared" si="48"/>
        <v>0</v>
      </c>
      <c r="GW53">
        <v>1</v>
      </c>
      <c r="GX53">
        <f t="shared" si="49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ROW(SmtRes!A75)</f>
        <v>75</v>
      </c>
      <c r="D54" s="2">
        <f>ROW(EtalonRes!A77)</f>
        <v>77</v>
      </c>
      <c r="E54" s="2" t="s">
        <v>90</v>
      </c>
      <c r="F54" s="2" t="s">
        <v>91</v>
      </c>
      <c r="G54" s="2" t="s">
        <v>92</v>
      </c>
      <c r="H54" s="2" t="s">
        <v>50</v>
      </c>
      <c r="I54" s="2">
        <v>121.3</v>
      </c>
      <c r="J54" s="2">
        <v>0</v>
      </c>
      <c r="K54" s="2"/>
      <c r="L54" s="2"/>
      <c r="M54" s="2"/>
      <c r="N54" s="2"/>
      <c r="O54" s="2">
        <f t="shared" si="14"/>
        <v>1071.32</v>
      </c>
      <c r="P54" s="2">
        <f t="shared" si="15"/>
        <v>0</v>
      </c>
      <c r="Q54" s="2">
        <f t="shared" si="16"/>
        <v>0</v>
      </c>
      <c r="R54" s="2">
        <f t="shared" si="17"/>
        <v>0</v>
      </c>
      <c r="S54" s="2">
        <f t="shared" si="18"/>
        <v>1071.32</v>
      </c>
      <c r="T54" s="2">
        <f t="shared" si="19"/>
        <v>0</v>
      </c>
      <c r="U54" s="2">
        <f t="shared" si="20"/>
        <v>125.54549999999999</v>
      </c>
      <c r="V54" s="2">
        <f t="shared" si="21"/>
        <v>0</v>
      </c>
      <c r="W54" s="2">
        <f t="shared" si="22"/>
        <v>0</v>
      </c>
      <c r="X54" s="2">
        <f t="shared" si="23"/>
        <v>867.77</v>
      </c>
      <c r="Y54" s="2">
        <f t="shared" si="24"/>
        <v>642.79</v>
      </c>
      <c r="Z54" s="2"/>
      <c r="AA54" s="2">
        <v>16500983</v>
      </c>
      <c r="AB54" s="2">
        <f t="shared" si="25"/>
        <v>8.8320000000000007</v>
      </c>
      <c r="AC54" s="2">
        <f t="shared" si="51"/>
        <v>0</v>
      </c>
      <c r="AD54" s="2">
        <f>ROUND(((((ET54*1.25))-((EU54*1.25)))+AE54),6)</f>
        <v>0</v>
      </c>
      <c r="AE54" s="2">
        <f>ROUND(((EU54*1.25)),6)</f>
        <v>0</v>
      </c>
      <c r="AF54" s="2">
        <f>ROUND(((EV54*1.15)),6)</f>
        <v>8.8320000000000007</v>
      </c>
      <c r="AG54" s="2">
        <f t="shared" si="28"/>
        <v>0</v>
      </c>
      <c r="AH54" s="2">
        <f>((EW54*1.15))</f>
        <v>1.0349999999999999</v>
      </c>
      <c r="AI54" s="2">
        <f>((EX54*1.25))</f>
        <v>0</v>
      </c>
      <c r="AJ54" s="2">
        <f t="shared" si="30"/>
        <v>0</v>
      </c>
      <c r="AK54" s="2">
        <v>7.68</v>
      </c>
      <c r="AL54" s="2">
        <v>0</v>
      </c>
      <c r="AM54" s="2">
        <v>0</v>
      </c>
      <c r="AN54" s="2">
        <v>0</v>
      </c>
      <c r="AO54" s="2">
        <v>7.68</v>
      </c>
      <c r="AP54" s="2">
        <v>0</v>
      </c>
      <c r="AQ54" s="2">
        <v>0.9</v>
      </c>
      <c r="AR54" s="2">
        <v>0</v>
      </c>
      <c r="AS54" s="2">
        <v>0</v>
      </c>
      <c r="AT54" s="2">
        <v>81</v>
      </c>
      <c r="AU54" s="2">
        <v>60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4</v>
      </c>
      <c r="BE54" s="2" t="s">
        <v>4</v>
      </c>
      <c r="BF54" s="2" t="s">
        <v>4</v>
      </c>
      <c r="BG54" s="2" t="s">
        <v>4</v>
      </c>
      <c r="BH54" s="2">
        <v>0</v>
      </c>
      <c r="BI54" s="2">
        <v>1</v>
      </c>
      <c r="BJ54" s="2" t="s">
        <v>93</v>
      </c>
      <c r="BK54" s="2"/>
      <c r="BL54" s="2"/>
      <c r="BM54" s="2">
        <v>13001</v>
      </c>
      <c r="BN54" s="2">
        <v>0</v>
      </c>
      <c r="BO54" s="2" t="s">
        <v>4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4</v>
      </c>
      <c r="BZ54" s="2">
        <v>90</v>
      </c>
      <c r="CA54" s="2">
        <v>70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322</v>
      </c>
      <c r="CO54" s="2">
        <v>0</v>
      </c>
      <c r="CP54" s="2">
        <f t="shared" si="31"/>
        <v>1071.32</v>
      </c>
      <c r="CQ54" s="2">
        <f t="shared" si="32"/>
        <v>0</v>
      </c>
      <c r="CR54" s="2">
        <f t="shared" si="33"/>
        <v>0</v>
      </c>
      <c r="CS54" s="2">
        <f t="shared" si="34"/>
        <v>0</v>
      </c>
      <c r="CT54" s="2">
        <f t="shared" si="35"/>
        <v>8.8320000000000007</v>
      </c>
      <c r="CU54" s="2">
        <f t="shared" si="36"/>
        <v>0</v>
      </c>
      <c r="CV54" s="2">
        <f t="shared" si="37"/>
        <v>1.0349999999999999</v>
      </c>
      <c r="CW54" s="2">
        <f t="shared" si="38"/>
        <v>0</v>
      </c>
      <c r="CX54" s="2">
        <f t="shared" si="39"/>
        <v>0</v>
      </c>
      <c r="CY54" s="2">
        <f t="shared" si="40"/>
        <v>867.76919999999996</v>
      </c>
      <c r="CZ54" s="2">
        <f t="shared" si="41"/>
        <v>642.79199999999992</v>
      </c>
      <c r="DA54" s="2"/>
      <c r="DB54" s="2"/>
      <c r="DC54" s="2" t="s">
        <v>4</v>
      </c>
      <c r="DD54" s="2" t="s">
        <v>4</v>
      </c>
      <c r="DE54" s="2" t="s">
        <v>29</v>
      </c>
      <c r="DF54" s="2" t="s">
        <v>29</v>
      </c>
      <c r="DG54" s="2" t="s">
        <v>30</v>
      </c>
      <c r="DH54" s="2" t="s">
        <v>4</v>
      </c>
      <c r="DI54" s="2" t="s">
        <v>30</v>
      </c>
      <c r="DJ54" s="2" t="s">
        <v>29</v>
      </c>
      <c r="DK54" s="2" t="s">
        <v>4</v>
      </c>
      <c r="DL54" s="2" t="s">
        <v>4</v>
      </c>
      <c r="DM54" s="2" t="s">
        <v>4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50</v>
      </c>
      <c r="DW54" s="2" t="s">
        <v>50</v>
      </c>
      <c r="DX54" s="2">
        <v>1</v>
      </c>
      <c r="DY54" s="2"/>
      <c r="DZ54" s="2"/>
      <c r="EA54" s="2"/>
      <c r="EB54" s="2"/>
      <c r="EC54" s="2"/>
      <c r="ED54" s="2"/>
      <c r="EE54" s="2">
        <v>16510490</v>
      </c>
      <c r="EF54" s="2">
        <v>2</v>
      </c>
      <c r="EG54" s="2" t="s">
        <v>31</v>
      </c>
      <c r="EH54" s="2">
        <v>0</v>
      </c>
      <c r="EI54" s="2" t="s">
        <v>4</v>
      </c>
      <c r="EJ54" s="2">
        <v>1</v>
      </c>
      <c r="EK54" s="2">
        <v>13001</v>
      </c>
      <c r="EL54" s="2" t="s">
        <v>94</v>
      </c>
      <c r="EM54" s="2" t="s">
        <v>95</v>
      </c>
      <c r="EN54" s="2"/>
      <c r="EO54" s="2" t="s">
        <v>33</v>
      </c>
      <c r="EP54" s="2"/>
      <c r="EQ54" s="2">
        <v>0</v>
      </c>
      <c r="ER54" s="2">
        <v>7.68</v>
      </c>
      <c r="ES54" s="2">
        <v>0</v>
      </c>
      <c r="ET54" s="2">
        <v>0</v>
      </c>
      <c r="EU54" s="2">
        <v>0</v>
      </c>
      <c r="EV54" s="2">
        <v>7.68</v>
      </c>
      <c r="EW54" s="2">
        <v>0.9</v>
      </c>
      <c r="EX54" s="2">
        <v>0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2"/>
        <v>0</v>
      </c>
      <c r="FS54" s="2">
        <v>0</v>
      </c>
      <c r="FT54" s="2" t="s">
        <v>34</v>
      </c>
      <c r="FU54" s="2" t="s">
        <v>35</v>
      </c>
      <c r="FV54" s="2"/>
      <c r="FW54" s="2"/>
      <c r="FX54" s="2">
        <v>81</v>
      </c>
      <c r="FY54" s="2">
        <v>59.5</v>
      </c>
      <c r="FZ54" s="2"/>
      <c r="GA54" s="2" t="s">
        <v>4</v>
      </c>
      <c r="GB54" s="2"/>
      <c r="GC54" s="2"/>
      <c r="GD54" s="2">
        <v>0</v>
      </c>
      <c r="GE54" s="2"/>
      <c r="GF54" s="2">
        <v>-1482825381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3"/>
        <v>0</v>
      </c>
      <c r="GM54" s="2">
        <f t="shared" si="44"/>
        <v>2581.88</v>
      </c>
      <c r="GN54" s="2">
        <f t="shared" si="45"/>
        <v>2581.88</v>
      </c>
      <c r="GO54" s="2">
        <f t="shared" si="46"/>
        <v>0</v>
      </c>
      <c r="GP54" s="2">
        <f t="shared" si="47"/>
        <v>0</v>
      </c>
      <c r="GQ54" s="2"/>
      <c r="GR54" s="2">
        <v>0</v>
      </c>
      <c r="GS54" s="2">
        <v>3</v>
      </c>
      <c r="GT54" s="2">
        <v>0</v>
      </c>
      <c r="GU54" s="2" t="s">
        <v>4</v>
      </c>
      <c r="GV54" s="2">
        <f t="shared" si="48"/>
        <v>0</v>
      </c>
      <c r="GW54" s="2">
        <v>1</v>
      </c>
      <c r="GX54" s="2">
        <f t="shared" si="49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ROW(SmtRes!A76)</f>
        <v>76</v>
      </c>
      <c r="D55">
        <f>ROW(EtalonRes!A78)</f>
        <v>78</v>
      </c>
      <c r="E55" t="s">
        <v>90</v>
      </c>
      <c r="F55" t="s">
        <v>91</v>
      </c>
      <c r="G55" t="s">
        <v>92</v>
      </c>
      <c r="H55" t="s">
        <v>50</v>
      </c>
      <c r="I55">
        <v>121.3</v>
      </c>
      <c r="J55">
        <v>0</v>
      </c>
      <c r="O55">
        <f t="shared" si="14"/>
        <v>6513.64</v>
      </c>
      <c r="P55">
        <f t="shared" si="15"/>
        <v>0</v>
      </c>
      <c r="Q55">
        <f t="shared" si="16"/>
        <v>0</v>
      </c>
      <c r="R55">
        <f t="shared" si="17"/>
        <v>0</v>
      </c>
      <c r="S55">
        <f t="shared" si="18"/>
        <v>6513.64</v>
      </c>
      <c r="T55">
        <f t="shared" si="19"/>
        <v>0</v>
      </c>
      <c r="U55">
        <f t="shared" si="20"/>
        <v>125.54549999999999</v>
      </c>
      <c r="V55">
        <f t="shared" si="21"/>
        <v>0</v>
      </c>
      <c r="W55">
        <f t="shared" si="22"/>
        <v>0</v>
      </c>
      <c r="X55">
        <f t="shared" si="23"/>
        <v>5276.05</v>
      </c>
      <c r="Y55">
        <f t="shared" si="24"/>
        <v>3908.18</v>
      </c>
      <c r="AA55">
        <v>16500997</v>
      </c>
      <c r="AB55">
        <f t="shared" si="25"/>
        <v>8.8320000000000007</v>
      </c>
      <c r="AC55">
        <f t="shared" si="51"/>
        <v>0</v>
      </c>
      <c r="AD55">
        <f>ROUND(((((ET55*1.25))-((EU55*1.25)))+AE55),6)</f>
        <v>0</v>
      </c>
      <c r="AE55">
        <f>ROUND(((EU55*1.25)),6)</f>
        <v>0</v>
      </c>
      <c r="AF55">
        <f>ROUND(((EV55*1.15)),6)</f>
        <v>8.8320000000000007</v>
      </c>
      <c r="AG55">
        <f t="shared" si="28"/>
        <v>0</v>
      </c>
      <c r="AH55">
        <f>((EW55*1.15))</f>
        <v>1.0349999999999999</v>
      </c>
      <c r="AI55">
        <f>((EX55*1.25))</f>
        <v>0</v>
      </c>
      <c r="AJ55">
        <f t="shared" si="30"/>
        <v>0</v>
      </c>
      <c r="AK55">
        <v>7.68</v>
      </c>
      <c r="AL55">
        <v>0</v>
      </c>
      <c r="AM55">
        <v>0</v>
      </c>
      <c r="AN55">
        <v>0</v>
      </c>
      <c r="AO55">
        <v>7.68</v>
      </c>
      <c r="AP55">
        <v>0</v>
      </c>
      <c r="AQ55">
        <v>0.9</v>
      </c>
      <c r="AR55">
        <v>0</v>
      </c>
      <c r="AS55">
        <v>0</v>
      </c>
      <c r="AT55">
        <v>81</v>
      </c>
      <c r="AU55">
        <v>60</v>
      </c>
      <c r="AV55">
        <v>1</v>
      </c>
      <c r="AW55">
        <v>1</v>
      </c>
      <c r="AZ55">
        <v>6.08</v>
      </c>
      <c r="BA55">
        <v>6.08</v>
      </c>
      <c r="BB55">
        <v>6.08</v>
      </c>
      <c r="BC55">
        <v>6.08</v>
      </c>
      <c r="BD55" t="s">
        <v>4</v>
      </c>
      <c r="BE55" t="s">
        <v>4</v>
      </c>
      <c r="BF55" t="s">
        <v>4</v>
      </c>
      <c r="BG55" t="s">
        <v>4</v>
      </c>
      <c r="BH55">
        <v>0</v>
      </c>
      <c r="BI55">
        <v>1</v>
      </c>
      <c r="BJ55" t="s">
        <v>93</v>
      </c>
      <c r="BM55">
        <v>13001</v>
      </c>
      <c r="BN55">
        <v>0</v>
      </c>
      <c r="BO55" t="s">
        <v>4</v>
      </c>
      <c r="BP55">
        <v>0</v>
      </c>
      <c r="BQ55">
        <v>2</v>
      </c>
      <c r="BR55">
        <v>0</v>
      </c>
      <c r="BS55">
        <v>6.08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4</v>
      </c>
      <c r="BZ55">
        <v>90</v>
      </c>
      <c r="CA55">
        <v>70</v>
      </c>
      <c r="CF55">
        <v>0</v>
      </c>
      <c r="CG55">
        <v>0</v>
      </c>
      <c r="CM55">
        <v>0</v>
      </c>
      <c r="CN55" t="s">
        <v>322</v>
      </c>
      <c r="CO55">
        <v>0</v>
      </c>
      <c r="CP55">
        <f t="shared" si="31"/>
        <v>6513.64</v>
      </c>
      <c r="CQ55">
        <f t="shared" si="32"/>
        <v>0</v>
      </c>
      <c r="CR55">
        <f t="shared" si="33"/>
        <v>0</v>
      </c>
      <c r="CS55">
        <f t="shared" si="34"/>
        <v>0</v>
      </c>
      <c r="CT55">
        <f t="shared" si="35"/>
        <v>53.698560000000008</v>
      </c>
      <c r="CU55">
        <f t="shared" si="36"/>
        <v>0</v>
      </c>
      <c r="CV55">
        <f t="shared" si="37"/>
        <v>1.0349999999999999</v>
      </c>
      <c r="CW55">
        <f t="shared" si="38"/>
        <v>0</v>
      </c>
      <c r="CX55">
        <f t="shared" si="39"/>
        <v>0</v>
      </c>
      <c r="CY55">
        <f t="shared" si="40"/>
        <v>5276.0484000000006</v>
      </c>
      <c r="CZ55">
        <f t="shared" si="41"/>
        <v>3908.1840000000002</v>
      </c>
      <c r="DC55" t="s">
        <v>4</v>
      </c>
      <c r="DD55" t="s">
        <v>4</v>
      </c>
      <c r="DE55" t="s">
        <v>29</v>
      </c>
      <c r="DF55" t="s">
        <v>29</v>
      </c>
      <c r="DG55" t="s">
        <v>30</v>
      </c>
      <c r="DH55" t="s">
        <v>4</v>
      </c>
      <c r="DI55" t="s">
        <v>30</v>
      </c>
      <c r="DJ55" t="s">
        <v>29</v>
      </c>
      <c r="DK55" t="s">
        <v>4</v>
      </c>
      <c r="DL55" t="s">
        <v>4</v>
      </c>
      <c r="DM55" t="s">
        <v>4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50</v>
      </c>
      <c r="DW55" t="s">
        <v>50</v>
      </c>
      <c r="DX55">
        <v>1</v>
      </c>
      <c r="EE55">
        <v>16510490</v>
      </c>
      <c r="EF55">
        <v>2</v>
      </c>
      <c r="EG55" t="s">
        <v>31</v>
      </c>
      <c r="EH55">
        <v>0</v>
      </c>
      <c r="EI55" t="s">
        <v>4</v>
      </c>
      <c r="EJ55">
        <v>1</v>
      </c>
      <c r="EK55">
        <v>13001</v>
      </c>
      <c r="EL55" t="s">
        <v>94</v>
      </c>
      <c r="EM55" t="s">
        <v>95</v>
      </c>
      <c r="EO55" t="s">
        <v>33</v>
      </c>
      <c r="EQ55">
        <v>0</v>
      </c>
      <c r="ER55">
        <v>7.68</v>
      </c>
      <c r="ES55">
        <v>0</v>
      </c>
      <c r="ET55">
        <v>0</v>
      </c>
      <c r="EU55">
        <v>0</v>
      </c>
      <c r="EV55">
        <v>7.68</v>
      </c>
      <c r="EW55">
        <v>0.9</v>
      </c>
      <c r="EX55">
        <v>0</v>
      </c>
      <c r="EY55">
        <v>0</v>
      </c>
      <c r="FQ55">
        <v>0</v>
      </c>
      <c r="FR55">
        <f t="shared" si="42"/>
        <v>0</v>
      </c>
      <c r="FS55">
        <v>0</v>
      </c>
      <c r="FT55" t="s">
        <v>34</v>
      </c>
      <c r="FU55" t="s">
        <v>35</v>
      </c>
      <c r="FX55">
        <v>81</v>
      </c>
      <c r="FY55">
        <v>59.5</v>
      </c>
      <c r="GA55" t="s">
        <v>4</v>
      </c>
      <c r="GD55">
        <v>0</v>
      </c>
      <c r="GF55">
        <v>-1482825381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3"/>
        <v>0</v>
      </c>
      <c r="GM55">
        <f t="shared" si="44"/>
        <v>15697.87</v>
      </c>
      <c r="GN55">
        <f t="shared" si="45"/>
        <v>15697.87</v>
      </c>
      <c r="GO55">
        <f t="shared" si="46"/>
        <v>0</v>
      </c>
      <c r="GP55">
        <f t="shared" si="47"/>
        <v>0</v>
      </c>
      <c r="GR55">
        <v>0</v>
      </c>
      <c r="GS55">
        <v>3</v>
      </c>
      <c r="GT55">
        <v>0</v>
      </c>
      <c r="GU55" t="s">
        <v>4</v>
      </c>
      <c r="GV55">
        <f t="shared" si="48"/>
        <v>0</v>
      </c>
      <c r="GW55">
        <v>1</v>
      </c>
      <c r="GX55">
        <f t="shared" si="49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ROW(SmtRes!A84)</f>
        <v>84</v>
      </c>
      <c r="D56" s="2">
        <f>ROW(EtalonRes!A86)</f>
        <v>86</v>
      </c>
      <c r="E56" s="2" t="s">
        <v>96</v>
      </c>
      <c r="F56" s="2" t="s">
        <v>97</v>
      </c>
      <c r="G56" s="2" t="s">
        <v>98</v>
      </c>
      <c r="H56" s="2" t="s">
        <v>23</v>
      </c>
      <c r="I56" s="2">
        <f>ROUND(81.4/100,9)</f>
        <v>0.81399999999999995</v>
      </c>
      <c r="J56" s="2">
        <v>0</v>
      </c>
      <c r="K56" s="2"/>
      <c r="L56" s="2"/>
      <c r="M56" s="2"/>
      <c r="N56" s="2"/>
      <c r="O56" s="2">
        <f t="shared" ref="O56:O73" si="60">ROUND(CP56,2)</f>
        <v>277.77</v>
      </c>
      <c r="P56" s="2">
        <f t="shared" ref="P56:P73" si="61">ROUND(CQ56*I56,2)</f>
        <v>1.01</v>
      </c>
      <c r="Q56" s="2">
        <f t="shared" ref="Q56:Q73" si="62">ROUND(CR56*I56,2)</f>
        <v>17.329999999999998</v>
      </c>
      <c r="R56" s="2">
        <f t="shared" ref="R56:R73" si="63">ROUND(CS56*I56,2)</f>
        <v>10.26</v>
      </c>
      <c r="S56" s="2">
        <f t="shared" ref="S56:S73" si="64">ROUND(CT56*I56,2)</f>
        <v>259.43</v>
      </c>
      <c r="T56" s="2">
        <f t="shared" ref="T56:T73" si="65">ROUND(CU56*I56,2)</f>
        <v>0</v>
      </c>
      <c r="U56" s="2">
        <f t="shared" ref="U56:U73" si="66">CV56*I56</f>
        <v>30.413889000000001</v>
      </c>
      <c r="V56" s="2">
        <f t="shared" ref="V56:V73" si="67">CW56*I56</f>
        <v>0.94627499999999998</v>
      </c>
      <c r="W56" s="2">
        <f t="shared" ref="W56:W73" si="68">ROUND(CX56*I56,2)</f>
        <v>0</v>
      </c>
      <c r="X56" s="2">
        <f t="shared" ref="X56:X73" si="69">ROUND(CY56,2)</f>
        <v>256.20999999999998</v>
      </c>
      <c r="Y56" s="2">
        <f t="shared" ref="Y56:Y73" si="70">ROUND(CZ56,2)</f>
        <v>126.75</v>
      </c>
      <c r="Z56" s="2"/>
      <c r="AA56" s="2">
        <v>16500983</v>
      </c>
      <c r="AB56" s="2">
        <f t="shared" ref="AB56:AB73" si="71">ROUND((AC56+AD56+AF56),6)</f>
        <v>341.23849999999999</v>
      </c>
      <c r="AC56" s="2">
        <f t="shared" si="51"/>
        <v>1.24</v>
      </c>
      <c r="AD56" s="2">
        <f>ROUND(((((ET56*1.25))-((EU56*1.25)))+AE56),6)</f>
        <v>21.287500000000001</v>
      </c>
      <c r="AE56" s="2">
        <f>ROUND(((EU56*1.25)),6)</f>
        <v>12.6</v>
      </c>
      <c r="AF56" s="2">
        <f>ROUND(((EV56*1.15)),6)</f>
        <v>318.71100000000001</v>
      </c>
      <c r="AG56" s="2">
        <f t="shared" ref="AG56:AG73" si="72">ROUND((AP56),6)</f>
        <v>0</v>
      </c>
      <c r="AH56" s="2">
        <f>((EW56*1.15))</f>
        <v>37.363500000000002</v>
      </c>
      <c r="AI56" s="2">
        <f>((EX56*1.25))</f>
        <v>1.1625000000000001</v>
      </c>
      <c r="AJ56" s="2">
        <f t="shared" ref="AJ56:AJ73" si="73">ROUND((AS56),6)</f>
        <v>0</v>
      </c>
      <c r="AK56" s="2">
        <v>295.41000000000003</v>
      </c>
      <c r="AL56" s="2">
        <v>1.24</v>
      </c>
      <c r="AM56" s="2">
        <v>17.03</v>
      </c>
      <c r="AN56" s="2">
        <v>10.08</v>
      </c>
      <c r="AO56" s="2">
        <v>277.14</v>
      </c>
      <c r="AP56" s="2">
        <v>0</v>
      </c>
      <c r="AQ56" s="2">
        <v>32.49</v>
      </c>
      <c r="AR56" s="2">
        <v>0.93</v>
      </c>
      <c r="AS56" s="2">
        <v>0</v>
      </c>
      <c r="AT56" s="2">
        <v>95</v>
      </c>
      <c r="AU56" s="2">
        <v>47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4</v>
      </c>
      <c r="BE56" s="2" t="s">
        <v>4</v>
      </c>
      <c r="BF56" s="2" t="s">
        <v>4</v>
      </c>
      <c r="BG56" s="2" t="s">
        <v>4</v>
      </c>
      <c r="BH56" s="2">
        <v>0</v>
      </c>
      <c r="BI56" s="2">
        <v>1</v>
      </c>
      <c r="BJ56" s="2" t="s">
        <v>99</v>
      </c>
      <c r="BK56" s="2"/>
      <c r="BL56" s="2"/>
      <c r="BM56" s="2">
        <v>15001</v>
      </c>
      <c r="BN56" s="2">
        <v>0</v>
      </c>
      <c r="BO56" s="2" t="s">
        <v>4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4</v>
      </c>
      <c r="BZ56" s="2">
        <v>105</v>
      </c>
      <c r="CA56" s="2">
        <v>55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322</v>
      </c>
      <c r="CO56" s="2">
        <v>0</v>
      </c>
      <c r="CP56" s="2">
        <f t="shared" ref="CP56:CP73" si="74">(P56+Q56+S56)</f>
        <v>277.77</v>
      </c>
      <c r="CQ56" s="2">
        <f t="shared" ref="CQ56:CQ73" si="75">AC56*BC56</f>
        <v>1.24</v>
      </c>
      <c r="CR56" s="2">
        <f t="shared" ref="CR56:CR73" si="76">AD56*BB56</f>
        <v>21.287500000000001</v>
      </c>
      <c r="CS56" s="2">
        <f t="shared" ref="CS56:CS73" si="77">AE56*BS56</f>
        <v>12.6</v>
      </c>
      <c r="CT56" s="2">
        <f t="shared" ref="CT56:CT73" si="78">AF56*BA56</f>
        <v>318.71100000000001</v>
      </c>
      <c r="CU56" s="2">
        <f t="shared" ref="CU56:CU73" si="79">AG56</f>
        <v>0</v>
      </c>
      <c r="CV56" s="2">
        <f t="shared" ref="CV56:CV73" si="80">AH56</f>
        <v>37.363500000000002</v>
      </c>
      <c r="CW56" s="2">
        <f t="shared" ref="CW56:CW73" si="81">AI56</f>
        <v>1.1625000000000001</v>
      </c>
      <c r="CX56" s="2">
        <f t="shared" ref="CX56:CX73" si="82">AJ56</f>
        <v>0</v>
      </c>
      <c r="CY56" s="2">
        <f t="shared" ref="CY56:CY73" si="83">(((S56+R56)*AT56)/100)</f>
        <v>256.20549999999997</v>
      </c>
      <c r="CZ56" s="2">
        <f t="shared" ref="CZ56:CZ73" si="84">(((S56+R56)*AU56)/100)</f>
        <v>126.7543</v>
      </c>
      <c r="DA56" s="2"/>
      <c r="DB56" s="2"/>
      <c r="DC56" s="2" t="s">
        <v>4</v>
      </c>
      <c r="DD56" s="2" t="s">
        <v>4</v>
      </c>
      <c r="DE56" s="2" t="s">
        <v>29</v>
      </c>
      <c r="DF56" s="2" t="s">
        <v>29</v>
      </c>
      <c r="DG56" s="2" t="s">
        <v>30</v>
      </c>
      <c r="DH56" s="2" t="s">
        <v>4</v>
      </c>
      <c r="DI56" s="2" t="s">
        <v>30</v>
      </c>
      <c r="DJ56" s="2" t="s">
        <v>29</v>
      </c>
      <c r="DK56" s="2" t="s">
        <v>4</v>
      </c>
      <c r="DL56" s="2" t="s">
        <v>4</v>
      </c>
      <c r="DM56" s="2" t="s">
        <v>4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23</v>
      </c>
      <c r="DW56" s="2" t="s">
        <v>23</v>
      </c>
      <c r="DX56" s="2">
        <v>100</v>
      </c>
      <c r="DY56" s="2"/>
      <c r="DZ56" s="2"/>
      <c r="EA56" s="2"/>
      <c r="EB56" s="2"/>
      <c r="EC56" s="2"/>
      <c r="ED56" s="2"/>
      <c r="EE56" s="2">
        <v>16510513</v>
      </c>
      <c r="EF56" s="2">
        <v>2</v>
      </c>
      <c r="EG56" s="2" t="s">
        <v>31</v>
      </c>
      <c r="EH56" s="2">
        <v>0</v>
      </c>
      <c r="EI56" s="2" t="s">
        <v>4</v>
      </c>
      <c r="EJ56" s="2">
        <v>1</v>
      </c>
      <c r="EK56" s="2">
        <v>15001</v>
      </c>
      <c r="EL56" s="2" t="s">
        <v>100</v>
      </c>
      <c r="EM56" s="2" t="s">
        <v>101</v>
      </c>
      <c r="EN56" s="2"/>
      <c r="EO56" s="2" t="s">
        <v>33</v>
      </c>
      <c r="EP56" s="2"/>
      <c r="EQ56" s="2">
        <v>0</v>
      </c>
      <c r="ER56" s="2">
        <v>295.41000000000003</v>
      </c>
      <c r="ES56" s="2">
        <v>1.24</v>
      </c>
      <c r="ET56" s="2">
        <v>17.03</v>
      </c>
      <c r="EU56" s="2">
        <v>10.08</v>
      </c>
      <c r="EV56" s="2">
        <v>277.14</v>
      </c>
      <c r="EW56" s="2">
        <v>32.49</v>
      </c>
      <c r="EX56" s="2">
        <v>0.93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73" si="85">ROUND(IF(AND(BH56=3,BI56=3),P56,0),2)</f>
        <v>0</v>
      </c>
      <c r="FS56" s="2">
        <v>0</v>
      </c>
      <c r="FT56" s="2" t="s">
        <v>34</v>
      </c>
      <c r="FU56" s="2" t="s">
        <v>35</v>
      </c>
      <c r="FV56" s="2"/>
      <c r="FW56" s="2"/>
      <c r="FX56" s="2">
        <v>94.5</v>
      </c>
      <c r="FY56" s="2">
        <v>46.75</v>
      </c>
      <c r="FZ56" s="2"/>
      <c r="GA56" s="2" t="s">
        <v>4</v>
      </c>
      <c r="GB56" s="2"/>
      <c r="GC56" s="2"/>
      <c r="GD56" s="2">
        <v>0</v>
      </c>
      <c r="GE56" s="2"/>
      <c r="GF56" s="2">
        <v>-357803777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73" si="86">ROUND(IF(AND(BH56=3,BI56=3,FS56&lt;&gt;0),P56,0),2)</f>
        <v>0</v>
      </c>
      <c r="GM56" s="2">
        <f t="shared" ref="GM56:GM73" si="87">ROUND(O56+X56+Y56+GK56,2)+GX56</f>
        <v>660.73</v>
      </c>
      <c r="GN56" s="2">
        <f t="shared" ref="GN56:GN73" si="88">IF(OR(BI56=0,BI56=1),ROUND(O56+X56+Y56+GK56,2),0)</f>
        <v>660.73</v>
      </c>
      <c r="GO56" s="2">
        <f t="shared" ref="GO56:GO73" si="89">IF(BI56=2,ROUND(O56+X56+Y56+GK56,2),0)</f>
        <v>0</v>
      </c>
      <c r="GP56" s="2">
        <f t="shared" ref="GP56:GP73" si="90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4</v>
      </c>
      <c r="GV56" s="2">
        <f t="shared" ref="GV56:GV73" si="91">ROUND(GT56,6)</f>
        <v>0</v>
      </c>
      <c r="GW56" s="2">
        <v>1</v>
      </c>
      <c r="GX56" s="2">
        <f t="shared" ref="GX56:GX73" si="92">ROUND(GV56*GW56*I56,2)</f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ROW(SmtRes!A92)</f>
        <v>92</v>
      </c>
      <c r="D57">
        <f>ROW(EtalonRes!A94)</f>
        <v>94</v>
      </c>
      <c r="E57" t="s">
        <v>96</v>
      </c>
      <c r="F57" t="s">
        <v>97</v>
      </c>
      <c r="G57" t="s">
        <v>98</v>
      </c>
      <c r="H57" t="s">
        <v>23</v>
      </c>
      <c r="I57">
        <f>ROUND(81.4/100,9)</f>
        <v>0.81399999999999995</v>
      </c>
      <c r="J57">
        <v>0</v>
      </c>
      <c r="O57">
        <f t="shared" si="60"/>
        <v>1688.83</v>
      </c>
      <c r="P57">
        <f t="shared" si="61"/>
        <v>6.14</v>
      </c>
      <c r="Q57">
        <f t="shared" si="62"/>
        <v>105.35</v>
      </c>
      <c r="R57">
        <f t="shared" si="63"/>
        <v>62.36</v>
      </c>
      <c r="S57">
        <f t="shared" si="64"/>
        <v>1577.34</v>
      </c>
      <c r="T57">
        <f t="shared" si="65"/>
        <v>0</v>
      </c>
      <c r="U57">
        <f t="shared" si="66"/>
        <v>30.413889000000001</v>
      </c>
      <c r="V57">
        <f t="shared" si="67"/>
        <v>0.94627499999999998</v>
      </c>
      <c r="W57">
        <f t="shared" si="68"/>
        <v>0</v>
      </c>
      <c r="X57">
        <f t="shared" si="69"/>
        <v>1557.72</v>
      </c>
      <c r="Y57">
        <f t="shared" si="70"/>
        <v>770.66</v>
      </c>
      <c r="AA57">
        <v>16500997</v>
      </c>
      <c r="AB57">
        <f t="shared" si="71"/>
        <v>341.23849999999999</v>
      </c>
      <c r="AC57">
        <f t="shared" si="51"/>
        <v>1.24</v>
      </c>
      <c r="AD57">
        <f>ROUND(((((ET57*1.25))-((EU57*1.25)))+AE57),6)</f>
        <v>21.287500000000001</v>
      </c>
      <c r="AE57">
        <f>ROUND(((EU57*1.25)),6)</f>
        <v>12.6</v>
      </c>
      <c r="AF57">
        <f>ROUND(((EV57*1.15)),6)</f>
        <v>318.71100000000001</v>
      </c>
      <c r="AG57">
        <f t="shared" si="72"/>
        <v>0</v>
      </c>
      <c r="AH57">
        <f>((EW57*1.15))</f>
        <v>37.363500000000002</v>
      </c>
      <c r="AI57">
        <f>((EX57*1.25))</f>
        <v>1.1625000000000001</v>
      </c>
      <c r="AJ57">
        <f t="shared" si="73"/>
        <v>0</v>
      </c>
      <c r="AK57">
        <v>295.41000000000003</v>
      </c>
      <c r="AL57">
        <v>1.24</v>
      </c>
      <c r="AM57">
        <v>17.03</v>
      </c>
      <c r="AN57">
        <v>10.08</v>
      </c>
      <c r="AO57">
        <v>277.14</v>
      </c>
      <c r="AP57">
        <v>0</v>
      </c>
      <c r="AQ57">
        <v>32.49</v>
      </c>
      <c r="AR57">
        <v>0.93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6.08</v>
      </c>
      <c r="BA57">
        <v>6.08</v>
      </c>
      <c r="BB57">
        <v>6.08</v>
      </c>
      <c r="BC57">
        <v>6.08</v>
      </c>
      <c r="BD57" t="s">
        <v>4</v>
      </c>
      <c r="BE57" t="s">
        <v>4</v>
      </c>
      <c r="BF57" t="s">
        <v>4</v>
      </c>
      <c r="BG57" t="s">
        <v>4</v>
      </c>
      <c r="BH57">
        <v>0</v>
      </c>
      <c r="BI57">
        <v>1</v>
      </c>
      <c r="BJ57" t="s">
        <v>99</v>
      </c>
      <c r="BM57">
        <v>15001</v>
      </c>
      <c r="BN57">
        <v>0</v>
      </c>
      <c r="BO57" t="s">
        <v>4</v>
      </c>
      <c r="BP57">
        <v>0</v>
      </c>
      <c r="BQ57">
        <v>2</v>
      </c>
      <c r="BR57">
        <v>0</v>
      </c>
      <c r="BS57">
        <v>6.08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4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322</v>
      </c>
      <c r="CO57">
        <v>0</v>
      </c>
      <c r="CP57">
        <f t="shared" si="74"/>
        <v>1688.83</v>
      </c>
      <c r="CQ57">
        <f t="shared" si="75"/>
        <v>7.5392000000000001</v>
      </c>
      <c r="CR57">
        <f t="shared" si="76"/>
        <v>129.428</v>
      </c>
      <c r="CS57">
        <f t="shared" si="77"/>
        <v>76.608000000000004</v>
      </c>
      <c r="CT57">
        <f t="shared" si="78"/>
        <v>1937.76288</v>
      </c>
      <c r="CU57">
        <f t="shared" si="79"/>
        <v>0</v>
      </c>
      <c r="CV57">
        <f t="shared" si="80"/>
        <v>37.363500000000002</v>
      </c>
      <c r="CW57">
        <f t="shared" si="81"/>
        <v>1.1625000000000001</v>
      </c>
      <c r="CX57">
        <f t="shared" si="82"/>
        <v>0</v>
      </c>
      <c r="CY57">
        <f t="shared" si="83"/>
        <v>1557.7149999999997</v>
      </c>
      <c r="CZ57">
        <f t="shared" si="84"/>
        <v>770.65899999999999</v>
      </c>
      <c r="DC57" t="s">
        <v>4</v>
      </c>
      <c r="DD57" t="s">
        <v>4</v>
      </c>
      <c r="DE57" t="s">
        <v>29</v>
      </c>
      <c r="DF57" t="s">
        <v>29</v>
      </c>
      <c r="DG57" t="s">
        <v>30</v>
      </c>
      <c r="DH57" t="s">
        <v>4</v>
      </c>
      <c r="DI57" t="s">
        <v>30</v>
      </c>
      <c r="DJ57" t="s">
        <v>29</v>
      </c>
      <c r="DK57" t="s">
        <v>4</v>
      </c>
      <c r="DL57" t="s">
        <v>4</v>
      </c>
      <c r="DM57" t="s">
        <v>4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23</v>
      </c>
      <c r="DW57" t="s">
        <v>23</v>
      </c>
      <c r="DX57">
        <v>100</v>
      </c>
      <c r="EE57">
        <v>16510513</v>
      </c>
      <c r="EF57">
        <v>2</v>
      </c>
      <c r="EG57" t="s">
        <v>31</v>
      </c>
      <c r="EH57">
        <v>0</v>
      </c>
      <c r="EI57" t="s">
        <v>4</v>
      </c>
      <c r="EJ57">
        <v>1</v>
      </c>
      <c r="EK57">
        <v>15001</v>
      </c>
      <c r="EL57" t="s">
        <v>100</v>
      </c>
      <c r="EM57" t="s">
        <v>101</v>
      </c>
      <c r="EO57" t="s">
        <v>33</v>
      </c>
      <c r="EQ57">
        <v>0</v>
      </c>
      <c r="ER57">
        <v>295.41000000000003</v>
      </c>
      <c r="ES57">
        <v>1.24</v>
      </c>
      <c r="ET57">
        <v>17.03</v>
      </c>
      <c r="EU57">
        <v>10.08</v>
      </c>
      <c r="EV57">
        <v>277.14</v>
      </c>
      <c r="EW57">
        <v>32.49</v>
      </c>
      <c r="EX57">
        <v>0.93</v>
      </c>
      <c r="EY57">
        <v>0</v>
      </c>
      <c r="FQ57">
        <v>0</v>
      </c>
      <c r="FR57">
        <f t="shared" si="85"/>
        <v>0</v>
      </c>
      <c r="FS57">
        <v>0</v>
      </c>
      <c r="FT57" t="s">
        <v>34</v>
      </c>
      <c r="FU57" t="s">
        <v>35</v>
      </c>
      <c r="FX57">
        <v>94.5</v>
      </c>
      <c r="FY57">
        <v>46.75</v>
      </c>
      <c r="GA57" t="s">
        <v>4</v>
      </c>
      <c r="GD57">
        <v>0</v>
      </c>
      <c r="GF57">
        <v>-357803777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6"/>
        <v>0</v>
      </c>
      <c r="GM57">
        <f t="shared" si="87"/>
        <v>4017.21</v>
      </c>
      <c r="GN57">
        <f t="shared" si="88"/>
        <v>4017.21</v>
      </c>
      <c r="GO57">
        <f t="shared" si="89"/>
        <v>0</v>
      </c>
      <c r="GP57">
        <f t="shared" si="90"/>
        <v>0</v>
      </c>
      <c r="GR57">
        <v>0</v>
      </c>
      <c r="GS57">
        <v>3</v>
      </c>
      <c r="GT57">
        <v>0</v>
      </c>
      <c r="GU57" t="s">
        <v>4</v>
      </c>
      <c r="GV57">
        <f t="shared" si="91"/>
        <v>0</v>
      </c>
      <c r="GW57">
        <v>1</v>
      </c>
      <c r="GX57">
        <f t="shared" si="92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83</v>
      </c>
      <c r="D58" s="2"/>
      <c r="E58" s="2" t="s">
        <v>102</v>
      </c>
      <c r="F58" s="2" t="s">
        <v>103</v>
      </c>
      <c r="G58" s="2" t="s">
        <v>104</v>
      </c>
      <c r="H58" s="2" t="s">
        <v>58</v>
      </c>
      <c r="I58" s="2">
        <f>I56*J58</f>
        <v>0.69189999999999996</v>
      </c>
      <c r="J58" s="2">
        <v>0.85</v>
      </c>
      <c r="K58" s="2"/>
      <c r="L58" s="2"/>
      <c r="M58" s="2"/>
      <c r="N58" s="2"/>
      <c r="O58" s="2">
        <f t="shared" si="60"/>
        <v>644.41</v>
      </c>
      <c r="P58" s="2">
        <f t="shared" si="61"/>
        <v>644.41</v>
      </c>
      <c r="Q58" s="2">
        <f t="shared" si="62"/>
        <v>0</v>
      </c>
      <c r="R58" s="2">
        <f t="shared" si="63"/>
        <v>0</v>
      </c>
      <c r="S58" s="2">
        <f t="shared" si="64"/>
        <v>0</v>
      </c>
      <c r="T58" s="2">
        <f t="shared" si="65"/>
        <v>0</v>
      </c>
      <c r="U58" s="2">
        <f t="shared" si="66"/>
        <v>0</v>
      </c>
      <c r="V58" s="2">
        <f t="shared" si="67"/>
        <v>0</v>
      </c>
      <c r="W58" s="2">
        <f t="shared" si="68"/>
        <v>0</v>
      </c>
      <c r="X58" s="2">
        <f t="shared" si="69"/>
        <v>0</v>
      </c>
      <c r="Y58" s="2">
        <f t="shared" si="70"/>
        <v>0</v>
      </c>
      <c r="Z58" s="2"/>
      <c r="AA58" s="2">
        <v>16500983</v>
      </c>
      <c r="AB58" s="2">
        <f t="shared" si="71"/>
        <v>931.37</v>
      </c>
      <c r="AC58" s="2">
        <f t="shared" si="51"/>
        <v>931.37</v>
      </c>
      <c r="AD58" s="2">
        <f>ROUND((((ET58)-(EU58))+AE58),6)</f>
        <v>0</v>
      </c>
      <c r="AE58" s="2">
        <f t="shared" ref="AE58:AF61" si="93">ROUND((EU58),6)</f>
        <v>0</v>
      </c>
      <c r="AF58" s="2">
        <f t="shared" si="93"/>
        <v>0</v>
      </c>
      <c r="AG58" s="2">
        <f t="shared" si="72"/>
        <v>0</v>
      </c>
      <c r="AH58" s="2">
        <f t="shared" ref="AH58:AI61" si="94">(EW58)</f>
        <v>0</v>
      </c>
      <c r="AI58" s="2">
        <f t="shared" si="94"/>
        <v>0</v>
      </c>
      <c r="AJ58" s="2">
        <f t="shared" si="73"/>
        <v>0</v>
      </c>
      <c r="AK58" s="2">
        <v>931.37</v>
      </c>
      <c r="AL58" s="2">
        <v>931.37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95</v>
      </c>
      <c r="AU58" s="2">
        <v>47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4</v>
      </c>
      <c r="BE58" s="2" t="s">
        <v>4</v>
      </c>
      <c r="BF58" s="2" t="s">
        <v>4</v>
      </c>
      <c r="BG58" s="2" t="s">
        <v>4</v>
      </c>
      <c r="BH58" s="2">
        <v>3</v>
      </c>
      <c r="BI58" s="2">
        <v>1</v>
      </c>
      <c r="BJ58" s="2" t="s">
        <v>105</v>
      </c>
      <c r="BK58" s="2"/>
      <c r="BL58" s="2"/>
      <c r="BM58" s="2">
        <v>15001</v>
      </c>
      <c r="BN58" s="2">
        <v>0</v>
      </c>
      <c r="BO58" s="2" t="s">
        <v>4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4</v>
      </c>
      <c r="BZ58" s="2">
        <v>105</v>
      </c>
      <c r="CA58" s="2">
        <v>55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4</v>
      </c>
      <c r="CO58" s="2">
        <v>0</v>
      </c>
      <c r="CP58" s="2">
        <f t="shared" si="74"/>
        <v>644.41</v>
      </c>
      <c r="CQ58" s="2">
        <f t="shared" si="75"/>
        <v>931.37</v>
      </c>
      <c r="CR58" s="2">
        <f t="shared" si="76"/>
        <v>0</v>
      </c>
      <c r="CS58" s="2">
        <f t="shared" si="77"/>
        <v>0</v>
      </c>
      <c r="CT58" s="2">
        <f t="shared" si="78"/>
        <v>0</v>
      </c>
      <c r="CU58" s="2">
        <f t="shared" si="79"/>
        <v>0</v>
      </c>
      <c r="CV58" s="2">
        <f t="shared" si="80"/>
        <v>0</v>
      </c>
      <c r="CW58" s="2">
        <f t="shared" si="81"/>
        <v>0</v>
      </c>
      <c r="CX58" s="2">
        <f t="shared" si="82"/>
        <v>0</v>
      </c>
      <c r="CY58" s="2">
        <f t="shared" si="83"/>
        <v>0</v>
      </c>
      <c r="CZ58" s="2">
        <f t="shared" si="84"/>
        <v>0</v>
      </c>
      <c r="DA58" s="2"/>
      <c r="DB58" s="2"/>
      <c r="DC58" s="2" t="s">
        <v>4</v>
      </c>
      <c r="DD58" s="2" t="s">
        <v>4</v>
      </c>
      <c r="DE58" s="2" t="s">
        <v>4</v>
      </c>
      <c r="DF58" s="2" t="s">
        <v>4</v>
      </c>
      <c r="DG58" s="2" t="s">
        <v>4</v>
      </c>
      <c r="DH58" s="2" t="s">
        <v>4</v>
      </c>
      <c r="DI58" s="2" t="s">
        <v>4</v>
      </c>
      <c r="DJ58" s="2" t="s">
        <v>4</v>
      </c>
      <c r="DK58" s="2" t="s">
        <v>4</v>
      </c>
      <c r="DL58" s="2" t="s">
        <v>4</v>
      </c>
      <c r="DM58" s="2" t="s">
        <v>4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1009</v>
      </c>
      <c r="DV58" s="2" t="s">
        <v>58</v>
      </c>
      <c r="DW58" s="2" t="s">
        <v>58</v>
      </c>
      <c r="DX58" s="2">
        <v>1000</v>
      </c>
      <c r="DY58" s="2"/>
      <c r="DZ58" s="2"/>
      <c r="EA58" s="2"/>
      <c r="EB58" s="2"/>
      <c r="EC58" s="2"/>
      <c r="ED58" s="2"/>
      <c r="EE58" s="2">
        <v>16510513</v>
      </c>
      <c r="EF58" s="2">
        <v>2</v>
      </c>
      <c r="EG58" s="2" t="s">
        <v>31</v>
      </c>
      <c r="EH58" s="2">
        <v>0</v>
      </c>
      <c r="EI58" s="2" t="s">
        <v>4</v>
      </c>
      <c r="EJ58" s="2">
        <v>1</v>
      </c>
      <c r="EK58" s="2">
        <v>15001</v>
      </c>
      <c r="EL58" s="2" t="s">
        <v>100</v>
      </c>
      <c r="EM58" s="2" t="s">
        <v>101</v>
      </c>
      <c r="EN58" s="2"/>
      <c r="EO58" s="2" t="s">
        <v>4</v>
      </c>
      <c r="EP58" s="2"/>
      <c r="EQ58" s="2">
        <v>0</v>
      </c>
      <c r="ER58" s="2">
        <v>931.37</v>
      </c>
      <c r="ES58" s="2">
        <v>931.37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5"/>
        <v>0</v>
      </c>
      <c r="FS58" s="2">
        <v>0</v>
      </c>
      <c r="FT58" s="2" t="s">
        <v>34</v>
      </c>
      <c r="FU58" s="2" t="s">
        <v>35</v>
      </c>
      <c r="FV58" s="2"/>
      <c r="FW58" s="2"/>
      <c r="FX58" s="2">
        <v>94.5</v>
      </c>
      <c r="FY58" s="2">
        <v>46.75</v>
      </c>
      <c r="FZ58" s="2"/>
      <c r="GA58" s="2" t="s">
        <v>4</v>
      </c>
      <c r="GB58" s="2"/>
      <c r="GC58" s="2"/>
      <c r="GD58" s="2">
        <v>0</v>
      </c>
      <c r="GE58" s="2"/>
      <c r="GF58" s="2">
        <v>-791558573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6"/>
        <v>0</v>
      </c>
      <c r="GM58" s="2">
        <f t="shared" si="87"/>
        <v>644.41</v>
      </c>
      <c r="GN58" s="2">
        <f t="shared" si="88"/>
        <v>644.41</v>
      </c>
      <c r="GO58" s="2">
        <f t="shared" si="89"/>
        <v>0</v>
      </c>
      <c r="GP58" s="2">
        <f t="shared" si="90"/>
        <v>0</v>
      </c>
      <c r="GQ58" s="2"/>
      <c r="GR58" s="2">
        <v>0</v>
      </c>
      <c r="GS58" s="2">
        <v>3</v>
      </c>
      <c r="GT58" s="2">
        <v>0</v>
      </c>
      <c r="GU58" s="2" t="s">
        <v>4</v>
      </c>
      <c r="GV58" s="2">
        <f t="shared" si="91"/>
        <v>0</v>
      </c>
      <c r="GW58" s="2">
        <v>1</v>
      </c>
      <c r="GX58" s="2">
        <f t="shared" si="92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91</v>
      </c>
      <c r="E59" t="s">
        <v>102</v>
      </c>
      <c r="F59" t="s">
        <v>103</v>
      </c>
      <c r="G59" t="s">
        <v>104</v>
      </c>
      <c r="H59" t="s">
        <v>58</v>
      </c>
      <c r="I59">
        <f>I57*J59</f>
        <v>0.69189999999999996</v>
      </c>
      <c r="J59">
        <v>0.85</v>
      </c>
      <c r="O59">
        <f t="shared" si="60"/>
        <v>3918.04</v>
      </c>
      <c r="P59">
        <f t="shared" si="61"/>
        <v>3918.04</v>
      </c>
      <c r="Q59">
        <f t="shared" si="62"/>
        <v>0</v>
      </c>
      <c r="R59">
        <f t="shared" si="63"/>
        <v>0</v>
      </c>
      <c r="S59">
        <f t="shared" si="64"/>
        <v>0</v>
      </c>
      <c r="T59">
        <f t="shared" si="65"/>
        <v>0</v>
      </c>
      <c r="U59">
        <f t="shared" si="66"/>
        <v>0</v>
      </c>
      <c r="V59">
        <f t="shared" si="67"/>
        <v>0</v>
      </c>
      <c r="W59">
        <f t="shared" si="68"/>
        <v>0</v>
      </c>
      <c r="X59">
        <f t="shared" si="69"/>
        <v>0</v>
      </c>
      <c r="Y59">
        <f t="shared" si="70"/>
        <v>0</v>
      </c>
      <c r="AA59">
        <v>16500997</v>
      </c>
      <c r="AB59">
        <f t="shared" si="71"/>
        <v>931.37</v>
      </c>
      <c r="AC59">
        <f t="shared" si="51"/>
        <v>931.37</v>
      </c>
      <c r="AD59">
        <f>ROUND((((ET59)-(EU59))+AE59),6)</f>
        <v>0</v>
      </c>
      <c r="AE59">
        <f t="shared" si="93"/>
        <v>0</v>
      </c>
      <c r="AF59">
        <f t="shared" si="93"/>
        <v>0</v>
      </c>
      <c r="AG59">
        <f t="shared" si="72"/>
        <v>0</v>
      </c>
      <c r="AH59">
        <f t="shared" si="94"/>
        <v>0</v>
      </c>
      <c r="AI59">
        <f t="shared" si="94"/>
        <v>0</v>
      </c>
      <c r="AJ59">
        <f t="shared" si="73"/>
        <v>0</v>
      </c>
      <c r="AK59">
        <v>931.37</v>
      </c>
      <c r="AL59">
        <v>931.37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6.08</v>
      </c>
      <c r="BA59">
        <v>1</v>
      </c>
      <c r="BB59">
        <v>1</v>
      </c>
      <c r="BC59">
        <v>6.08</v>
      </c>
      <c r="BD59" t="s">
        <v>4</v>
      </c>
      <c r="BE59" t="s">
        <v>4</v>
      </c>
      <c r="BF59" t="s">
        <v>4</v>
      </c>
      <c r="BG59" t="s">
        <v>4</v>
      </c>
      <c r="BH59">
        <v>3</v>
      </c>
      <c r="BI59">
        <v>1</v>
      </c>
      <c r="BJ59" t="s">
        <v>105</v>
      </c>
      <c r="BM59">
        <v>15001</v>
      </c>
      <c r="BN59">
        <v>0</v>
      </c>
      <c r="BO59" t="s">
        <v>4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4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4</v>
      </c>
      <c r="CO59">
        <v>0</v>
      </c>
      <c r="CP59">
        <f t="shared" si="74"/>
        <v>3918.04</v>
      </c>
      <c r="CQ59">
        <f t="shared" si="75"/>
        <v>5662.7295999999997</v>
      </c>
      <c r="CR59">
        <f t="shared" si="76"/>
        <v>0</v>
      </c>
      <c r="CS59">
        <f t="shared" si="77"/>
        <v>0</v>
      </c>
      <c r="CT59">
        <f t="shared" si="78"/>
        <v>0</v>
      </c>
      <c r="CU59">
        <f t="shared" si="79"/>
        <v>0</v>
      </c>
      <c r="CV59">
        <f t="shared" si="80"/>
        <v>0</v>
      </c>
      <c r="CW59">
        <f t="shared" si="81"/>
        <v>0</v>
      </c>
      <c r="CX59">
        <f t="shared" si="82"/>
        <v>0</v>
      </c>
      <c r="CY59">
        <f t="shared" si="83"/>
        <v>0</v>
      </c>
      <c r="CZ59">
        <f t="shared" si="84"/>
        <v>0</v>
      </c>
      <c r="DC59" t="s">
        <v>4</v>
      </c>
      <c r="DD59" t="s">
        <v>4</v>
      </c>
      <c r="DE59" t="s">
        <v>4</v>
      </c>
      <c r="DF59" t="s">
        <v>4</v>
      </c>
      <c r="DG59" t="s">
        <v>4</v>
      </c>
      <c r="DH59" t="s">
        <v>4</v>
      </c>
      <c r="DI59" t="s">
        <v>4</v>
      </c>
      <c r="DJ59" t="s">
        <v>4</v>
      </c>
      <c r="DK59" t="s">
        <v>4</v>
      </c>
      <c r="DL59" t="s">
        <v>4</v>
      </c>
      <c r="DM59" t="s">
        <v>4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58</v>
      </c>
      <c r="DW59" t="s">
        <v>58</v>
      </c>
      <c r="DX59">
        <v>1000</v>
      </c>
      <c r="EE59">
        <v>16510513</v>
      </c>
      <c r="EF59">
        <v>2</v>
      </c>
      <c r="EG59" t="s">
        <v>31</v>
      </c>
      <c r="EH59">
        <v>0</v>
      </c>
      <c r="EI59" t="s">
        <v>4</v>
      </c>
      <c r="EJ59">
        <v>1</v>
      </c>
      <c r="EK59">
        <v>15001</v>
      </c>
      <c r="EL59" t="s">
        <v>100</v>
      </c>
      <c r="EM59" t="s">
        <v>101</v>
      </c>
      <c r="EO59" t="s">
        <v>4</v>
      </c>
      <c r="EQ59">
        <v>0</v>
      </c>
      <c r="ER59">
        <v>931.37</v>
      </c>
      <c r="ES59">
        <v>931.37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5"/>
        <v>0</v>
      </c>
      <c r="FS59">
        <v>0</v>
      </c>
      <c r="FT59" t="s">
        <v>34</v>
      </c>
      <c r="FU59" t="s">
        <v>35</v>
      </c>
      <c r="FX59">
        <v>94.5</v>
      </c>
      <c r="FY59">
        <v>46.75</v>
      </c>
      <c r="GA59" t="s">
        <v>4</v>
      </c>
      <c r="GD59">
        <v>0</v>
      </c>
      <c r="GF59">
        <v>-791558573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6"/>
        <v>0</v>
      </c>
      <c r="GM59">
        <f t="shared" si="87"/>
        <v>3918.04</v>
      </c>
      <c r="GN59">
        <f t="shared" si="88"/>
        <v>3918.04</v>
      </c>
      <c r="GO59">
        <f t="shared" si="89"/>
        <v>0</v>
      </c>
      <c r="GP59">
        <f t="shared" si="90"/>
        <v>0</v>
      </c>
      <c r="GR59">
        <v>0</v>
      </c>
      <c r="GS59">
        <v>3</v>
      </c>
      <c r="GT59">
        <v>0</v>
      </c>
      <c r="GU59" t="s">
        <v>4</v>
      </c>
      <c r="GV59">
        <f t="shared" si="91"/>
        <v>0</v>
      </c>
      <c r="GW59">
        <v>1</v>
      </c>
      <c r="GX59">
        <f t="shared" si="92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84</v>
      </c>
      <c r="D60" s="2"/>
      <c r="E60" s="2" t="s">
        <v>106</v>
      </c>
      <c r="F60" s="2" t="s">
        <v>107</v>
      </c>
      <c r="G60" s="2" t="s">
        <v>108</v>
      </c>
      <c r="H60" s="2" t="s">
        <v>58</v>
      </c>
      <c r="I60" s="2">
        <f>I56*J60</f>
        <v>1.6279999999999999E-2</v>
      </c>
      <c r="J60" s="2">
        <v>0.02</v>
      </c>
      <c r="K60" s="2"/>
      <c r="L60" s="2"/>
      <c r="M60" s="2"/>
      <c r="N60" s="2"/>
      <c r="O60" s="2">
        <f t="shared" si="60"/>
        <v>299.39</v>
      </c>
      <c r="P60" s="2">
        <f t="shared" si="61"/>
        <v>299.39</v>
      </c>
      <c r="Q60" s="2">
        <f t="shared" si="62"/>
        <v>0</v>
      </c>
      <c r="R60" s="2">
        <f t="shared" si="63"/>
        <v>0</v>
      </c>
      <c r="S60" s="2">
        <f t="shared" si="64"/>
        <v>0</v>
      </c>
      <c r="T60" s="2">
        <f t="shared" si="65"/>
        <v>0</v>
      </c>
      <c r="U60" s="2">
        <f t="shared" si="66"/>
        <v>0</v>
      </c>
      <c r="V60" s="2">
        <f t="shared" si="67"/>
        <v>0</v>
      </c>
      <c r="W60" s="2">
        <f t="shared" si="68"/>
        <v>0</v>
      </c>
      <c r="X60" s="2">
        <f t="shared" si="69"/>
        <v>0</v>
      </c>
      <c r="Y60" s="2">
        <f t="shared" si="70"/>
        <v>0</v>
      </c>
      <c r="Z60" s="2"/>
      <c r="AA60" s="2">
        <v>16500983</v>
      </c>
      <c r="AB60" s="2">
        <f t="shared" si="71"/>
        <v>18390.16</v>
      </c>
      <c r="AC60" s="2">
        <f t="shared" si="51"/>
        <v>18390.16</v>
      </c>
      <c r="AD60" s="2">
        <f>ROUND((((ET60)-(EU60))+AE60),6)</f>
        <v>0</v>
      </c>
      <c r="AE60" s="2">
        <f t="shared" si="93"/>
        <v>0</v>
      </c>
      <c r="AF60" s="2">
        <f t="shared" si="93"/>
        <v>0</v>
      </c>
      <c r="AG60" s="2">
        <f t="shared" si="72"/>
        <v>0</v>
      </c>
      <c r="AH60" s="2">
        <f t="shared" si="94"/>
        <v>0</v>
      </c>
      <c r="AI60" s="2">
        <f t="shared" si="94"/>
        <v>0</v>
      </c>
      <c r="AJ60" s="2">
        <f t="shared" si="73"/>
        <v>0</v>
      </c>
      <c r="AK60" s="2">
        <v>18390.16</v>
      </c>
      <c r="AL60" s="2">
        <v>18390.16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95</v>
      </c>
      <c r="AU60" s="2">
        <v>47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4</v>
      </c>
      <c r="BE60" s="2" t="s">
        <v>4</v>
      </c>
      <c r="BF60" s="2" t="s">
        <v>4</v>
      </c>
      <c r="BG60" s="2" t="s">
        <v>4</v>
      </c>
      <c r="BH60" s="2">
        <v>3</v>
      </c>
      <c r="BI60" s="2">
        <v>1</v>
      </c>
      <c r="BJ60" s="2" t="s">
        <v>109</v>
      </c>
      <c r="BK60" s="2"/>
      <c r="BL60" s="2"/>
      <c r="BM60" s="2">
        <v>15001</v>
      </c>
      <c r="BN60" s="2">
        <v>0</v>
      </c>
      <c r="BO60" s="2" t="s">
        <v>4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4</v>
      </c>
      <c r="BZ60" s="2">
        <v>105</v>
      </c>
      <c r="CA60" s="2">
        <v>55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4</v>
      </c>
      <c r="CO60" s="2">
        <v>0</v>
      </c>
      <c r="CP60" s="2">
        <f t="shared" si="74"/>
        <v>299.39</v>
      </c>
      <c r="CQ60" s="2">
        <f t="shared" si="75"/>
        <v>18390.16</v>
      </c>
      <c r="CR60" s="2">
        <f t="shared" si="76"/>
        <v>0</v>
      </c>
      <c r="CS60" s="2">
        <f t="shared" si="77"/>
        <v>0</v>
      </c>
      <c r="CT60" s="2">
        <f t="shared" si="78"/>
        <v>0</v>
      </c>
      <c r="CU60" s="2">
        <f t="shared" si="79"/>
        <v>0</v>
      </c>
      <c r="CV60" s="2">
        <f t="shared" si="80"/>
        <v>0</v>
      </c>
      <c r="CW60" s="2">
        <f t="shared" si="81"/>
        <v>0</v>
      </c>
      <c r="CX60" s="2">
        <f t="shared" si="82"/>
        <v>0</v>
      </c>
      <c r="CY60" s="2">
        <f t="shared" si="83"/>
        <v>0</v>
      </c>
      <c r="CZ60" s="2">
        <f t="shared" si="84"/>
        <v>0</v>
      </c>
      <c r="DA60" s="2"/>
      <c r="DB60" s="2"/>
      <c r="DC60" s="2" t="s">
        <v>4</v>
      </c>
      <c r="DD60" s="2" t="s">
        <v>4</v>
      </c>
      <c r="DE60" s="2" t="s">
        <v>4</v>
      </c>
      <c r="DF60" s="2" t="s">
        <v>4</v>
      </c>
      <c r="DG60" s="2" t="s">
        <v>4</v>
      </c>
      <c r="DH60" s="2" t="s">
        <v>4</v>
      </c>
      <c r="DI60" s="2" t="s">
        <v>4</v>
      </c>
      <c r="DJ60" s="2" t="s">
        <v>4</v>
      </c>
      <c r="DK60" s="2" t="s">
        <v>4</v>
      </c>
      <c r="DL60" s="2" t="s">
        <v>4</v>
      </c>
      <c r="DM60" s="2" t="s">
        <v>4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1009</v>
      </c>
      <c r="DV60" s="2" t="s">
        <v>58</v>
      </c>
      <c r="DW60" s="2" t="s">
        <v>58</v>
      </c>
      <c r="DX60" s="2">
        <v>1000</v>
      </c>
      <c r="DY60" s="2"/>
      <c r="DZ60" s="2"/>
      <c r="EA60" s="2"/>
      <c r="EB60" s="2"/>
      <c r="EC60" s="2"/>
      <c r="ED60" s="2"/>
      <c r="EE60" s="2">
        <v>16510513</v>
      </c>
      <c r="EF60" s="2">
        <v>2</v>
      </c>
      <c r="EG60" s="2" t="s">
        <v>31</v>
      </c>
      <c r="EH60" s="2">
        <v>0</v>
      </c>
      <c r="EI60" s="2" t="s">
        <v>4</v>
      </c>
      <c r="EJ60" s="2">
        <v>1</v>
      </c>
      <c r="EK60" s="2">
        <v>15001</v>
      </c>
      <c r="EL60" s="2" t="s">
        <v>100</v>
      </c>
      <c r="EM60" s="2" t="s">
        <v>101</v>
      </c>
      <c r="EN60" s="2"/>
      <c r="EO60" s="2" t="s">
        <v>4</v>
      </c>
      <c r="EP60" s="2"/>
      <c r="EQ60" s="2">
        <v>0</v>
      </c>
      <c r="ER60" s="2">
        <v>18390.16</v>
      </c>
      <c r="ES60" s="2">
        <v>18390.16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5"/>
        <v>0</v>
      </c>
      <c r="FS60" s="2">
        <v>0</v>
      </c>
      <c r="FT60" s="2" t="s">
        <v>34</v>
      </c>
      <c r="FU60" s="2" t="s">
        <v>35</v>
      </c>
      <c r="FV60" s="2"/>
      <c r="FW60" s="2"/>
      <c r="FX60" s="2">
        <v>94.5</v>
      </c>
      <c r="FY60" s="2">
        <v>46.75</v>
      </c>
      <c r="FZ60" s="2"/>
      <c r="GA60" s="2" t="s">
        <v>4</v>
      </c>
      <c r="GB60" s="2"/>
      <c r="GC60" s="2"/>
      <c r="GD60" s="2">
        <v>0</v>
      </c>
      <c r="GE60" s="2"/>
      <c r="GF60" s="2">
        <v>-1919714308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6"/>
        <v>0</v>
      </c>
      <c r="GM60" s="2">
        <f t="shared" si="87"/>
        <v>299.39</v>
      </c>
      <c r="GN60" s="2">
        <f t="shared" si="88"/>
        <v>299.39</v>
      </c>
      <c r="GO60" s="2">
        <f t="shared" si="89"/>
        <v>0</v>
      </c>
      <c r="GP60" s="2">
        <f t="shared" si="90"/>
        <v>0</v>
      </c>
      <c r="GQ60" s="2"/>
      <c r="GR60" s="2">
        <v>0</v>
      </c>
      <c r="GS60" s="2">
        <v>3</v>
      </c>
      <c r="GT60" s="2">
        <v>0</v>
      </c>
      <c r="GU60" s="2" t="s">
        <v>4</v>
      </c>
      <c r="GV60" s="2">
        <f t="shared" si="91"/>
        <v>0</v>
      </c>
      <c r="GW60" s="2">
        <v>1</v>
      </c>
      <c r="GX60" s="2">
        <f t="shared" si="92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92</v>
      </c>
      <c r="E61" t="s">
        <v>106</v>
      </c>
      <c r="F61" t="s">
        <v>107</v>
      </c>
      <c r="G61" t="s">
        <v>108</v>
      </c>
      <c r="H61" t="s">
        <v>58</v>
      </c>
      <c r="I61">
        <f>I57*J61</f>
        <v>1.6279999999999999E-2</v>
      </c>
      <c r="J61">
        <v>0.02</v>
      </c>
      <c r="O61">
        <f t="shared" si="60"/>
        <v>1820.3</v>
      </c>
      <c r="P61">
        <f t="shared" si="61"/>
        <v>1820.3</v>
      </c>
      <c r="Q61">
        <f t="shared" si="62"/>
        <v>0</v>
      </c>
      <c r="R61">
        <f t="shared" si="63"/>
        <v>0</v>
      </c>
      <c r="S61">
        <f t="shared" si="64"/>
        <v>0</v>
      </c>
      <c r="T61">
        <f t="shared" si="65"/>
        <v>0</v>
      </c>
      <c r="U61">
        <f t="shared" si="66"/>
        <v>0</v>
      </c>
      <c r="V61">
        <f t="shared" si="67"/>
        <v>0</v>
      </c>
      <c r="W61">
        <f t="shared" si="68"/>
        <v>0</v>
      </c>
      <c r="X61">
        <f t="shared" si="69"/>
        <v>0</v>
      </c>
      <c r="Y61">
        <f t="shared" si="70"/>
        <v>0</v>
      </c>
      <c r="AA61">
        <v>16500997</v>
      </c>
      <c r="AB61">
        <f t="shared" si="71"/>
        <v>18390.16</v>
      </c>
      <c r="AC61">
        <f t="shared" si="51"/>
        <v>18390.16</v>
      </c>
      <c r="AD61">
        <f>ROUND((((ET61)-(EU61))+AE61),6)</f>
        <v>0</v>
      </c>
      <c r="AE61">
        <f t="shared" si="93"/>
        <v>0</v>
      </c>
      <c r="AF61">
        <f t="shared" si="93"/>
        <v>0</v>
      </c>
      <c r="AG61">
        <f t="shared" si="72"/>
        <v>0</v>
      </c>
      <c r="AH61">
        <f t="shared" si="94"/>
        <v>0</v>
      </c>
      <c r="AI61">
        <f t="shared" si="94"/>
        <v>0</v>
      </c>
      <c r="AJ61">
        <f t="shared" si="73"/>
        <v>0</v>
      </c>
      <c r="AK61">
        <v>18390.16</v>
      </c>
      <c r="AL61">
        <v>18390.16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6.08</v>
      </c>
      <c r="BA61">
        <v>1</v>
      </c>
      <c r="BB61">
        <v>1</v>
      </c>
      <c r="BC61">
        <v>6.08</v>
      </c>
      <c r="BD61" t="s">
        <v>4</v>
      </c>
      <c r="BE61" t="s">
        <v>4</v>
      </c>
      <c r="BF61" t="s">
        <v>4</v>
      </c>
      <c r="BG61" t="s">
        <v>4</v>
      </c>
      <c r="BH61">
        <v>3</v>
      </c>
      <c r="BI61">
        <v>1</v>
      </c>
      <c r="BJ61" t="s">
        <v>109</v>
      </c>
      <c r="BM61">
        <v>15001</v>
      </c>
      <c r="BN61">
        <v>0</v>
      </c>
      <c r="BO61" t="s">
        <v>4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4</v>
      </c>
      <c r="BZ61">
        <v>105</v>
      </c>
      <c r="CA61">
        <v>55</v>
      </c>
      <c r="CF61">
        <v>0</v>
      </c>
      <c r="CG61">
        <v>0</v>
      </c>
      <c r="CM61">
        <v>0</v>
      </c>
      <c r="CN61" t="s">
        <v>4</v>
      </c>
      <c r="CO61">
        <v>0</v>
      </c>
      <c r="CP61">
        <f t="shared" si="74"/>
        <v>1820.3</v>
      </c>
      <c r="CQ61">
        <f t="shared" si="75"/>
        <v>111812.1728</v>
      </c>
      <c r="CR61">
        <f t="shared" si="76"/>
        <v>0</v>
      </c>
      <c r="CS61">
        <f t="shared" si="77"/>
        <v>0</v>
      </c>
      <c r="CT61">
        <f t="shared" si="78"/>
        <v>0</v>
      </c>
      <c r="CU61">
        <f t="shared" si="79"/>
        <v>0</v>
      </c>
      <c r="CV61">
        <f t="shared" si="80"/>
        <v>0</v>
      </c>
      <c r="CW61">
        <f t="shared" si="81"/>
        <v>0</v>
      </c>
      <c r="CX61">
        <f t="shared" si="82"/>
        <v>0</v>
      </c>
      <c r="CY61">
        <f t="shared" si="83"/>
        <v>0</v>
      </c>
      <c r="CZ61">
        <f t="shared" si="84"/>
        <v>0</v>
      </c>
      <c r="DC61" t="s">
        <v>4</v>
      </c>
      <c r="DD61" t="s">
        <v>4</v>
      </c>
      <c r="DE61" t="s">
        <v>4</v>
      </c>
      <c r="DF61" t="s">
        <v>4</v>
      </c>
      <c r="DG61" t="s">
        <v>4</v>
      </c>
      <c r="DH61" t="s">
        <v>4</v>
      </c>
      <c r="DI61" t="s">
        <v>4</v>
      </c>
      <c r="DJ61" t="s">
        <v>4</v>
      </c>
      <c r="DK61" t="s">
        <v>4</v>
      </c>
      <c r="DL61" t="s">
        <v>4</v>
      </c>
      <c r="DM61" t="s">
        <v>4</v>
      </c>
      <c r="DN61">
        <v>0</v>
      </c>
      <c r="DO61">
        <v>0</v>
      </c>
      <c r="DP61">
        <v>1</v>
      </c>
      <c r="DQ61">
        <v>1</v>
      </c>
      <c r="DU61">
        <v>1009</v>
      </c>
      <c r="DV61" t="s">
        <v>58</v>
      </c>
      <c r="DW61" t="s">
        <v>58</v>
      </c>
      <c r="DX61">
        <v>1000</v>
      </c>
      <c r="EE61">
        <v>16510513</v>
      </c>
      <c r="EF61">
        <v>2</v>
      </c>
      <c r="EG61" t="s">
        <v>31</v>
      </c>
      <c r="EH61">
        <v>0</v>
      </c>
      <c r="EI61" t="s">
        <v>4</v>
      </c>
      <c r="EJ61">
        <v>1</v>
      </c>
      <c r="EK61">
        <v>15001</v>
      </c>
      <c r="EL61" t="s">
        <v>100</v>
      </c>
      <c r="EM61" t="s">
        <v>101</v>
      </c>
      <c r="EO61" t="s">
        <v>4</v>
      </c>
      <c r="EQ61">
        <v>0</v>
      </c>
      <c r="ER61">
        <v>18390.16</v>
      </c>
      <c r="ES61">
        <v>18390.16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5"/>
        <v>0</v>
      </c>
      <c r="FS61">
        <v>0</v>
      </c>
      <c r="FT61" t="s">
        <v>34</v>
      </c>
      <c r="FU61" t="s">
        <v>35</v>
      </c>
      <c r="FX61">
        <v>94.5</v>
      </c>
      <c r="FY61">
        <v>46.75</v>
      </c>
      <c r="GA61" t="s">
        <v>4</v>
      </c>
      <c r="GD61">
        <v>0</v>
      </c>
      <c r="GF61">
        <v>-1919714308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6"/>
        <v>0</v>
      </c>
      <c r="GM61">
        <f t="shared" si="87"/>
        <v>1820.3</v>
      </c>
      <c r="GN61">
        <f t="shared" si="88"/>
        <v>1820.3</v>
      </c>
      <c r="GO61">
        <f t="shared" si="89"/>
        <v>0</v>
      </c>
      <c r="GP61">
        <f t="shared" si="90"/>
        <v>0</v>
      </c>
      <c r="GR61">
        <v>0</v>
      </c>
      <c r="GS61">
        <v>3</v>
      </c>
      <c r="GT61">
        <v>0</v>
      </c>
      <c r="GU61" t="s">
        <v>4</v>
      </c>
      <c r="GV61">
        <f t="shared" si="91"/>
        <v>0</v>
      </c>
      <c r="GW61">
        <v>1</v>
      </c>
      <c r="GX61">
        <f t="shared" si="92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ROW(SmtRes!A101)</f>
        <v>101</v>
      </c>
      <c r="D62" s="2">
        <f>ROW(EtalonRes!A103)</f>
        <v>103</v>
      </c>
      <c r="E62" s="2" t="s">
        <v>110</v>
      </c>
      <c r="F62" s="2" t="s">
        <v>111</v>
      </c>
      <c r="G62" s="2" t="s">
        <v>112</v>
      </c>
      <c r="H62" s="2" t="s">
        <v>23</v>
      </c>
      <c r="I62" s="2">
        <f>ROUND(81.4/100,9)</f>
        <v>0.81399999999999995</v>
      </c>
      <c r="J62" s="2">
        <v>0</v>
      </c>
      <c r="K62" s="2"/>
      <c r="L62" s="2"/>
      <c r="M62" s="2"/>
      <c r="N62" s="2"/>
      <c r="O62" s="2">
        <f t="shared" si="60"/>
        <v>890.01</v>
      </c>
      <c r="P62" s="2">
        <f t="shared" si="61"/>
        <v>523.04</v>
      </c>
      <c r="Q62" s="2">
        <f t="shared" si="62"/>
        <v>10.59</v>
      </c>
      <c r="R62" s="2">
        <f t="shared" si="63"/>
        <v>2</v>
      </c>
      <c r="S62" s="2">
        <f t="shared" si="64"/>
        <v>356.38</v>
      </c>
      <c r="T62" s="2">
        <f t="shared" si="65"/>
        <v>0</v>
      </c>
      <c r="U62" s="2">
        <f t="shared" si="66"/>
        <v>40.776516000000001</v>
      </c>
      <c r="V62" s="2">
        <f t="shared" si="67"/>
        <v>0.17297500000000002</v>
      </c>
      <c r="W62" s="2">
        <f t="shared" si="68"/>
        <v>0</v>
      </c>
      <c r="X62" s="2">
        <f t="shared" si="69"/>
        <v>340.46</v>
      </c>
      <c r="Y62" s="2">
        <f t="shared" si="70"/>
        <v>168.44</v>
      </c>
      <c r="Z62" s="2"/>
      <c r="AA62" s="2">
        <v>16500983</v>
      </c>
      <c r="AB62" s="2">
        <f t="shared" si="71"/>
        <v>1093.3889999999999</v>
      </c>
      <c r="AC62" s="2">
        <f t="shared" si="51"/>
        <v>642.55999999999995</v>
      </c>
      <c r="AD62" s="2">
        <f>ROUND(((((ET62*1.25))-((EU62*1.25)))+AE62),6)</f>
        <v>13.012499999999999</v>
      </c>
      <c r="AE62" s="2">
        <f>ROUND(((EU62*1.25)),6)</f>
        <v>2.4624999999999999</v>
      </c>
      <c r="AF62" s="2">
        <f>ROUND(((EV62*1.15)),6)</f>
        <v>437.81650000000002</v>
      </c>
      <c r="AG62" s="2">
        <f t="shared" si="72"/>
        <v>0</v>
      </c>
      <c r="AH62" s="2">
        <f>((EW62*1.15))</f>
        <v>50.094000000000001</v>
      </c>
      <c r="AI62" s="2">
        <f>((EX62*1.25))</f>
        <v>0.21250000000000002</v>
      </c>
      <c r="AJ62" s="2">
        <f t="shared" si="73"/>
        <v>0</v>
      </c>
      <c r="AK62" s="2">
        <v>1033.68</v>
      </c>
      <c r="AL62" s="2">
        <v>642.55999999999995</v>
      </c>
      <c r="AM62" s="2">
        <v>10.41</v>
      </c>
      <c r="AN62" s="2">
        <v>1.97</v>
      </c>
      <c r="AO62" s="2">
        <v>380.71</v>
      </c>
      <c r="AP62" s="2">
        <v>0</v>
      </c>
      <c r="AQ62" s="2">
        <v>43.56</v>
      </c>
      <c r="AR62" s="2">
        <v>0.17</v>
      </c>
      <c r="AS62" s="2">
        <v>0</v>
      </c>
      <c r="AT62" s="2">
        <v>95</v>
      </c>
      <c r="AU62" s="2">
        <v>47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4</v>
      </c>
      <c r="BE62" s="2" t="s">
        <v>4</v>
      </c>
      <c r="BF62" s="2" t="s">
        <v>4</v>
      </c>
      <c r="BG62" s="2" t="s">
        <v>4</v>
      </c>
      <c r="BH62" s="2">
        <v>0</v>
      </c>
      <c r="BI62" s="2">
        <v>1</v>
      </c>
      <c r="BJ62" s="2" t="s">
        <v>113</v>
      </c>
      <c r="BK62" s="2"/>
      <c r="BL62" s="2"/>
      <c r="BM62" s="2">
        <v>15001</v>
      </c>
      <c r="BN62" s="2">
        <v>0</v>
      </c>
      <c r="BO62" s="2" t="s">
        <v>4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4</v>
      </c>
      <c r="BZ62" s="2">
        <v>105</v>
      </c>
      <c r="CA62" s="2">
        <v>55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322</v>
      </c>
      <c r="CO62" s="2">
        <v>0</v>
      </c>
      <c r="CP62" s="2">
        <f t="shared" si="74"/>
        <v>890.01</v>
      </c>
      <c r="CQ62" s="2">
        <f t="shared" si="75"/>
        <v>642.55999999999995</v>
      </c>
      <c r="CR62" s="2">
        <f t="shared" si="76"/>
        <v>13.012499999999999</v>
      </c>
      <c r="CS62" s="2">
        <f t="shared" si="77"/>
        <v>2.4624999999999999</v>
      </c>
      <c r="CT62" s="2">
        <f t="shared" si="78"/>
        <v>437.81650000000002</v>
      </c>
      <c r="CU62" s="2">
        <f t="shared" si="79"/>
        <v>0</v>
      </c>
      <c r="CV62" s="2">
        <f t="shared" si="80"/>
        <v>50.094000000000001</v>
      </c>
      <c r="CW62" s="2">
        <f t="shared" si="81"/>
        <v>0.21250000000000002</v>
      </c>
      <c r="CX62" s="2">
        <f t="shared" si="82"/>
        <v>0</v>
      </c>
      <c r="CY62" s="2">
        <f t="shared" si="83"/>
        <v>340.46100000000001</v>
      </c>
      <c r="CZ62" s="2">
        <f t="shared" si="84"/>
        <v>168.43860000000001</v>
      </c>
      <c r="DA62" s="2"/>
      <c r="DB62" s="2"/>
      <c r="DC62" s="2" t="s">
        <v>4</v>
      </c>
      <c r="DD62" s="2" t="s">
        <v>4</v>
      </c>
      <c r="DE62" s="2" t="s">
        <v>29</v>
      </c>
      <c r="DF62" s="2" t="s">
        <v>29</v>
      </c>
      <c r="DG62" s="2" t="s">
        <v>30</v>
      </c>
      <c r="DH62" s="2" t="s">
        <v>4</v>
      </c>
      <c r="DI62" s="2" t="s">
        <v>30</v>
      </c>
      <c r="DJ62" s="2" t="s">
        <v>29</v>
      </c>
      <c r="DK62" s="2" t="s">
        <v>4</v>
      </c>
      <c r="DL62" s="2" t="s">
        <v>4</v>
      </c>
      <c r="DM62" s="2" t="s">
        <v>4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23</v>
      </c>
      <c r="DW62" s="2" t="s">
        <v>23</v>
      </c>
      <c r="DX62" s="2">
        <v>100</v>
      </c>
      <c r="DY62" s="2"/>
      <c r="DZ62" s="2"/>
      <c r="EA62" s="2"/>
      <c r="EB62" s="2"/>
      <c r="EC62" s="2"/>
      <c r="ED62" s="2"/>
      <c r="EE62" s="2">
        <v>16510513</v>
      </c>
      <c r="EF62" s="2">
        <v>2</v>
      </c>
      <c r="EG62" s="2" t="s">
        <v>31</v>
      </c>
      <c r="EH62" s="2">
        <v>0</v>
      </c>
      <c r="EI62" s="2" t="s">
        <v>4</v>
      </c>
      <c r="EJ62" s="2">
        <v>1</v>
      </c>
      <c r="EK62" s="2">
        <v>15001</v>
      </c>
      <c r="EL62" s="2" t="s">
        <v>100</v>
      </c>
      <c r="EM62" s="2" t="s">
        <v>101</v>
      </c>
      <c r="EN62" s="2"/>
      <c r="EO62" s="2" t="s">
        <v>33</v>
      </c>
      <c r="EP62" s="2"/>
      <c r="EQ62" s="2">
        <v>0</v>
      </c>
      <c r="ER62" s="2">
        <v>1033.68</v>
      </c>
      <c r="ES62" s="2">
        <v>642.55999999999995</v>
      </c>
      <c r="ET62" s="2">
        <v>10.41</v>
      </c>
      <c r="EU62" s="2">
        <v>1.97</v>
      </c>
      <c r="EV62" s="2">
        <v>380.71</v>
      </c>
      <c r="EW62" s="2">
        <v>43.56</v>
      </c>
      <c r="EX62" s="2">
        <v>0.17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5"/>
        <v>0</v>
      </c>
      <c r="FS62" s="2">
        <v>0</v>
      </c>
      <c r="FT62" s="2" t="s">
        <v>34</v>
      </c>
      <c r="FU62" s="2" t="s">
        <v>35</v>
      </c>
      <c r="FV62" s="2"/>
      <c r="FW62" s="2"/>
      <c r="FX62" s="2">
        <v>94.5</v>
      </c>
      <c r="FY62" s="2">
        <v>46.75</v>
      </c>
      <c r="FZ62" s="2"/>
      <c r="GA62" s="2" t="s">
        <v>4</v>
      </c>
      <c r="GB62" s="2"/>
      <c r="GC62" s="2"/>
      <c r="GD62" s="2">
        <v>0</v>
      </c>
      <c r="GE62" s="2"/>
      <c r="GF62" s="2">
        <v>325170472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6"/>
        <v>0</v>
      </c>
      <c r="GM62" s="2">
        <f t="shared" si="87"/>
        <v>1398.91</v>
      </c>
      <c r="GN62" s="2">
        <f t="shared" si="88"/>
        <v>1398.91</v>
      </c>
      <c r="GO62" s="2">
        <f t="shared" si="89"/>
        <v>0</v>
      </c>
      <c r="GP62" s="2">
        <f t="shared" si="90"/>
        <v>0</v>
      </c>
      <c r="GQ62" s="2"/>
      <c r="GR62" s="2">
        <v>0</v>
      </c>
      <c r="GS62" s="2">
        <v>3</v>
      </c>
      <c r="GT62" s="2">
        <v>0</v>
      </c>
      <c r="GU62" s="2" t="s">
        <v>4</v>
      </c>
      <c r="GV62" s="2">
        <f t="shared" si="91"/>
        <v>0</v>
      </c>
      <c r="GW62" s="2">
        <v>1</v>
      </c>
      <c r="GX62" s="2">
        <f t="shared" si="92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ROW(SmtRes!A110)</f>
        <v>110</v>
      </c>
      <c r="D63">
        <f>ROW(EtalonRes!A112)</f>
        <v>112</v>
      </c>
      <c r="E63" t="s">
        <v>110</v>
      </c>
      <c r="F63" t="s">
        <v>111</v>
      </c>
      <c r="G63" t="s">
        <v>112</v>
      </c>
      <c r="H63" t="s">
        <v>23</v>
      </c>
      <c r="I63">
        <f>ROUND(81.4/100,9)</f>
        <v>0.81399999999999995</v>
      </c>
      <c r="J63">
        <v>0</v>
      </c>
      <c r="O63">
        <f t="shared" si="60"/>
        <v>5411.32</v>
      </c>
      <c r="P63">
        <f t="shared" si="61"/>
        <v>3180.11</v>
      </c>
      <c r="Q63">
        <f t="shared" si="62"/>
        <v>64.400000000000006</v>
      </c>
      <c r="R63">
        <f t="shared" si="63"/>
        <v>12.19</v>
      </c>
      <c r="S63">
        <f t="shared" si="64"/>
        <v>2166.81</v>
      </c>
      <c r="T63">
        <f t="shared" si="65"/>
        <v>0</v>
      </c>
      <c r="U63">
        <f t="shared" si="66"/>
        <v>40.776516000000001</v>
      </c>
      <c r="V63">
        <f t="shared" si="67"/>
        <v>0.17297500000000002</v>
      </c>
      <c r="W63">
        <f t="shared" si="68"/>
        <v>0</v>
      </c>
      <c r="X63">
        <f t="shared" si="69"/>
        <v>2070.0500000000002</v>
      </c>
      <c r="Y63">
        <f t="shared" si="70"/>
        <v>1024.1300000000001</v>
      </c>
      <c r="AA63">
        <v>16500997</v>
      </c>
      <c r="AB63">
        <f t="shared" si="71"/>
        <v>1093.3889999999999</v>
      </c>
      <c r="AC63">
        <f t="shared" si="51"/>
        <v>642.55999999999995</v>
      </c>
      <c r="AD63">
        <f>ROUND(((((ET63*1.25))-((EU63*1.25)))+AE63),6)</f>
        <v>13.012499999999999</v>
      </c>
      <c r="AE63">
        <f>ROUND(((EU63*1.25)),6)</f>
        <v>2.4624999999999999</v>
      </c>
      <c r="AF63">
        <f>ROUND(((EV63*1.15)),6)</f>
        <v>437.81650000000002</v>
      </c>
      <c r="AG63">
        <f t="shared" si="72"/>
        <v>0</v>
      </c>
      <c r="AH63">
        <f>((EW63*1.15))</f>
        <v>50.094000000000001</v>
      </c>
      <c r="AI63">
        <f>((EX63*1.25))</f>
        <v>0.21250000000000002</v>
      </c>
      <c r="AJ63">
        <f t="shared" si="73"/>
        <v>0</v>
      </c>
      <c r="AK63">
        <v>1033.68</v>
      </c>
      <c r="AL63">
        <v>642.55999999999995</v>
      </c>
      <c r="AM63">
        <v>10.41</v>
      </c>
      <c r="AN63">
        <v>1.97</v>
      </c>
      <c r="AO63">
        <v>380.71</v>
      </c>
      <c r="AP63">
        <v>0</v>
      </c>
      <c r="AQ63">
        <v>43.56</v>
      </c>
      <c r="AR63">
        <v>0.17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6.08</v>
      </c>
      <c r="BA63">
        <v>6.08</v>
      </c>
      <c r="BB63">
        <v>6.08</v>
      </c>
      <c r="BC63">
        <v>6.08</v>
      </c>
      <c r="BD63" t="s">
        <v>4</v>
      </c>
      <c r="BE63" t="s">
        <v>4</v>
      </c>
      <c r="BF63" t="s">
        <v>4</v>
      </c>
      <c r="BG63" t="s">
        <v>4</v>
      </c>
      <c r="BH63">
        <v>0</v>
      </c>
      <c r="BI63">
        <v>1</v>
      </c>
      <c r="BJ63" t="s">
        <v>113</v>
      </c>
      <c r="BM63">
        <v>15001</v>
      </c>
      <c r="BN63">
        <v>0</v>
      </c>
      <c r="BO63" t="s">
        <v>4</v>
      </c>
      <c r="BP63">
        <v>0</v>
      </c>
      <c r="BQ63">
        <v>2</v>
      </c>
      <c r="BR63">
        <v>0</v>
      </c>
      <c r="BS63">
        <v>6.08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4</v>
      </c>
      <c r="BZ63">
        <v>105</v>
      </c>
      <c r="CA63">
        <v>55</v>
      </c>
      <c r="CF63">
        <v>0</v>
      </c>
      <c r="CG63">
        <v>0</v>
      </c>
      <c r="CM63">
        <v>0</v>
      </c>
      <c r="CN63" t="s">
        <v>322</v>
      </c>
      <c r="CO63">
        <v>0</v>
      </c>
      <c r="CP63">
        <f t="shared" si="74"/>
        <v>5411.32</v>
      </c>
      <c r="CQ63">
        <f t="shared" si="75"/>
        <v>3906.7647999999999</v>
      </c>
      <c r="CR63">
        <f t="shared" si="76"/>
        <v>79.116</v>
      </c>
      <c r="CS63">
        <f t="shared" si="77"/>
        <v>14.972</v>
      </c>
      <c r="CT63">
        <f t="shared" si="78"/>
        <v>2661.9243200000001</v>
      </c>
      <c r="CU63">
        <f t="shared" si="79"/>
        <v>0</v>
      </c>
      <c r="CV63">
        <f t="shared" si="80"/>
        <v>50.094000000000001</v>
      </c>
      <c r="CW63">
        <f t="shared" si="81"/>
        <v>0.21250000000000002</v>
      </c>
      <c r="CX63">
        <f t="shared" si="82"/>
        <v>0</v>
      </c>
      <c r="CY63">
        <f t="shared" si="83"/>
        <v>2070.0500000000002</v>
      </c>
      <c r="CZ63">
        <f t="shared" si="84"/>
        <v>1024.1300000000001</v>
      </c>
      <c r="DC63" t="s">
        <v>4</v>
      </c>
      <c r="DD63" t="s">
        <v>4</v>
      </c>
      <c r="DE63" t="s">
        <v>29</v>
      </c>
      <c r="DF63" t="s">
        <v>29</v>
      </c>
      <c r="DG63" t="s">
        <v>30</v>
      </c>
      <c r="DH63" t="s">
        <v>4</v>
      </c>
      <c r="DI63" t="s">
        <v>30</v>
      </c>
      <c r="DJ63" t="s">
        <v>29</v>
      </c>
      <c r="DK63" t="s">
        <v>4</v>
      </c>
      <c r="DL63" t="s">
        <v>4</v>
      </c>
      <c r="DM63" t="s">
        <v>4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23</v>
      </c>
      <c r="DW63" t="s">
        <v>23</v>
      </c>
      <c r="DX63">
        <v>100</v>
      </c>
      <c r="EE63">
        <v>16510513</v>
      </c>
      <c r="EF63">
        <v>2</v>
      </c>
      <c r="EG63" t="s">
        <v>31</v>
      </c>
      <c r="EH63">
        <v>0</v>
      </c>
      <c r="EI63" t="s">
        <v>4</v>
      </c>
      <c r="EJ63">
        <v>1</v>
      </c>
      <c r="EK63">
        <v>15001</v>
      </c>
      <c r="EL63" t="s">
        <v>100</v>
      </c>
      <c r="EM63" t="s">
        <v>101</v>
      </c>
      <c r="EO63" t="s">
        <v>33</v>
      </c>
      <c r="EQ63">
        <v>0</v>
      </c>
      <c r="ER63">
        <v>1033.68</v>
      </c>
      <c r="ES63">
        <v>642.55999999999995</v>
      </c>
      <c r="ET63">
        <v>10.41</v>
      </c>
      <c r="EU63">
        <v>1.97</v>
      </c>
      <c r="EV63">
        <v>380.71</v>
      </c>
      <c r="EW63">
        <v>43.56</v>
      </c>
      <c r="EX63">
        <v>0.17</v>
      </c>
      <c r="EY63">
        <v>0</v>
      </c>
      <c r="FQ63">
        <v>0</v>
      </c>
      <c r="FR63">
        <f t="shared" si="85"/>
        <v>0</v>
      </c>
      <c r="FS63">
        <v>0</v>
      </c>
      <c r="FT63" t="s">
        <v>34</v>
      </c>
      <c r="FU63" t="s">
        <v>35</v>
      </c>
      <c r="FX63">
        <v>94.5</v>
      </c>
      <c r="FY63">
        <v>46.75</v>
      </c>
      <c r="GA63" t="s">
        <v>4</v>
      </c>
      <c r="GD63">
        <v>0</v>
      </c>
      <c r="GF63">
        <v>325170472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6"/>
        <v>0</v>
      </c>
      <c r="GM63">
        <f t="shared" si="87"/>
        <v>8505.5</v>
      </c>
      <c r="GN63">
        <f t="shared" si="88"/>
        <v>8505.5</v>
      </c>
      <c r="GO63">
        <f t="shared" si="89"/>
        <v>0</v>
      </c>
      <c r="GP63">
        <f t="shared" si="90"/>
        <v>0</v>
      </c>
      <c r="GR63">
        <v>0</v>
      </c>
      <c r="GS63">
        <v>3</v>
      </c>
      <c r="GT63">
        <v>0</v>
      </c>
      <c r="GU63" t="s">
        <v>4</v>
      </c>
      <c r="GV63">
        <f t="shared" si="91"/>
        <v>0</v>
      </c>
      <c r="GW63">
        <v>1</v>
      </c>
      <c r="GX63">
        <f t="shared" si="92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100</v>
      </c>
      <c r="D64" s="2"/>
      <c r="E64" s="2" t="s">
        <v>114</v>
      </c>
      <c r="F64" s="2" t="s">
        <v>115</v>
      </c>
      <c r="G64" s="2" t="s">
        <v>116</v>
      </c>
      <c r="H64" s="2" t="s">
        <v>58</v>
      </c>
      <c r="I64" s="2">
        <f>I62*J64</f>
        <v>2.4420000000000001E-2</v>
      </c>
      <c r="J64" s="2">
        <v>3.0000000000000002E-2</v>
      </c>
      <c r="K64" s="2"/>
      <c r="L64" s="2"/>
      <c r="M64" s="2"/>
      <c r="N64" s="2"/>
      <c r="O64" s="2">
        <f t="shared" si="60"/>
        <v>186.26</v>
      </c>
      <c r="P64" s="2">
        <f t="shared" si="61"/>
        <v>186.26</v>
      </c>
      <c r="Q64" s="2">
        <f t="shared" si="62"/>
        <v>0</v>
      </c>
      <c r="R64" s="2">
        <f t="shared" si="63"/>
        <v>0</v>
      </c>
      <c r="S64" s="2">
        <f t="shared" si="64"/>
        <v>0</v>
      </c>
      <c r="T64" s="2">
        <f t="shared" si="65"/>
        <v>0</v>
      </c>
      <c r="U64" s="2">
        <f t="shared" si="66"/>
        <v>0</v>
      </c>
      <c r="V64" s="2">
        <f t="shared" si="67"/>
        <v>0</v>
      </c>
      <c r="W64" s="2">
        <f t="shared" si="68"/>
        <v>0</v>
      </c>
      <c r="X64" s="2">
        <f t="shared" si="69"/>
        <v>0</v>
      </c>
      <c r="Y64" s="2">
        <f t="shared" si="70"/>
        <v>0</v>
      </c>
      <c r="Z64" s="2"/>
      <c r="AA64" s="2">
        <v>16500983</v>
      </c>
      <c r="AB64" s="2">
        <f t="shared" si="71"/>
        <v>7627.37</v>
      </c>
      <c r="AC64" s="2">
        <f t="shared" si="51"/>
        <v>7627.37</v>
      </c>
      <c r="AD64" s="2">
        <f>ROUND((((ET64)-(EU64))+AE64),6)</f>
        <v>0</v>
      </c>
      <c r="AE64" s="2">
        <f t="shared" ref="AE64:AF67" si="95">ROUND((EU64),6)</f>
        <v>0</v>
      </c>
      <c r="AF64" s="2">
        <f t="shared" si="95"/>
        <v>0</v>
      </c>
      <c r="AG64" s="2">
        <f t="shared" si="72"/>
        <v>0</v>
      </c>
      <c r="AH64" s="2">
        <f t="shared" ref="AH64:AI67" si="96">(EW64)</f>
        <v>0</v>
      </c>
      <c r="AI64" s="2">
        <f t="shared" si="96"/>
        <v>0</v>
      </c>
      <c r="AJ64" s="2">
        <f t="shared" si="73"/>
        <v>0</v>
      </c>
      <c r="AK64" s="2">
        <v>7627.37</v>
      </c>
      <c r="AL64" s="2">
        <v>7627.37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95</v>
      </c>
      <c r="AU64" s="2">
        <v>47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4</v>
      </c>
      <c r="BE64" s="2" t="s">
        <v>4</v>
      </c>
      <c r="BF64" s="2" t="s">
        <v>4</v>
      </c>
      <c r="BG64" s="2" t="s">
        <v>4</v>
      </c>
      <c r="BH64" s="2">
        <v>3</v>
      </c>
      <c r="BI64" s="2">
        <v>1</v>
      </c>
      <c r="BJ64" s="2" t="s">
        <v>117</v>
      </c>
      <c r="BK64" s="2"/>
      <c r="BL64" s="2"/>
      <c r="BM64" s="2">
        <v>15001</v>
      </c>
      <c r="BN64" s="2">
        <v>0</v>
      </c>
      <c r="BO64" s="2" t="s">
        <v>4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4</v>
      </c>
      <c r="BZ64" s="2">
        <v>105</v>
      </c>
      <c r="CA64" s="2">
        <v>55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4</v>
      </c>
      <c r="CO64" s="2">
        <v>0</v>
      </c>
      <c r="CP64" s="2">
        <f t="shared" si="74"/>
        <v>186.26</v>
      </c>
      <c r="CQ64" s="2">
        <f t="shared" si="75"/>
        <v>7627.37</v>
      </c>
      <c r="CR64" s="2">
        <f t="shared" si="76"/>
        <v>0</v>
      </c>
      <c r="CS64" s="2">
        <f t="shared" si="77"/>
        <v>0</v>
      </c>
      <c r="CT64" s="2">
        <f t="shared" si="78"/>
        <v>0</v>
      </c>
      <c r="CU64" s="2">
        <f t="shared" si="79"/>
        <v>0</v>
      </c>
      <c r="CV64" s="2">
        <f t="shared" si="80"/>
        <v>0</v>
      </c>
      <c r="CW64" s="2">
        <f t="shared" si="81"/>
        <v>0</v>
      </c>
      <c r="CX64" s="2">
        <f t="shared" si="82"/>
        <v>0</v>
      </c>
      <c r="CY64" s="2">
        <f t="shared" si="83"/>
        <v>0</v>
      </c>
      <c r="CZ64" s="2">
        <f t="shared" si="84"/>
        <v>0</v>
      </c>
      <c r="DA64" s="2"/>
      <c r="DB64" s="2"/>
      <c r="DC64" s="2" t="s">
        <v>4</v>
      </c>
      <c r="DD64" s="2" t="s">
        <v>4</v>
      </c>
      <c r="DE64" s="2" t="s">
        <v>4</v>
      </c>
      <c r="DF64" s="2" t="s">
        <v>4</v>
      </c>
      <c r="DG64" s="2" t="s">
        <v>4</v>
      </c>
      <c r="DH64" s="2" t="s">
        <v>4</v>
      </c>
      <c r="DI64" s="2" t="s">
        <v>4</v>
      </c>
      <c r="DJ64" s="2" t="s">
        <v>4</v>
      </c>
      <c r="DK64" s="2" t="s">
        <v>4</v>
      </c>
      <c r="DL64" s="2" t="s">
        <v>4</v>
      </c>
      <c r="DM64" s="2" t="s">
        <v>4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1009</v>
      </c>
      <c r="DV64" s="2" t="s">
        <v>58</v>
      </c>
      <c r="DW64" s="2" t="s">
        <v>58</v>
      </c>
      <c r="DX64" s="2">
        <v>1000</v>
      </c>
      <c r="DY64" s="2"/>
      <c r="DZ64" s="2"/>
      <c r="EA64" s="2"/>
      <c r="EB64" s="2"/>
      <c r="EC64" s="2"/>
      <c r="ED64" s="2"/>
      <c r="EE64" s="2">
        <v>16510513</v>
      </c>
      <c r="EF64" s="2">
        <v>2</v>
      </c>
      <c r="EG64" s="2" t="s">
        <v>31</v>
      </c>
      <c r="EH64" s="2">
        <v>0</v>
      </c>
      <c r="EI64" s="2" t="s">
        <v>4</v>
      </c>
      <c r="EJ64" s="2">
        <v>1</v>
      </c>
      <c r="EK64" s="2">
        <v>15001</v>
      </c>
      <c r="EL64" s="2" t="s">
        <v>100</v>
      </c>
      <c r="EM64" s="2" t="s">
        <v>101</v>
      </c>
      <c r="EN64" s="2"/>
      <c r="EO64" s="2" t="s">
        <v>4</v>
      </c>
      <c r="EP64" s="2"/>
      <c r="EQ64" s="2">
        <v>0</v>
      </c>
      <c r="ER64" s="2">
        <v>7627.37</v>
      </c>
      <c r="ES64" s="2">
        <v>7627.37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5"/>
        <v>0</v>
      </c>
      <c r="FS64" s="2">
        <v>0</v>
      </c>
      <c r="FT64" s="2" t="s">
        <v>34</v>
      </c>
      <c r="FU64" s="2" t="s">
        <v>35</v>
      </c>
      <c r="FV64" s="2"/>
      <c r="FW64" s="2"/>
      <c r="FX64" s="2">
        <v>94.5</v>
      </c>
      <c r="FY64" s="2">
        <v>46.75</v>
      </c>
      <c r="FZ64" s="2"/>
      <c r="GA64" s="2" t="s">
        <v>4</v>
      </c>
      <c r="GB64" s="2"/>
      <c r="GC64" s="2"/>
      <c r="GD64" s="2">
        <v>0</v>
      </c>
      <c r="GE64" s="2"/>
      <c r="GF64" s="2">
        <v>763838732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6"/>
        <v>0</v>
      </c>
      <c r="GM64" s="2">
        <f t="shared" si="87"/>
        <v>186.26</v>
      </c>
      <c r="GN64" s="2">
        <f t="shared" si="88"/>
        <v>186.26</v>
      </c>
      <c r="GO64" s="2">
        <f t="shared" si="89"/>
        <v>0</v>
      </c>
      <c r="GP64" s="2">
        <f t="shared" si="90"/>
        <v>0</v>
      </c>
      <c r="GQ64" s="2"/>
      <c r="GR64" s="2">
        <v>0</v>
      </c>
      <c r="GS64" s="2">
        <v>3</v>
      </c>
      <c r="GT64" s="2">
        <v>0</v>
      </c>
      <c r="GU64" s="2" t="s">
        <v>4</v>
      </c>
      <c r="GV64" s="2">
        <f t="shared" si="91"/>
        <v>0</v>
      </c>
      <c r="GW64" s="2">
        <v>1</v>
      </c>
      <c r="GX64" s="2">
        <f t="shared" si="92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109</v>
      </c>
      <c r="E65" t="s">
        <v>114</v>
      </c>
      <c r="F65" t="s">
        <v>115</v>
      </c>
      <c r="G65" t="s">
        <v>116</v>
      </c>
      <c r="H65" t="s">
        <v>58</v>
      </c>
      <c r="I65">
        <f>I63*J65</f>
        <v>2.4420000000000001E-2</v>
      </c>
      <c r="J65">
        <v>3.0000000000000002E-2</v>
      </c>
      <c r="O65">
        <f t="shared" si="60"/>
        <v>1132.46</v>
      </c>
      <c r="P65">
        <f t="shared" si="61"/>
        <v>1132.46</v>
      </c>
      <c r="Q65">
        <f t="shared" si="62"/>
        <v>0</v>
      </c>
      <c r="R65">
        <f t="shared" si="63"/>
        <v>0</v>
      </c>
      <c r="S65">
        <f t="shared" si="64"/>
        <v>0</v>
      </c>
      <c r="T65">
        <f t="shared" si="65"/>
        <v>0</v>
      </c>
      <c r="U65">
        <f t="shared" si="66"/>
        <v>0</v>
      </c>
      <c r="V65">
        <f t="shared" si="67"/>
        <v>0</v>
      </c>
      <c r="W65">
        <f t="shared" si="68"/>
        <v>0</v>
      </c>
      <c r="X65">
        <f t="shared" si="69"/>
        <v>0</v>
      </c>
      <c r="Y65">
        <f t="shared" si="70"/>
        <v>0</v>
      </c>
      <c r="AA65">
        <v>16500997</v>
      </c>
      <c r="AB65">
        <f t="shared" si="71"/>
        <v>7627.37</v>
      </c>
      <c r="AC65">
        <f t="shared" si="51"/>
        <v>7627.37</v>
      </c>
      <c r="AD65">
        <f>ROUND((((ET65)-(EU65))+AE65),6)</f>
        <v>0</v>
      </c>
      <c r="AE65">
        <f t="shared" si="95"/>
        <v>0</v>
      </c>
      <c r="AF65">
        <f t="shared" si="95"/>
        <v>0</v>
      </c>
      <c r="AG65">
        <f t="shared" si="72"/>
        <v>0</v>
      </c>
      <c r="AH65">
        <f t="shared" si="96"/>
        <v>0</v>
      </c>
      <c r="AI65">
        <f t="shared" si="96"/>
        <v>0</v>
      </c>
      <c r="AJ65">
        <f t="shared" si="73"/>
        <v>0</v>
      </c>
      <c r="AK65">
        <v>7627.37</v>
      </c>
      <c r="AL65">
        <v>7627.37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6.08</v>
      </c>
      <c r="BA65">
        <v>1</v>
      </c>
      <c r="BB65">
        <v>1</v>
      </c>
      <c r="BC65">
        <v>6.08</v>
      </c>
      <c r="BD65" t="s">
        <v>4</v>
      </c>
      <c r="BE65" t="s">
        <v>4</v>
      </c>
      <c r="BF65" t="s">
        <v>4</v>
      </c>
      <c r="BG65" t="s">
        <v>4</v>
      </c>
      <c r="BH65">
        <v>3</v>
      </c>
      <c r="BI65">
        <v>1</v>
      </c>
      <c r="BJ65" t="s">
        <v>117</v>
      </c>
      <c r="BM65">
        <v>15001</v>
      </c>
      <c r="BN65">
        <v>0</v>
      </c>
      <c r="BO65" t="s">
        <v>4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4</v>
      </c>
      <c r="BZ65">
        <v>105</v>
      </c>
      <c r="CA65">
        <v>55</v>
      </c>
      <c r="CF65">
        <v>0</v>
      </c>
      <c r="CG65">
        <v>0</v>
      </c>
      <c r="CM65">
        <v>0</v>
      </c>
      <c r="CN65" t="s">
        <v>4</v>
      </c>
      <c r="CO65">
        <v>0</v>
      </c>
      <c r="CP65">
        <f t="shared" si="74"/>
        <v>1132.46</v>
      </c>
      <c r="CQ65">
        <f t="shared" si="75"/>
        <v>46374.409599999999</v>
      </c>
      <c r="CR65">
        <f t="shared" si="76"/>
        <v>0</v>
      </c>
      <c r="CS65">
        <f t="shared" si="77"/>
        <v>0</v>
      </c>
      <c r="CT65">
        <f t="shared" si="78"/>
        <v>0</v>
      </c>
      <c r="CU65">
        <f t="shared" si="79"/>
        <v>0</v>
      </c>
      <c r="CV65">
        <f t="shared" si="80"/>
        <v>0</v>
      </c>
      <c r="CW65">
        <f t="shared" si="81"/>
        <v>0</v>
      </c>
      <c r="CX65">
        <f t="shared" si="82"/>
        <v>0</v>
      </c>
      <c r="CY65">
        <f t="shared" si="83"/>
        <v>0</v>
      </c>
      <c r="CZ65">
        <f t="shared" si="84"/>
        <v>0</v>
      </c>
      <c r="DC65" t="s">
        <v>4</v>
      </c>
      <c r="DD65" t="s">
        <v>4</v>
      </c>
      <c r="DE65" t="s">
        <v>4</v>
      </c>
      <c r="DF65" t="s">
        <v>4</v>
      </c>
      <c r="DG65" t="s">
        <v>4</v>
      </c>
      <c r="DH65" t="s">
        <v>4</v>
      </c>
      <c r="DI65" t="s">
        <v>4</v>
      </c>
      <c r="DJ65" t="s">
        <v>4</v>
      </c>
      <c r="DK65" t="s">
        <v>4</v>
      </c>
      <c r="DL65" t="s">
        <v>4</v>
      </c>
      <c r="DM65" t="s">
        <v>4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58</v>
      </c>
      <c r="DW65" t="s">
        <v>58</v>
      </c>
      <c r="DX65">
        <v>1000</v>
      </c>
      <c r="EE65">
        <v>16510513</v>
      </c>
      <c r="EF65">
        <v>2</v>
      </c>
      <c r="EG65" t="s">
        <v>31</v>
      </c>
      <c r="EH65">
        <v>0</v>
      </c>
      <c r="EI65" t="s">
        <v>4</v>
      </c>
      <c r="EJ65">
        <v>1</v>
      </c>
      <c r="EK65">
        <v>15001</v>
      </c>
      <c r="EL65" t="s">
        <v>100</v>
      </c>
      <c r="EM65" t="s">
        <v>101</v>
      </c>
      <c r="EO65" t="s">
        <v>4</v>
      </c>
      <c r="EQ65">
        <v>0</v>
      </c>
      <c r="ER65">
        <v>7627.37</v>
      </c>
      <c r="ES65">
        <v>7627.37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5"/>
        <v>0</v>
      </c>
      <c r="FS65">
        <v>0</v>
      </c>
      <c r="FT65" t="s">
        <v>34</v>
      </c>
      <c r="FU65" t="s">
        <v>35</v>
      </c>
      <c r="FX65">
        <v>94.5</v>
      </c>
      <c r="FY65">
        <v>46.75</v>
      </c>
      <c r="GA65" t="s">
        <v>4</v>
      </c>
      <c r="GD65">
        <v>0</v>
      </c>
      <c r="GF65">
        <v>763838732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6"/>
        <v>0</v>
      </c>
      <c r="GM65">
        <f t="shared" si="87"/>
        <v>1132.46</v>
      </c>
      <c r="GN65">
        <f t="shared" si="88"/>
        <v>1132.46</v>
      </c>
      <c r="GO65">
        <f t="shared" si="89"/>
        <v>0</v>
      </c>
      <c r="GP65">
        <f t="shared" si="90"/>
        <v>0</v>
      </c>
      <c r="GR65">
        <v>0</v>
      </c>
      <c r="GS65">
        <v>3</v>
      </c>
      <c r="GT65">
        <v>0</v>
      </c>
      <c r="GU65" t="s">
        <v>4</v>
      </c>
      <c r="GV65">
        <f t="shared" si="91"/>
        <v>0</v>
      </c>
      <c r="GW65">
        <v>1</v>
      </c>
      <c r="GX65">
        <f t="shared" si="92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99</v>
      </c>
      <c r="D66" s="2"/>
      <c r="E66" s="2" t="s">
        <v>118</v>
      </c>
      <c r="F66" s="2" t="s">
        <v>107</v>
      </c>
      <c r="G66" s="2" t="s">
        <v>108</v>
      </c>
      <c r="H66" s="2" t="s">
        <v>58</v>
      </c>
      <c r="I66" s="2">
        <f>I62*J66</f>
        <v>1.6279999999999999E-2</v>
      </c>
      <c r="J66" s="2">
        <v>0.02</v>
      </c>
      <c r="K66" s="2"/>
      <c r="L66" s="2"/>
      <c r="M66" s="2"/>
      <c r="N66" s="2"/>
      <c r="O66" s="2">
        <f t="shared" si="60"/>
        <v>299.39</v>
      </c>
      <c r="P66" s="2">
        <f t="shared" si="61"/>
        <v>299.39</v>
      </c>
      <c r="Q66" s="2">
        <f t="shared" si="62"/>
        <v>0</v>
      </c>
      <c r="R66" s="2">
        <f t="shared" si="63"/>
        <v>0</v>
      </c>
      <c r="S66" s="2">
        <f t="shared" si="64"/>
        <v>0</v>
      </c>
      <c r="T66" s="2">
        <f t="shared" si="65"/>
        <v>0</v>
      </c>
      <c r="U66" s="2">
        <f t="shared" si="66"/>
        <v>0</v>
      </c>
      <c r="V66" s="2">
        <f t="shared" si="67"/>
        <v>0</v>
      </c>
      <c r="W66" s="2">
        <f t="shared" si="68"/>
        <v>0</v>
      </c>
      <c r="X66" s="2">
        <f t="shared" si="69"/>
        <v>0</v>
      </c>
      <c r="Y66" s="2">
        <f t="shared" si="70"/>
        <v>0</v>
      </c>
      <c r="Z66" s="2"/>
      <c r="AA66" s="2">
        <v>16500983</v>
      </c>
      <c r="AB66" s="2">
        <f t="shared" si="71"/>
        <v>18390.16</v>
      </c>
      <c r="AC66" s="2">
        <f t="shared" si="51"/>
        <v>18390.16</v>
      </c>
      <c r="AD66" s="2">
        <f>ROUND((((ET66)-(EU66))+AE66),6)</f>
        <v>0</v>
      </c>
      <c r="AE66" s="2">
        <f t="shared" si="95"/>
        <v>0</v>
      </c>
      <c r="AF66" s="2">
        <f t="shared" si="95"/>
        <v>0</v>
      </c>
      <c r="AG66" s="2">
        <f t="shared" si="72"/>
        <v>0</v>
      </c>
      <c r="AH66" s="2">
        <f t="shared" si="96"/>
        <v>0</v>
      </c>
      <c r="AI66" s="2">
        <f t="shared" si="96"/>
        <v>0</v>
      </c>
      <c r="AJ66" s="2">
        <f t="shared" si="73"/>
        <v>0</v>
      </c>
      <c r="AK66" s="2">
        <v>18390.16</v>
      </c>
      <c r="AL66" s="2">
        <v>18390.16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95</v>
      </c>
      <c r="AU66" s="2">
        <v>47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4</v>
      </c>
      <c r="BE66" s="2" t="s">
        <v>4</v>
      </c>
      <c r="BF66" s="2" t="s">
        <v>4</v>
      </c>
      <c r="BG66" s="2" t="s">
        <v>4</v>
      </c>
      <c r="BH66" s="2">
        <v>3</v>
      </c>
      <c r="BI66" s="2">
        <v>1</v>
      </c>
      <c r="BJ66" s="2" t="s">
        <v>109</v>
      </c>
      <c r="BK66" s="2"/>
      <c r="BL66" s="2"/>
      <c r="BM66" s="2">
        <v>15001</v>
      </c>
      <c r="BN66" s="2">
        <v>0</v>
      </c>
      <c r="BO66" s="2" t="s">
        <v>4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4</v>
      </c>
      <c r="BZ66" s="2">
        <v>105</v>
      </c>
      <c r="CA66" s="2">
        <v>55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4</v>
      </c>
      <c r="CO66" s="2">
        <v>0</v>
      </c>
      <c r="CP66" s="2">
        <f t="shared" si="74"/>
        <v>299.39</v>
      </c>
      <c r="CQ66" s="2">
        <f t="shared" si="75"/>
        <v>18390.16</v>
      </c>
      <c r="CR66" s="2">
        <f t="shared" si="76"/>
        <v>0</v>
      </c>
      <c r="CS66" s="2">
        <f t="shared" si="77"/>
        <v>0</v>
      </c>
      <c r="CT66" s="2">
        <f t="shared" si="78"/>
        <v>0</v>
      </c>
      <c r="CU66" s="2">
        <f t="shared" si="79"/>
        <v>0</v>
      </c>
      <c r="CV66" s="2">
        <f t="shared" si="80"/>
        <v>0</v>
      </c>
      <c r="CW66" s="2">
        <f t="shared" si="81"/>
        <v>0</v>
      </c>
      <c r="CX66" s="2">
        <f t="shared" si="82"/>
        <v>0</v>
      </c>
      <c r="CY66" s="2">
        <f t="shared" si="83"/>
        <v>0</v>
      </c>
      <c r="CZ66" s="2">
        <f t="shared" si="84"/>
        <v>0</v>
      </c>
      <c r="DA66" s="2"/>
      <c r="DB66" s="2"/>
      <c r="DC66" s="2" t="s">
        <v>4</v>
      </c>
      <c r="DD66" s="2" t="s">
        <v>4</v>
      </c>
      <c r="DE66" s="2" t="s">
        <v>4</v>
      </c>
      <c r="DF66" s="2" t="s">
        <v>4</v>
      </c>
      <c r="DG66" s="2" t="s">
        <v>4</v>
      </c>
      <c r="DH66" s="2" t="s">
        <v>4</v>
      </c>
      <c r="DI66" s="2" t="s">
        <v>4</v>
      </c>
      <c r="DJ66" s="2" t="s">
        <v>4</v>
      </c>
      <c r="DK66" s="2" t="s">
        <v>4</v>
      </c>
      <c r="DL66" s="2" t="s">
        <v>4</v>
      </c>
      <c r="DM66" s="2" t="s">
        <v>4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1009</v>
      </c>
      <c r="DV66" s="2" t="s">
        <v>58</v>
      </c>
      <c r="DW66" s="2" t="s">
        <v>58</v>
      </c>
      <c r="DX66" s="2">
        <v>1000</v>
      </c>
      <c r="DY66" s="2"/>
      <c r="DZ66" s="2"/>
      <c r="EA66" s="2"/>
      <c r="EB66" s="2"/>
      <c r="EC66" s="2"/>
      <c r="ED66" s="2"/>
      <c r="EE66" s="2">
        <v>16510513</v>
      </c>
      <c r="EF66" s="2">
        <v>2</v>
      </c>
      <c r="EG66" s="2" t="s">
        <v>31</v>
      </c>
      <c r="EH66" s="2">
        <v>0</v>
      </c>
      <c r="EI66" s="2" t="s">
        <v>4</v>
      </c>
      <c r="EJ66" s="2">
        <v>1</v>
      </c>
      <c r="EK66" s="2">
        <v>15001</v>
      </c>
      <c r="EL66" s="2" t="s">
        <v>100</v>
      </c>
      <c r="EM66" s="2" t="s">
        <v>101</v>
      </c>
      <c r="EN66" s="2"/>
      <c r="EO66" s="2" t="s">
        <v>4</v>
      </c>
      <c r="EP66" s="2"/>
      <c r="EQ66" s="2">
        <v>0</v>
      </c>
      <c r="ER66" s="2">
        <v>18390.16</v>
      </c>
      <c r="ES66" s="2">
        <v>18390.16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5"/>
        <v>0</v>
      </c>
      <c r="FS66" s="2">
        <v>0</v>
      </c>
      <c r="FT66" s="2" t="s">
        <v>34</v>
      </c>
      <c r="FU66" s="2" t="s">
        <v>35</v>
      </c>
      <c r="FV66" s="2"/>
      <c r="FW66" s="2"/>
      <c r="FX66" s="2">
        <v>94.5</v>
      </c>
      <c r="FY66" s="2">
        <v>46.75</v>
      </c>
      <c r="FZ66" s="2"/>
      <c r="GA66" s="2" t="s">
        <v>4</v>
      </c>
      <c r="GB66" s="2"/>
      <c r="GC66" s="2"/>
      <c r="GD66" s="2">
        <v>0</v>
      </c>
      <c r="GE66" s="2"/>
      <c r="GF66" s="2">
        <v>-1919714308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6"/>
        <v>0</v>
      </c>
      <c r="GM66" s="2">
        <f t="shared" si="87"/>
        <v>299.39</v>
      </c>
      <c r="GN66" s="2">
        <f t="shared" si="88"/>
        <v>299.39</v>
      </c>
      <c r="GO66" s="2">
        <f t="shared" si="89"/>
        <v>0</v>
      </c>
      <c r="GP66" s="2">
        <f t="shared" si="90"/>
        <v>0</v>
      </c>
      <c r="GQ66" s="2"/>
      <c r="GR66" s="2">
        <v>0</v>
      </c>
      <c r="GS66" s="2">
        <v>3</v>
      </c>
      <c r="GT66" s="2">
        <v>0</v>
      </c>
      <c r="GU66" s="2" t="s">
        <v>4</v>
      </c>
      <c r="GV66" s="2">
        <f t="shared" si="91"/>
        <v>0</v>
      </c>
      <c r="GW66" s="2">
        <v>1</v>
      </c>
      <c r="GX66" s="2">
        <f t="shared" si="92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108</v>
      </c>
      <c r="E67" t="s">
        <v>118</v>
      </c>
      <c r="F67" t="s">
        <v>107</v>
      </c>
      <c r="G67" t="s">
        <v>108</v>
      </c>
      <c r="H67" t="s">
        <v>58</v>
      </c>
      <c r="I67">
        <f>I63*J67</f>
        <v>1.6279999999999999E-2</v>
      </c>
      <c r="J67">
        <v>0.02</v>
      </c>
      <c r="O67">
        <f t="shared" si="60"/>
        <v>1820.3</v>
      </c>
      <c r="P67">
        <f t="shared" si="61"/>
        <v>1820.3</v>
      </c>
      <c r="Q67">
        <f t="shared" si="62"/>
        <v>0</v>
      </c>
      <c r="R67">
        <f t="shared" si="63"/>
        <v>0</v>
      </c>
      <c r="S67">
        <f t="shared" si="64"/>
        <v>0</v>
      </c>
      <c r="T67">
        <f t="shared" si="65"/>
        <v>0</v>
      </c>
      <c r="U67">
        <f t="shared" si="66"/>
        <v>0</v>
      </c>
      <c r="V67">
        <f t="shared" si="67"/>
        <v>0</v>
      </c>
      <c r="W67">
        <f t="shared" si="68"/>
        <v>0</v>
      </c>
      <c r="X67">
        <f t="shared" si="69"/>
        <v>0</v>
      </c>
      <c r="Y67">
        <f t="shared" si="70"/>
        <v>0</v>
      </c>
      <c r="AA67">
        <v>16500997</v>
      </c>
      <c r="AB67">
        <f t="shared" si="71"/>
        <v>18390.16</v>
      </c>
      <c r="AC67">
        <f t="shared" si="51"/>
        <v>18390.16</v>
      </c>
      <c r="AD67">
        <f>ROUND((((ET67)-(EU67))+AE67),6)</f>
        <v>0</v>
      </c>
      <c r="AE67">
        <f t="shared" si="95"/>
        <v>0</v>
      </c>
      <c r="AF67">
        <f t="shared" si="95"/>
        <v>0</v>
      </c>
      <c r="AG67">
        <f t="shared" si="72"/>
        <v>0</v>
      </c>
      <c r="AH67">
        <f t="shared" si="96"/>
        <v>0</v>
      </c>
      <c r="AI67">
        <f t="shared" si="96"/>
        <v>0</v>
      </c>
      <c r="AJ67">
        <f t="shared" si="73"/>
        <v>0</v>
      </c>
      <c r="AK67">
        <v>18390.16</v>
      </c>
      <c r="AL67">
        <v>18390.16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6.08</v>
      </c>
      <c r="BA67">
        <v>1</v>
      </c>
      <c r="BB67">
        <v>1</v>
      </c>
      <c r="BC67">
        <v>6.08</v>
      </c>
      <c r="BD67" t="s">
        <v>4</v>
      </c>
      <c r="BE67" t="s">
        <v>4</v>
      </c>
      <c r="BF67" t="s">
        <v>4</v>
      </c>
      <c r="BG67" t="s">
        <v>4</v>
      </c>
      <c r="BH67">
        <v>3</v>
      </c>
      <c r="BI67">
        <v>1</v>
      </c>
      <c r="BJ67" t="s">
        <v>109</v>
      </c>
      <c r="BM67">
        <v>15001</v>
      </c>
      <c r="BN67">
        <v>0</v>
      </c>
      <c r="BO67" t="s">
        <v>4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4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4</v>
      </c>
      <c r="CO67">
        <v>0</v>
      </c>
      <c r="CP67">
        <f t="shared" si="74"/>
        <v>1820.3</v>
      </c>
      <c r="CQ67">
        <f t="shared" si="75"/>
        <v>111812.1728</v>
      </c>
      <c r="CR67">
        <f t="shared" si="76"/>
        <v>0</v>
      </c>
      <c r="CS67">
        <f t="shared" si="77"/>
        <v>0</v>
      </c>
      <c r="CT67">
        <f t="shared" si="78"/>
        <v>0</v>
      </c>
      <c r="CU67">
        <f t="shared" si="79"/>
        <v>0</v>
      </c>
      <c r="CV67">
        <f t="shared" si="80"/>
        <v>0</v>
      </c>
      <c r="CW67">
        <f t="shared" si="81"/>
        <v>0</v>
      </c>
      <c r="CX67">
        <f t="shared" si="82"/>
        <v>0</v>
      </c>
      <c r="CY67">
        <f t="shared" si="83"/>
        <v>0</v>
      </c>
      <c r="CZ67">
        <f t="shared" si="84"/>
        <v>0</v>
      </c>
      <c r="DC67" t="s">
        <v>4</v>
      </c>
      <c r="DD67" t="s">
        <v>4</v>
      </c>
      <c r="DE67" t="s">
        <v>4</v>
      </c>
      <c r="DF67" t="s">
        <v>4</v>
      </c>
      <c r="DG67" t="s">
        <v>4</v>
      </c>
      <c r="DH67" t="s">
        <v>4</v>
      </c>
      <c r="DI67" t="s">
        <v>4</v>
      </c>
      <c r="DJ67" t="s">
        <v>4</v>
      </c>
      <c r="DK67" t="s">
        <v>4</v>
      </c>
      <c r="DL67" t="s">
        <v>4</v>
      </c>
      <c r="DM67" t="s">
        <v>4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58</v>
      </c>
      <c r="DW67" t="s">
        <v>58</v>
      </c>
      <c r="DX67">
        <v>1000</v>
      </c>
      <c r="EE67">
        <v>16510513</v>
      </c>
      <c r="EF67">
        <v>2</v>
      </c>
      <c r="EG67" t="s">
        <v>31</v>
      </c>
      <c r="EH67">
        <v>0</v>
      </c>
      <c r="EI67" t="s">
        <v>4</v>
      </c>
      <c r="EJ67">
        <v>1</v>
      </c>
      <c r="EK67">
        <v>15001</v>
      </c>
      <c r="EL67" t="s">
        <v>100</v>
      </c>
      <c r="EM67" t="s">
        <v>101</v>
      </c>
      <c r="EO67" t="s">
        <v>4</v>
      </c>
      <c r="EQ67">
        <v>0</v>
      </c>
      <c r="ER67">
        <v>18390.16</v>
      </c>
      <c r="ES67">
        <v>18390.16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5"/>
        <v>0</v>
      </c>
      <c r="FS67">
        <v>0</v>
      </c>
      <c r="FT67" t="s">
        <v>34</v>
      </c>
      <c r="FU67" t="s">
        <v>35</v>
      </c>
      <c r="FX67">
        <v>94.5</v>
      </c>
      <c r="FY67">
        <v>46.75</v>
      </c>
      <c r="GA67" t="s">
        <v>4</v>
      </c>
      <c r="GD67">
        <v>0</v>
      </c>
      <c r="GF67">
        <v>-1919714308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6"/>
        <v>0</v>
      </c>
      <c r="GM67">
        <f t="shared" si="87"/>
        <v>1820.3</v>
      </c>
      <c r="GN67">
        <f t="shared" si="88"/>
        <v>1820.3</v>
      </c>
      <c r="GO67">
        <f t="shared" si="89"/>
        <v>0</v>
      </c>
      <c r="GP67">
        <f t="shared" si="90"/>
        <v>0</v>
      </c>
      <c r="GR67">
        <v>0</v>
      </c>
      <c r="GS67">
        <v>3</v>
      </c>
      <c r="GT67">
        <v>0</v>
      </c>
      <c r="GU67" t="s">
        <v>4</v>
      </c>
      <c r="GV67">
        <f t="shared" si="91"/>
        <v>0</v>
      </c>
      <c r="GW67">
        <v>1</v>
      </c>
      <c r="GX67">
        <f t="shared" si="92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ROW(SmtRes!A119)</f>
        <v>119</v>
      </c>
      <c r="D68" s="2">
        <f>ROW(EtalonRes!A121)</f>
        <v>121</v>
      </c>
      <c r="E68" s="2" t="s">
        <v>119</v>
      </c>
      <c r="F68" s="2" t="s">
        <v>120</v>
      </c>
      <c r="G68" s="2" t="s">
        <v>121</v>
      </c>
      <c r="H68" s="2" t="s">
        <v>23</v>
      </c>
      <c r="I68" s="2">
        <f>ROUND(39.9/100,9)</f>
        <v>0.39900000000000002</v>
      </c>
      <c r="J68" s="2">
        <v>0</v>
      </c>
      <c r="K68" s="2"/>
      <c r="L68" s="2"/>
      <c r="M68" s="2"/>
      <c r="N68" s="2"/>
      <c r="O68" s="2">
        <f t="shared" si="60"/>
        <v>532.74</v>
      </c>
      <c r="P68" s="2">
        <f t="shared" si="61"/>
        <v>274.57</v>
      </c>
      <c r="Q68" s="2">
        <f t="shared" si="62"/>
        <v>5.52</v>
      </c>
      <c r="R68" s="2">
        <f t="shared" si="63"/>
        <v>1.04</v>
      </c>
      <c r="S68" s="2">
        <f t="shared" si="64"/>
        <v>252.65</v>
      </c>
      <c r="T68" s="2">
        <f t="shared" si="65"/>
        <v>0</v>
      </c>
      <c r="U68" s="2">
        <f t="shared" si="66"/>
        <v>28.907549999999997</v>
      </c>
      <c r="V68" s="2">
        <f t="shared" si="67"/>
        <v>8.9774999999999994E-2</v>
      </c>
      <c r="W68" s="2">
        <f t="shared" si="68"/>
        <v>0</v>
      </c>
      <c r="X68" s="2">
        <f t="shared" si="69"/>
        <v>241.01</v>
      </c>
      <c r="Y68" s="2">
        <f t="shared" si="70"/>
        <v>119.23</v>
      </c>
      <c r="Z68" s="2"/>
      <c r="AA68" s="2">
        <v>16500983</v>
      </c>
      <c r="AB68" s="2">
        <f t="shared" si="71"/>
        <v>1335.1880000000001</v>
      </c>
      <c r="AC68" s="2">
        <f t="shared" si="51"/>
        <v>688.15</v>
      </c>
      <c r="AD68" s="2">
        <f>ROUND(((((ET68*1.25))-((EU68*1.25)))+AE68),6)</f>
        <v>13.824999999999999</v>
      </c>
      <c r="AE68" s="2">
        <f>ROUND(((EU68*1.25)),6)</f>
        <v>2.6124999999999998</v>
      </c>
      <c r="AF68" s="2">
        <f>ROUND(((EV68*1.15)),6)</f>
        <v>633.21299999999997</v>
      </c>
      <c r="AG68" s="2">
        <f t="shared" si="72"/>
        <v>0</v>
      </c>
      <c r="AH68" s="2">
        <f>((EW68*1.15))</f>
        <v>72.449999999999989</v>
      </c>
      <c r="AI68" s="2">
        <f>((EX68*1.25))</f>
        <v>0.22499999999999998</v>
      </c>
      <c r="AJ68" s="2">
        <f t="shared" si="73"/>
        <v>0</v>
      </c>
      <c r="AK68" s="2">
        <v>1249.83</v>
      </c>
      <c r="AL68" s="2">
        <v>688.15</v>
      </c>
      <c r="AM68" s="2">
        <v>11.06</v>
      </c>
      <c r="AN68" s="2">
        <v>2.09</v>
      </c>
      <c r="AO68" s="2">
        <v>550.62</v>
      </c>
      <c r="AP68" s="2">
        <v>0</v>
      </c>
      <c r="AQ68" s="2">
        <v>63</v>
      </c>
      <c r="AR68" s="2">
        <v>0.18</v>
      </c>
      <c r="AS68" s="2">
        <v>0</v>
      </c>
      <c r="AT68" s="2">
        <v>95</v>
      </c>
      <c r="AU68" s="2">
        <v>47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4</v>
      </c>
      <c r="BE68" s="2" t="s">
        <v>4</v>
      </c>
      <c r="BF68" s="2" t="s">
        <v>4</v>
      </c>
      <c r="BG68" s="2" t="s">
        <v>4</v>
      </c>
      <c r="BH68" s="2">
        <v>0</v>
      </c>
      <c r="BI68" s="2">
        <v>1</v>
      </c>
      <c r="BJ68" s="2" t="s">
        <v>122</v>
      </c>
      <c r="BK68" s="2"/>
      <c r="BL68" s="2"/>
      <c r="BM68" s="2">
        <v>15001</v>
      </c>
      <c r="BN68" s="2">
        <v>0</v>
      </c>
      <c r="BO68" s="2" t="s">
        <v>4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4</v>
      </c>
      <c r="BZ68" s="2">
        <v>105</v>
      </c>
      <c r="CA68" s="2">
        <v>55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322</v>
      </c>
      <c r="CO68" s="2">
        <v>0</v>
      </c>
      <c r="CP68" s="2">
        <f t="shared" si="74"/>
        <v>532.74</v>
      </c>
      <c r="CQ68" s="2">
        <f t="shared" si="75"/>
        <v>688.15</v>
      </c>
      <c r="CR68" s="2">
        <f t="shared" si="76"/>
        <v>13.824999999999999</v>
      </c>
      <c r="CS68" s="2">
        <f t="shared" si="77"/>
        <v>2.6124999999999998</v>
      </c>
      <c r="CT68" s="2">
        <f t="shared" si="78"/>
        <v>633.21299999999997</v>
      </c>
      <c r="CU68" s="2">
        <f t="shared" si="79"/>
        <v>0</v>
      </c>
      <c r="CV68" s="2">
        <f t="shared" si="80"/>
        <v>72.449999999999989</v>
      </c>
      <c r="CW68" s="2">
        <f t="shared" si="81"/>
        <v>0.22499999999999998</v>
      </c>
      <c r="CX68" s="2">
        <f t="shared" si="82"/>
        <v>0</v>
      </c>
      <c r="CY68" s="2">
        <f t="shared" si="83"/>
        <v>241.00549999999998</v>
      </c>
      <c r="CZ68" s="2">
        <f t="shared" si="84"/>
        <v>119.2343</v>
      </c>
      <c r="DA68" s="2"/>
      <c r="DB68" s="2"/>
      <c r="DC68" s="2" t="s">
        <v>4</v>
      </c>
      <c r="DD68" s="2" t="s">
        <v>4</v>
      </c>
      <c r="DE68" s="2" t="s">
        <v>29</v>
      </c>
      <c r="DF68" s="2" t="s">
        <v>29</v>
      </c>
      <c r="DG68" s="2" t="s">
        <v>30</v>
      </c>
      <c r="DH68" s="2" t="s">
        <v>4</v>
      </c>
      <c r="DI68" s="2" t="s">
        <v>30</v>
      </c>
      <c r="DJ68" s="2" t="s">
        <v>29</v>
      </c>
      <c r="DK68" s="2" t="s">
        <v>4</v>
      </c>
      <c r="DL68" s="2" t="s">
        <v>4</v>
      </c>
      <c r="DM68" s="2" t="s">
        <v>4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23</v>
      </c>
      <c r="DW68" s="2" t="s">
        <v>23</v>
      </c>
      <c r="DX68" s="2">
        <v>100</v>
      </c>
      <c r="DY68" s="2"/>
      <c r="DZ68" s="2"/>
      <c r="EA68" s="2"/>
      <c r="EB68" s="2"/>
      <c r="EC68" s="2"/>
      <c r="ED68" s="2"/>
      <c r="EE68" s="2">
        <v>16510513</v>
      </c>
      <c r="EF68" s="2">
        <v>2</v>
      </c>
      <c r="EG68" s="2" t="s">
        <v>31</v>
      </c>
      <c r="EH68" s="2">
        <v>0</v>
      </c>
      <c r="EI68" s="2" t="s">
        <v>4</v>
      </c>
      <c r="EJ68" s="2">
        <v>1</v>
      </c>
      <c r="EK68" s="2">
        <v>15001</v>
      </c>
      <c r="EL68" s="2" t="s">
        <v>100</v>
      </c>
      <c r="EM68" s="2" t="s">
        <v>101</v>
      </c>
      <c r="EN68" s="2"/>
      <c r="EO68" s="2" t="s">
        <v>33</v>
      </c>
      <c r="EP68" s="2"/>
      <c r="EQ68" s="2">
        <v>0</v>
      </c>
      <c r="ER68" s="2">
        <v>1249.83</v>
      </c>
      <c r="ES68" s="2">
        <v>688.15</v>
      </c>
      <c r="ET68" s="2">
        <v>11.06</v>
      </c>
      <c r="EU68" s="2">
        <v>2.09</v>
      </c>
      <c r="EV68" s="2">
        <v>550.62</v>
      </c>
      <c r="EW68" s="2">
        <v>63</v>
      </c>
      <c r="EX68" s="2">
        <v>0.18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5"/>
        <v>0</v>
      </c>
      <c r="FS68" s="2">
        <v>0</v>
      </c>
      <c r="FT68" s="2" t="s">
        <v>34</v>
      </c>
      <c r="FU68" s="2" t="s">
        <v>35</v>
      </c>
      <c r="FV68" s="2"/>
      <c r="FW68" s="2"/>
      <c r="FX68" s="2">
        <v>94.5</v>
      </c>
      <c r="FY68" s="2">
        <v>46.75</v>
      </c>
      <c r="FZ68" s="2"/>
      <c r="GA68" s="2" t="s">
        <v>4</v>
      </c>
      <c r="GB68" s="2"/>
      <c r="GC68" s="2"/>
      <c r="GD68" s="2">
        <v>0</v>
      </c>
      <c r="GE68" s="2"/>
      <c r="GF68" s="2">
        <v>1551688331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6"/>
        <v>0</v>
      </c>
      <c r="GM68" s="2">
        <f t="shared" si="87"/>
        <v>892.98</v>
      </c>
      <c r="GN68" s="2">
        <f t="shared" si="88"/>
        <v>892.98</v>
      </c>
      <c r="GO68" s="2">
        <f t="shared" si="89"/>
        <v>0</v>
      </c>
      <c r="GP68" s="2">
        <f t="shared" si="90"/>
        <v>0</v>
      </c>
      <c r="GQ68" s="2"/>
      <c r="GR68" s="2">
        <v>0</v>
      </c>
      <c r="GS68" s="2">
        <v>3</v>
      </c>
      <c r="GT68" s="2">
        <v>0</v>
      </c>
      <c r="GU68" s="2" t="s">
        <v>4</v>
      </c>
      <c r="GV68" s="2">
        <f t="shared" si="91"/>
        <v>0</v>
      </c>
      <c r="GW68" s="2">
        <v>1</v>
      </c>
      <c r="GX68" s="2">
        <f t="shared" si="92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ROW(SmtRes!A128)</f>
        <v>128</v>
      </c>
      <c r="D69">
        <f>ROW(EtalonRes!A130)</f>
        <v>130</v>
      </c>
      <c r="E69" t="s">
        <v>119</v>
      </c>
      <c r="F69" t="s">
        <v>120</v>
      </c>
      <c r="G69" t="s">
        <v>121</v>
      </c>
      <c r="H69" t="s">
        <v>23</v>
      </c>
      <c r="I69">
        <f>ROUND(39.9/100,9)</f>
        <v>0.39900000000000002</v>
      </c>
      <c r="J69">
        <v>0</v>
      </c>
      <c r="O69">
        <f t="shared" si="60"/>
        <v>3239.06</v>
      </c>
      <c r="P69">
        <f t="shared" si="61"/>
        <v>1669.4</v>
      </c>
      <c r="Q69">
        <f t="shared" si="62"/>
        <v>33.54</v>
      </c>
      <c r="R69">
        <f t="shared" si="63"/>
        <v>6.34</v>
      </c>
      <c r="S69">
        <f t="shared" si="64"/>
        <v>1536.12</v>
      </c>
      <c r="T69">
        <f t="shared" si="65"/>
        <v>0</v>
      </c>
      <c r="U69">
        <f t="shared" si="66"/>
        <v>28.907549999999997</v>
      </c>
      <c r="V69">
        <f t="shared" si="67"/>
        <v>8.9774999999999994E-2</v>
      </c>
      <c r="W69">
        <f t="shared" si="68"/>
        <v>0</v>
      </c>
      <c r="X69">
        <f t="shared" si="69"/>
        <v>1465.34</v>
      </c>
      <c r="Y69">
        <f t="shared" si="70"/>
        <v>724.96</v>
      </c>
      <c r="AA69">
        <v>16500997</v>
      </c>
      <c r="AB69">
        <f t="shared" si="71"/>
        <v>1335.1880000000001</v>
      </c>
      <c r="AC69">
        <f t="shared" si="51"/>
        <v>688.15</v>
      </c>
      <c r="AD69">
        <f>ROUND(((((ET69*1.25))-((EU69*1.25)))+AE69),6)</f>
        <v>13.824999999999999</v>
      </c>
      <c r="AE69">
        <f>ROUND(((EU69*1.25)),6)</f>
        <v>2.6124999999999998</v>
      </c>
      <c r="AF69">
        <f>ROUND(((EV69*1.15)),6)</f>
        <v>633.21299999999997</v>
      </c>
      <c r="AG69">
        <f t="shared" si="72"/>
        <v>0</v>
      </c>
      <c r="AH69">
        <f>((EW69*1.15))</f>
        <v>72.449999999999989</v>
      </c>
      <c r="AI69">
        <f>((EX69*1.25))</f>
        <v>0.22499999999999998</v>
      </c>
      <c r="AJ69">
        <f t="shared" si="73"/>
        <v>0</v>
      </c>
      <c r="AK69">
        <v>1249.83</v>
      </c>
      <c r="AL69">
        <v>688.15</v>
      </c>
      <c r="AM69">
        <v>11.06</v>
      </c>
      <c r="AN69">
        <v>2.09</v>
      </c>
      <c r="AO69">
        <v>550.62</v>
      </c>
      <c r="AP69">
        <v>0</v>
      </c>
      <c r="AQ69">
        <v>63</v>
      </c>
      <c r="AR69">
        <v>0.18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6.08</v>
      </c>
      <c r="BA69">
        <v>6.08</v>
      </c>
      <c r="BB69">
        <v>6.08</v>
      </c>
      <c r="BC69">
        <v>6.08</v>
      </c>
      <c r="BD69" t="s">
        <v>4</v>
      </c>
      <c r="BE69" t="s">
        <v>4</v>
      </c>
      <c r="BF69" t="s">
        <v>4</v>
      </c>
      <c r="BG69" t="s">
        <v>4</v>
      </c>
      <c r="BH69">
        <v>0</v>
      </c>
      <c r="BI69">
        <v>1</v>
      </c>
      <c r="BJ69" t="s">
        <v>122</v>
      </c>
      <c r="BM69">
        <v>15001</v>
      </c>
      <c r="BN69">
        <v>0</v>
      </c>
      <c r="BO69" t="s">
        <v>4</v>
      </c>
      <c r="BP69">
        <v>0</v>
      </c>
      <c r="BQ69">
        <v>2</v>
      </c>
      <c r="BR69">
        <v>0</v>
      </c>
      <c r="BS69">
        <v>6.08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4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322</v>
      </c>
      <c r="CO69">
        <v>0</v>
      </c>
      <c r="CP69">
        <f t="shared" si="74"/>
        <v>3239.06</v>
      </c>
      <c r="CQ69">
        <f t="shared" si="75"/>
        <v>4183.9520000000002</v>
      </c>
      <c r="CR69">
        <f t="shared" si="76"/>
        <v>84.055999999999997</v>
      </c>
      <c r="CS69">
        <f t="shared" si="77"/>
        <v>15.883999999999999</v>
      </c>
      <c r="CT69">
        <f t="shared" si="78"/>
        <v>3849.9350399999998</v>
      </c>
      <c r="CU69">
        <f t="shared" si="79"/>
        <v>0</v>
      </c>
      <c r="CV69">
        <f t="shared" si="80"/>
        <v>72.449999999999989</v>
      </c>
      <c r="CW69">
        <f t="shared" si="81"/>
        <v>0.22499999999999998</v>
      </c>
      <c r="CX69">
        <f t="shared" si="82"/>
        <v>0</v>
      </c>
      <c r="CY69">
        <f t="shared" si="83"/>
        <v>1465.3369999999998</v>
      </c>
      <c r="CZ69">
        <f t="shared" si="84"/>
        <v>724.95619999999997</v>
      </c>
      <c r="DC69" t="s">
        <v>4</v>
      </c>
      <c r="DD69" t="s">
        <v>4</v>
      </c>
      <c r="DE69" t="s">
        <v>29</v>
      </c>
      <c r="DF69" t="s">
        <v>29</v>
      </c>
      <c r="DG69" t="s">
        <v>30</v>
      </c>
      <c r="DH69" t="s">
        <v>4</v>
      </c>
      <c r="DI69" t="s">
        <v>30</v>
      </c>
      <c r="DJ69" t="s">
        <v>29</v>
      </c>
      <c r="DK69" t="s">
        <v>4</v>
      </c>
      <c r="DL69" t="s">
        <v>4</v>
      </c>
      <c r="DM69" t="s">
        <v>4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23</v>
      </c>
      <c r="DW69" t="s">
        <v>23</v>
      </c>
      <c r="DX69">
        <v>100</v>
      </c>
      <c r="EE69">
        <v>16510513</v>
      </c>
      <c r="EF69">
        <v>2</v>
      </c>
      <c r="EG69" t="s">
        <v>31</v>
      </c>
      <c r="EH69">
        <v>0</v>
      </c>
      <c r="EI69" t="s">
        <v>4</v>
      </c>
      <c r="EJ69">
        <v>1</v>
      </c>
      <c r="EK69">
        <v>15001</v>
      </c>
      <c r="EL69" t="s">
        <v>100</v>
      </c>
      <c r="EM69" t="s">
        <v>101</v>
      </c>
      <c r="EO69" t="s">
        <v>33</v>
      </c>
      <c r="EQ69">
        <v>0</v>
      </c>
      <c r="ER69">
        <v>1249.83</v>
      </c>
      <c r="ES69">
        <v>688.15</v>
      </c>
      <c r="ET69">
        <v>11.06</v>
      </c>
      <c r="EU69">
        <v>2.09</v>
      </c>
      <c r="EV69">
        <v>550.62</v>
      </c>
      <c r="EW69">
        <v>63</v>
      </c>
      <c r="EX69">
        <v>0.18</v>
      </c>
      <c r="EY69">
        <v>0</v>
      </c>
      <c r="FQ69">
        <v>0</v>
      </c>
      <c r="FR69">
        <f t="shared" si="85"/>
        <v>0</v>
      </c>
      <c r="FS69">
        <v>0</v>
      </c>
      <c r="FT69" t="s">
        <v>34</v>
      </c>
      <c r="FU69" t="s">
        <v>35</v>
      </c>
      <c r="FX69">
        <v>94.5</v>
      </c>
      <c r="FY69">
        <v>46.75</v>
      </c>
      <c r="GA69" t="s">
        <v>4</v>
      </c>
      <c r="GD69">
        <v>0</v>
      </c>
      <c r="GF69">
        <v>1551688331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6"/>
        <v>0</v>
      </c>
      <c r="GM69">
        <f t="shared" si="87"/>
        <v>5429.36</v>
      </c>
      <c r="GN69">
        <f t="shared" si="88"/>
        <v>5429.36</v>
      </c>
      <c r="GO69">
        <f t="shared" si="89"/>
        <v>0</v>
      </c>
      <c r="GP69">
        <f t="shared" si="90"/>
        <v>0</v>
      </c>
      <c r="GR69">
        <v>0</v>
      </c>
      <c r="GS69">
        <v>3</v>
      </c>
      <c r="GT69">
        <v>0</v>
      </c>
      <c r="GU69" t="s">
        <v>4</v>
      </c>
      <c r="GV69">
        <f t="shared" si="91"/>
        <v>0</v>
      </c>
      <c r="GW69">
        <v>1</v>
      </c>
      <c r="GX69">
        <f t="shared" si="92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118</v>
      </c>
      <c r="D70" s="2"/>
      <c r="E70" s="2" t="s">
        <v>123</v>
      </c>
      <c r="F70" s="2" t="s">
        <v>115</v>
      </c>
      <c r="G70" s="2" t="s">
        <v>116</v>
      </c>
      <c r="H70" s="2" t="s">
        <v>58</v>
      </c>
      <c r="I70" s="2">
        <f>I68*J70</f>
        <v>1.3166999999999998E-2</v>
      </c>
      <c r="J70" s="2">
        <v>3.2999999999999995E-2</v>
      </c>
      <c r="K70" s="2"/>
      <c r="L70" s="2"/>
      <c r="M70" s="2"/>
      <c r="N70" s="2"/>
      <c r="O70" s="2">
        <f t="shared" si="60"/>
        <v>100.43</v>
      </c>
      <c r="P70" s="2">
        <f t="shared" si="61"/>
        <v>100.43</v>
      </c>
      <c r="Q70" s="2">
        <f t="shared" si="62"/>
        <v>0</v>
      </c>
      <c r="R70" s="2">
        <f t="shared" si="63"/>
        <v>0</v>
      </c>
      <c r="S70" s="2">
        <f t="shared" si="64"/>
        <v>0</v>
      </c>
      <c r="T70" s="2">
        <f t="shared" si="65"/>
        <v>0</v>
      </c>
      <c r="U70" s="2">
        <f t="shared" si="66"/>
        <v>0</v>
      </c>
      <c r="V70" s="2">
        <f t="shared" si="67"/>
        <v>0</v>
      </c>
      <c r="W70" s="2">
        <f t="shared" si="68"/>
        <v>0</v>
      </c>
      <c r="X70" s="2">
        <f t="shared" si="69"/>
        <v>0</v>
      </c>
      <c r="Y70" s="2">
        <f t="shared" si="70"/>
        <v>0</v>
      </c>
      <c r="Z70" s="2"/>
      <c r="AA70" s="2">
        <v>16500983</v>
      </c>
      <c r="AB70" s="2">
        <f t="shared" si="71"/>
        <v>7627.37</v>
      </c>
      <c r="AC70" s="2">
        <f t="shared" si="51"/>
        <v>7627.37</v>
      </c>
      <c r="AD70" s="2">
        <f>ROUND((((ET70)-(EU70))+AE70),6)</f>
        <v>0</v>
      </c>
      <c r="AE70" s="2">
        <f t="shared" ref="AE70:AF73" si="97">ROUND((EU70),6)</f>
        <v>0</v>
      </c>
      <c r="AF70" s="2">
        <f t="shared" si="97"/>
        <v>0</v>
      </c>
      <c r="AG70" s="2">
        <f t="shared" si="72"/>
        <v>0</v>
      </c>
      <c r="AH70" s="2">
        <f t="shared" ref="AH70:AI73" si="98">(EW70)</f>
        <v>0</v>
      </c>
      <c r="AI70" s="2">
        <f t="shared" si="98"/>
        <v>0</v>
      </c>
      <c r="AJ70" s="2">
        <f t="shared" si="73"/>
        <v>0</v>
      </c>
      <c r="AK70" s="2">
        <v>7627.37</v>
      </c>
      <c r="AL70" s="2">
        <v>7627.37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4</v>
      </c>
      <c r="BE70" s="2" t="s">
        <v>4</v>
      </c>
      <c r="BF70" s="2" t="s">
        <v>4</v>
      </c>
      <c r="BG70" s="2" t="s">
        <v>4</v>
      </c>
      <c r="BH70" s="2">
        <v>3</v>
      </c>
      <c r="BI70" s="2">
        <v>1</v>
      </c>
      <c r="BJ70" s="2" t="s">
        <v>117</v>
      </c>
      <c r="BK70" s="2"/>
      <c r="BL70" s="2"/>
      <c r="BM70" s="2">
        <v>15001</v>
      </c>
      <c r="BN70" s="2">
        <v>0</v>
      </c>
      <c r="BO70" s="2" t="s">
        <v>4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4</v>
      </c>
      <c r="BZ70" s="2">
        <v>105</v>
      </c>
      <c r="CA70" s="2">
        <v>55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4</v>
      </c>
      <c r="CO70" s="2">
        <v>0</v>
      </c>
      <c r="CP70" s="2">
        <f t="shared" si="74"/>
        <v>100.43</v>
      </c>
      <c r="CQ70" s="2">
        <f t="shared" si="75"/>
        <v>7627.37</v>
      </c>
      <c r="CR70" s="2">
        <f t="shared" si="76"/>
        <v>0</v>
      </c>
      <c r="CS70" s="2">
        <f t="shared" si="77"/>
        <v>0</v>
      </c>
      <c r="CT70" s="2">
        <f t="shared" si="78"/>
        <v>0</v>
      </c>
      <c r="CU70" s="2">
        <f t="shared" si="79"/>
        <v>0</v>
      </c>
      <c r="CV70" s="2">
        <f t="shared" si="80"/>
        <v>0</v>
      </c>
      <c r="CW70" s="2">
        <f t="shared" si="81"/>
        <v>0</v>
      </c>
      <c r="CX70" s="2">
        <f t="shared" si="82"/>
        <v>0</v>
      </c>
      <c r="CY70" s="2">
        <f t="shared" si="83"/>
        <v>0</v>
      </c>
      <c r="CZ70" s="2">
        <f t="shared" si="84"/>
        <v>0</v>
      </c>
      <c r="DA70" s="2"/>
      <c r="DB70" s="2"/>
      <c r="DC70" s="2" t="s">
        <v>4</v>
      </c>
      <c r="DD70" s="2" t="s">
        <v>4</v>
      </c>
      <c r="DE70" s="2" t="s">
        <v>4</v>
      </c>
      <c r="DF70" s="2" t="s">
        <v>4</v>
      </c>
      <c r="DG70" s="2" t="s">
        <v>4</v>
      </c>
      <c r="DH70" s="2" t="s">
        <v>4</v>
      </c>
      <c r="DI70" s="2" t="s">
        <v>4</v>
      </c>
      <c r="DJ70" s="2" t="s">
        <v>4</v>
      </c>
      <c r="DK70" s="2" t="s">
        <v>4</v>
      </c>
      <c r="DL70" s="2" t="s">
        <v>4</v>
      </c>
      <c r="DM70" s="2" t="s">
        <v>4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58</v>
      </c>
      <c r="DW70" s="2" t="s">
        <v>58</v>
      </c>
      <c r="DX70" s="2">
        <v>1000</v>
      </c>
      <c r="DY70" s="2"/>
      <c r="DZ70" s="2"/>
      <c r="EA70" s="2"/>
      <c r="EB70" s="2"/>
      <c r="EC70" s="2"/>
      <c r="ED70" s="2"/>
      <c r="EE70" s="2">
        <v>16510513</v>
      </c>
      <c r="EF70" s="2">
        <v>2</v>
      </c>
      <c r="EG70" s="2" t="s">
        <v>31</v>
      </c>
      <c r="EH70" s="2">
        <v>0</v>
      </c>
      <c r="EI70" s="2" t="s">
        <v>4</v>
      </c>
      <c r="EJ70" s="2">
        <v>1</v>
      </c>
      <c r="EK70" s="2">
        <v>15001</v>
      </c>
      <c r="EL70" s="2" t="s">
        <v>100</v>
      </c>
      <c r="EM70" s="2" t="s">
        <v>101</v>
      </c>
      <c r="EN70" s="2"/>
      <c r="EO70" s="2" t="s">
        <v>4</v>
      </c>
      <c r="EP70" s="2"/>
      <c r="EQ70" s="2">
        <v>0</v>
      </c>
      <c r="ER70" s="2">
        <v>7627.37</v>
      </c>
      <c r="ES70" s="2">
        <v>7627.37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5"/>
        <v>0</v>
      </c>
      <c r="FS70" s="2">
        <v>0</v>
      </c>
      <c r="FT70" s="2" t="s">
        <v>34</v>
      </c>
      <c r="FU70" s="2" t="s">
        <v>35</v>
      </c>
      <c r="FV70" s="2"/>
      <c r="FW70" s="2"/>
      <c r="FX70" s="2">
        <v>94.5</v>
      </c>
      <c r="FY70" s="2">
        <v>46.75</v>
      </c>
      <c r="FZ70" s="2"/>
      <c r="GA70" s="2" t="s">
        <v>4</v>
      </c>
      <c r="GB70" s="2"/>
      <c r="GC70" s="2"/>
      <c r="GD70" s="2">
        <v>0</v>
      </c>
      <c r="GE70" s="2"/>
      <c r="GF70" s="2">
        <v>763838732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6"/>
        <v>0</v>
      </c>
      <c r="GM70" s="2">
        <f t="shared" si="87"/>
        <v>100.43</v>
      </c>
      <c r="GN70" s="2">
        <f t="shared" si="88"/>
        <v>100.43</v>
      </c>
      <c r="GO70" s="2">
        <f t="shared" si="89"/>
        <v>0</v>
      </c>
      <c r="GP70" s="2">
        <f t="shared" si="90"/>
        <v>0</v>
      </c>
      <c r="GQ70" s="2"/>
      <c r="GR70" s="2">
        <v>0</v>
      </c>
      <c r="GS70" s="2">
        <v>3</v>
      </c>
      <c r="GT70" s="2">
        <v>0</v>
      </c>
      <c r="GU70" s="2" t="s">
        <v>4</v>
      </c>
      <c r="GV70" s="2">
        <f t="shared" si="91"/>
        <v>0</v>
      </c>
      <c r="GW70" s="2">
        <v>1</v>
      </c>
      <c r="GX70" s="2">
        <f t="shared" si="92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127</v>
      </c>
      <c r="E71" t="s">
        <v>123</v>
      </c>
      <c r="F71" t="s">
        <v>115</v>
      </c>
      <c r="G71" t="s">
        <v>116</v>
      </c>
      <c r="H71" t="s">
        <v>58</v>
      </c>
      <c r="I71">
        <f>I69*J71</f>
        <v>1.3166999999999998E-2</v>
      </c>
      <c r="J71">
        <v>3.2999999999999995E-2</v>
      </c>
      <c r="O71">
        <f t="shared" si="60"/>
        <v>610.61</v>
      </c>
      <c r="P71">
        <f t="shared" si="61"/>
        <v>610.61</v>
      </c>
      <c r="Q71">
        <f t="shared" si="62"/>
        <v>0</v>
      </c>
      <c r="R71">
        <f t="shared" si="63"/>
        <v>0</v>
      </c>
      <c r="S71">
        <f t="shared" si="64"/>
        <v>0</v>
      </c>
      <c r="T71">
        <f t="shared" si="65"/>
        <v>0</v>
      </c>
      <c r="U71">
        <f t="shared" si="66"/>
        <v>0</v>
      </c>
      <c r="V71">
        <f t="shared" si="67"/>
        <v>0</v>
      </c>
      <c r="W71">
        <f t="shared" si="68"/>
        <v>0</v>
      </c>
      <c r="X71">
        <f t="shared" si="69"/>
        <v>0</v>
      </c>
      <c r="Y71">
        <f t="shared" si="70"/>
        <v>0</v>
      </c>
      <c r="AA71">
        <v>16500997</v>
      </c>
      <c r="AB71">
        <f t="shared" si="71"/>
        <v>7627.37</v>
      </c>
      <c r="AC71">
        <f t="shared" si="51"/>
        <v>7627.37</v>
      </c>
      <c r="AD71">
        <f>ROUND((((ET71)-(EU71))+AE71),6)</f>
        <v>0</v>
      </c>
      <c r="AE71">
        <f t="shared" si="97"/>
        <v>0</v>
      </c>
      <c r="AF71">
        <f t="shared" si="97"/>
        <v>0</v>
      </c>
      <c r="AG71">
        <f t="shared" si="72"/>
        <v>0</v>
      </c>
      <c r="AH71">
        <f t="shared" si="98"/>
        <v>0</v>
      </c>
      <c r="AI71">
        <f t="shared" si="98"/>
        <v>0</v>
      </c>
      <c r="AJ71">
        <f t="shared" si="73"/>
        <v>0</v>
      </c>
      <c r="AK71">
        <v>7627.37</v>
      </c>
      <c r="AL71">
        <v>7627.37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6.08</v>
      </c>
      <c r="BA71">
        <v>1</v>
      </c>
      <c r="BB71">
        <v>1</v>
      </c>
      <c r="BC71">
        <v>6.08</v>
      </c>
      <c r="BD71" t="s">
        <v>4</v>
      </c>
      <c r="BE71" t="s">
        <v>4</v>
      </c>
      <c r="BF71" t="s">
        <v>4</v>
      </c>
      <c r="BG71" t="s">
        <v>4</v>
      </c>
      <c r="BH71">
        <v>3</v>
      </c>
      <c r="BI71">
        <v>1</v>
      </c>
      <c r="BJ71" t="s">
        <v>117</v>
      </c>
      <c r="BM71">
        <v>15001</v>
      </c>
      <c r="BN71">
        <v>0</v>
      </c>
      <c r="BO71" t="s">
        <v>4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4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4</v>
      </c>
      <c r="CO71">
        <v>0</v>
      </c>
      <c r="CP71">
        <f t="shared" si="74"/>
        <v>610.61</v>
      </c>
      <c r="CQ71">
        <f t="shared" si="75"/>
        <v>46374.409599999999</v>
      </c>
      <c r="CR71">
        <f t="shared" si="76"/>
        <v>0</v>
      </c>
      <c r="CS71">
        <f t="shared" si="77"/>
        <v>0</v>
      </c>
      <c r="CT71">
        <f t="shared" si="78"/>
        <v>0</v>
      </c>
      <c r="CU71">
        <f t="shared" si="79"/>
        <v>0</v>
      </c>
      <c r="CV71">
        <f t="shared" si="80"/>
        <v>0</v>
      </c>
      <c r="CW71">
        <f t="shared" si="81"/>
        <v>0</v>
      </c>
      <c r="CX71">
        <f t="shared" si="82"/>
        <v>0</v>
      </c>
      <c r="CY71">
        <f t="shared" si="83"/>
        <v>0</v>
      </c>
      <c r="CZ71">
        <f t="shared" si="84"/>
        <v>0</v>
      </c>
      <c r="DC71" t="s">
        <v>4</v>
      </c>
      <c r="DD71" t="s">
        <v>4</v>
      </c>
      <c r="DE71" t="s">
        <v>4</v>
      </c>
      <c r="DF71" t="s">
        <v>4</v>
      </c>
      <c r="DG71" t="s">
        <v>4</v>
      </c>
      <c r="DH71" t="s">
        <v>4</v>
      </c>
      <c r="DI71" t="s">
        <v>4</v>
      </c>
      <c r="DJ71" t="s">
        <v>4</v>
      </c>
      <c r="DK71" t="s">
        <v>4</v>
      </c>
      <c r="DL71" t="s">
        <v>4</v>
      </c>
      <c r="DM71" t="s">
        <v>4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58</v>
      </c>
      <c r="DW71" t="s">
        <v>58</v>
      </c>
      <c r="DX71">
        <v>1000</v>
      </c>
      <c r="EE71">
        <v>16510513</v>
      </c>
      <c r="EF71">
        <v>2</v>
      </c>
      <c r="EG71" t="s">
        <v>31</v>
      </c>
      <c r="EH71">
        <v>0</v>
      </c>
      <c r="EI71" t="s">
        <v>4</v>
      </c>
      <c r="EJ71">
        <v>1</v>
      </c>
      <c r="EK71">
        <v>15001</v>
      </c>
      <c r="EL71" t="s">
        <v>100</v>
      </c>
      <c r="EM71" t="s">
        <v>101</v>
      </c>
      <c r="EO71" t="s">
        <v>4</v>
      </c>
      <c r="EQ71">
        <v>0</v>
      </c>
      <c r="ER71">
        <v>7627.37</v>
      </c>
      <c r="ES71">
        <v>7627.37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5"/>
        <v>0</v>
      </c>
      <c r="FS71">
        <v>0</v>
      </c>
      <c r="FT71" t="s">
        <v>34</v>
      </c>
      <c r="FU71" t="s">
        <v>35</v>
      </c>
      <c r="FX71">
        <v>94.5</v>
      </c>
      <c r="FY71">
        <v>46.75</v>
      </c>
      <c r="GA71" t="s">
        <v>4</v>
      </c>
      <c r="GD71">
        <v>0</v>
      </c>
      <c r="GF71">
        <v>763838732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6"/>
        <v>0</v>
      </c>
      <c r="GM71">
        <f t="shared" si="87"/>
        <v>610.61</v>
      </c>
      <c r="GN71">
        <f t="shared" si="88"/>
        <v>610.61</v>
      </c>
      <c r="GO71">
        <f t="shared" si="89"/>
        <v>0</v>
      </c>
      <c r="GP71">
        <f t="shared" si="90"/>
        <v>0</v>
      </c>
      <c r="GR71">
        <v>0</v>
      </c>
      <c r="GS71">
        <v>3</v>
      </c>
      <c r="GT71">
        <v>0</v>
      </c>
      <c r="GU71" t="s">
        <v>4</v>
      </c>
      <c r="GV71">
        <f t="shared" si="91"/>
        <v>0</v>
      </c>
      <c r="GW71">
        <v>1</v>
      </c>
      <c r="GX71">
        <f t="shared" si="92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117</v>
      </c>
      <c r="D72" s="2"/>
      <c r="E72" s="2" t="s">
        <v>124</v>
      </c>
      <c r="F72" s="2" t="s">
        <v>107</v>
      </c>
      <c r="G72" s="2" t="s">
        <v>108</v>
      </c>
      <c r="H72" s="2" t="s">
        <v>58</v>
      </c>
      <c r="I72" s="2">
        <f>I68*J72</f>
        <v>8.7779999999999993E-3</v>
      </c>
      <c r="J72" s="2">
        <v>2.1999999999999999E-2</v>
      </c>
      <c r="K72" s="2"/>
      <c r="L72" s="2"/>
      <c r="M72" s="2"/>
      <c r="N72" s="2"/>
      <c r="O72" s="2">
        <f t="shared" si="60"/>
        <v>161.43</v>
      </c>
      <c r="P72" s="2">
        <f t="shared" si="61"/>
        <v>161.43</v>
      </c>
      <c r="Q72" s="2">
        <f t="shared" si="62"/>
        <v>0</v>
      </c>
      <c r="R72" s="2">
        <f t="shared" si="63"/>
        <v>0</v>
      </c>
      <c r="S72" s="2">
        <f t="shared" si="64"/>
        <v>0</v>
      </c>
      <c r="T72" s="2">
        <f t="shared" si="65"/>
        <v>0</v>
      </c>
      <c r="U72" s="2">
        <f t="shared" si="66"/>
        <v>0</v>
      </c>
      <c r="V72" s="2">
        <f t="shared" si="67"/>
        <v>0</v>
      </c>
      <c r="W72" s="2">
        <f t="shared" si="68"/>
        <v>0</v>
      </c>
      <c r="X72" s="2">
        <f t="shared" si="69"/>
        <v>0</v>
      </c>
      <c r="Y72" s="2">
        <f t="shared" si="70"/>
        <v>0</v>
      </c>
      <c r="Z72" s="2"/>
      <c r="AA72" s="2">
        <v>16500983</v>
      </c>
      <c r="AB72" s="2">
        <f t="shared" si="71"/>
        <v>18390.16</v>
      </c>
      <c r="AC72" s="2">
        <f t="shared" si="51"/>
        <v>18390.16</v>
      </c>
      <c r="AD72" s="2">
        <f>ROUND((((ET72)-(EU72))+AE72),6)</f>
        <v>0</v>
      </c>
      <c r="AE72" s="2">
        <f t="shared" si="97"/>
        <v>0</v>
      </c>
      <c r="AF72" s="2">
        <f t="shared" si="97"/>
        <v>0</v>
      </c>
      <c r="AG72" s="2">
        <f t="shared" si="72"/>
        <v>0</v>
      </c>
      <c r="AH72" s="2">
        <f t="shared" si="98"/>
        <v>0</v>
      </c>
      <c r="AI72" s="2">
        <f t="shared" si="98"/>
        <v>0</v>
      </c>
      <c r="AJ72" s="2">
        <f t="shared" si="73"/>
        <v>0</v>
      </c>
      <c r="AK72" s="2">
        <v>18390.16</v>
      </c>
      <c r="AL72" s="2">
        <v>18390.16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95</v>
      </c>
      <c r="AU72" s="2">
        <v>47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4</v>
      </c>
      <c r="BE72" s="2" t="s">
        <v>4</v>
      </c>
      <c r="BF72" s="2" t="s">
        <v>4</v>
      </c>
      <c r="BG72" s="2" t="s">
        <v>4</v>
      </c>
      <c r="BH72" s="2">
        <v>3</v>
      </c>
      <c r="BI72" s="2">
        <v>1</v>
      </c>
      <c r="BJ72" s="2" t="s">
        <v>109</v>
      </c>
      <c r="BK72" s="2"/>
      <c r="BL72" s="2"/>
      <c r="BM72" s="2">
        <v>15001</v>
      </c>
      <c r="BN72" s="2">
        <v>0</v>
      </c>
      <c r="BO72" s="2" t="s">
        <v>4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4</v>
      </c>
      <c r="BZ72" s="2">
        <v>105</v>
      </c>
      <c r="CA72" s="2">
        <v>55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4</v>
      </c>
      <c r="CO72" s="2">
        <v>0</v>
      </c>
      <c r="CP72" s="2">
        <f t="shared" si="74"/>
        <v>161.43</v>
      </c>
      <c r="CQ72" s="2">
        <f t="shared" si="75"/>
        <v>18390.16</v>
      </c>
      <c r="CR72" s="2">
        <f t="shared" si="76"/>
        <v>0</v>
      </c>
      <c r="CS72" s="2">
        <f t="shared" si="77"/>
        <v>0</v>
      </c>
      <c r="CT72" s="2">
        <f t="shared" si="78"/>
        <v>0</v>
      </c>
      <c r="CU72" s="2">
        <f t="shared" si="79"/>
        <v>0</v>
      </c>
      <c r="CV72" s="2">
        <f t="shared" si="80"/>
        <v>0</v>
      </c>
      <c r="CW72" s="2">
        <f t="shared" si="81"/>
        <v>0</v>
      </c>
      <c r="CX72" s="2">
        <f t="shared" si="82"/>
        <v>0</v>
      </c>
      <c r="CY72" s="2">
        <f t="shared" si="83"/>
        <v>0</v>
      </c>
      <c r="CZ72" s="2">
        <f t="shared" si="84"/>
        <v>0</v>
      </c>
      <c r="DA72" s="2"/>
      <c r="DB72" s="2"/>
      <c r="DC72" s="2" t="s">
        <v>4</v>
      </c>
      <c r="DD72" s="2" t="s">
        <v>4</v>
      </c>
      <c r="DE72" s="2" t="s">
        <v>4</v>
      </c>
      <c r="DF72" s="2" t="s">
        <v>4</v>
      </c>
      <c r="DG72" s="2" t="s">
        <v>4</v>
      </c>
      <c r="DH72" s="2" t="s">
        <v>4</v>
      </c>
      <c r="DI72" s="2" t="s">
        <v>4</v>
      </c>
      <c r="DJ72" s="2" t="s">
        <v>4</v>
      </c>
      <c r="DK72" s="2" t="s">
        <v>4</v>
      </c>
      <c r="DL72" s="2" t="s">
        <v>4</v>
      </c>
      <c r="DM72" s="2" t="s">
        <v>4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58</v>
      </c>
      <c r="DW72" s="2" t="s">
        <v>58</v>
      </c>
      <c r="DX72" s="2">
        <v>1000</v>
      </c>
      <c r="DY72" s="2"/>
      <c r="DZ72" s="2"/>
      <c r="EA72" s="2"/>
      <c r="EB72" s="2"/>
      <c r="EC72" s="2"/>
      <c r="ED72" s="2"/>
      <c r="EE72" s="2">
        <v>16510513</v>
      </c>
      <c r="EF72" s="2">
        <v>2</v>
      </c>
      <c r="EG72" s="2" t="s">
        <v>31</v>
      </c>
      <c r="EH72" s="2">
        <v>0</v>
      </c>
      <c r="EI72" s="2" t="s">
        <v>4</v>
      </c>
      <c r="EJ72" s="2">
        <v>1</v>
      </c>
      <c r="EK72" s="2">
        <v>15001</v>
      </c>
      <c r="EL72" s="2" t="s">
        <v>100</v>
      </c>
      <c r="EM72" s="2" t="s">
        <v>101</v>
      </c>
      <c r="EN72" s="2"/>
      <c r="EO72" s="2" t="s">
        <v>4</v>
      </c>
      <c r="EP72" s="2"/>
      <c r="EQ72" s="2">
        <v>0</v>
      </c>
      <c r="ER72" s="2">
        <v>18390.16</v>
      </c>
      <c r="ES72" s="2">
        <v>18390.16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5"/>
        <v>0</v>
      </c>
      <c r="FS72" s="2">
        <v>0</v>
      </c>
      <c r="FT72" s="2" t="s">
        <v>34</v>
      </c>
      <c r="FU72" s="2" t="s">
        <v>35</v>
      </c>
      <c r="FV72" s="2"/>
      <c r="FW72" s="2"/>
      <c r="FX72" s="2">
        <v>94.5</v>
      </c>
      <c r="FY72" s="2">
        <v>46.75</v>
      </c>
      <c r="FZ72" s="2"/>
      <c r="GA72" s="2" t="s">
        <v>4</v>
      </c>
      <c r="GB72" s="2"/>
      <c r="GC72" s="2"/>
      <c r="GD72" s="2">
        <v>0</v>
      </c>
      <c r="GE72" s="2"/>
      <c r="GF72" s="2">
        <v>-1919714308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6"/>
        <v>0</v>
      </c>
      <c r="GM72" s="2">
        <f t="shared" si="87"/>
        <v>161.43</v>
      </c>
      <c r="GN72" s="2">
        <f t="shared" si="88"/>
        <v>161.43</v>
      </c>
      <c r="GO72" s="2">
        <f t="shared" si="89"/>
        <v>0</v>
      </c>
      <c r="GP72" s="2">
        <f t="shared" si="90"/>
        <v>0</v>
      </c>
      <c r="GQ72" s="2"/>
      <c r="GR72" s="2">
        <v>0</v>
      </c>
      <c r="GS72" s="2">
        <v>3</v>
      </c>
      <c r="GT72" s="2">
        <v>0</v>
      </c>
      <c r="GU72" s="2" t="s">
        <v>4</v>
      </c>
      <c r="GV72" s="2">
        <f t="shared" si="91"/>
        <v>0</v>
      </c>
      <c r="GW72" s="2">
        <v>1</v>
      </c>
      <c r="GX72" s="2">
        <f t="shared" si="92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126</v>
      </c>
      <c r="E73" t="s">
        <v>124</v>
      </c>
      <c r="F73" t="s">
        <v>107</v>
      </c>
      <c r="G73" t="s">
        <v>108</v>
      </c>
      <c r="H73" t="s">
        <v>58</v>
      </c>
      <c r="I73">
        <f>I69*J73</f>
        <v>8.7779999999999993E-3</v>
      </c>
      <c r="J73">
        <v>2.1999999999999999E-2</v>
      </c>
      <c r="O73">
        <f t="shared" si="60"/>
        <v>981.49</v>
      </c>
      <c r="P73">
        <f t="shared" si="61"/>
        <v>981.49</v>
      </c>
      <c r="Q73">
        <f t="shared" si="62"/>
        <v>0</v>
      </c>
      <c r="R73">
        <f t="shared" si="63"/>
        <v>0</v>
      </c>
      <c r="S73">
        <f t="shared" si="64"/>
        <v>0</v>
      </c>
      <c r="T73">
        <f t="shared" si="65"/>
        <v>0</v>
      </c>
      <c r="U73">
        <f t="shared" si="66"/>
        <v>0</v>
      </c>
      <c r="V73">
        <f t="shared" si="67"/>
        <v>0</v>
      </c>
      <c r="W73">
        <f t="shared" si="68"/>
        <v>0</v>
      </c>
      <c r="X73">
        <f t="shared" si="69"/>
        <v>0</v>
      </c>
      <c r="Y73">
        <f t="shared" si="70"/>
        <v>0</v>
      </c>
      <c r="AA73">
        <v>16500997</v>
      </c>
      <c r="AB73">
        <f t="shared" si="71"/>
        <v>18390.16</v>
      </c>
      <c r="AC73">
        <f t="shared" si="51"/>
        <v>18390.16</v>
      </c>
      <c r="AD73">
        <f>ROUND((((ET73)-(EU73))+AE73),6)</f>
        <v>0</v>
      </c>
      <c r="AE73">
        <f t="shared" si="97"/>
        <v>0</v>
      </c>
      <c r="AF73">
        <f t="shared" si="97"/>
        <v>0</v>
      </c>
      <c r="AG73">
        <f t="shared" si="72"/>
        <v>0</v>
      </c>
      <c r="AH73">
        <f t="shared" si="98"/>
        <v>0</v>
      </c>
      <c r="AI73">
        <f t="shared" si="98"/>
        <v>0</v>
      </c>
      <c r="AJ73">
        <f t="shared" si="73"/>
        <v>0</v>
      </c>
      <c r="AK73">
        <v>18390.16</v>
      </c>
      <c r="AL73">
        <v>18390.16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6.08</v>
      </c>
      <c r="BA73">
        <v>1</v>
      </c>
      <c r="BB73">
        <v>1</v>
      </c>
      <c r="BC73">
        <v>6.08</v>
      </c>
      <c r="BD73" t="s">
        <v>4</v>
      </c>
      <c r="BE73" t="s">
        <v>4</v>
      </c>
      <c r="BF73" t="s">
        <v>4</v>
      </c>
      <c r="BG73" t="s">
        <v>4</v>
      </c>
      <c r="BH73">
        <v>3</v>
      </c>
      <c r="BI73">
        <v>1</v>
      </c>
      <c r="BJ73" t="s">
        <v>109</v>
      </c>
      <c r="BM73">
        <v>15001</v>
      </c>
      <c r="BN73">
        <v>0</v>
      </c>
      <c r="BO73" t="s">
        <v>4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4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4</v>
      </c>
      <c r="CO73">
        <v>0</v>
      </c>
      <c r="CP73">
        <f t="shared" si="74"/>
        <v>981.49</v>
      </c>
      <c r="CQ73">
        <f t="shared" si="75"/>
        <v>111812.1728</v>
      </c>
      <c r="CR73">
        <f t="shared" si="76"/>
        <v>0</v>
      </c>
      <c r="CS73">
        <f t="shared" si="77"/>
        <v>0</v>
      </c>
      <c r="CT73">
        <f t="shared" si="78"/>
        <v>0</v>
      </c>
      <c r="CU73">
        <f t="shared" si="79"/>
        <v>0</v>
      </c>
      <c r="CV73">
        <f t="shared" si="80"/>
        <v>0</v>
      </c>
      <c r="CW73">
        <f t="shared" si="81"/>
        <v>0</v>
      </c>
      <c r="CX73">
        <f t="shared" si="82"/>
        <v>0</v>
      </c>
      <c r="CY73">
        <f t="shared" si="83"/>
        <v>0</v>
      </c>
      <c r="CZ73">
        <f t="shared" si="84"/>
        <v>0</v>
      </c>
      <c r="DC73" t="s">
        <v>4</v>
      </c>
      <c r="DD73" t="s">
        <v>4</v>
      </c>
      <c r="DE73" t="s">
        <v>4</v>
      </c>
      <c r="DF73" t="s">
        <v>4</v>
      </c>
      <c r="DG73" t="s">
        <v>4</v>
      </c>
      <c r="DH73" t="s">
        <v>4</v>
      </c>
      <c r="DI73" t="s">
        <v>4</v>
      </c>
      <c r="DJ73" t="s">
        <v>4</v>
      </c>
      <c r="DK73" t="s">
        <v>4</v>
      </c>
      <c r="DL73" t="s">
        <v>4</v>
      </c>
      <c r="DM73" t="s">
        <v>4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58</v>
      </c>
      <c r="DW73" t="s">
        <v>58</v>
      </c>
      <c r="DX73">
        <v>1000</v>
      </c>
      <c r="EE73">
        <v>16510513</v>
      </c>
      <c r="EF73">
        <v>2</v>
      </c>
      <c r="EG73" t="s">
        <v>31</v>
      </c>
      <c r="EH73">
        <v>0</v>
      </c>
      <c r="EI73" t="s">
        <v>4</v>
      </c>
      <c r="EJ73">
        <v>1</v>
      </c>
      <c r="EK73">
        <v>15001</v>
      </c>
      <c r="EL73" t="s">
        <v>100</v>
      </c>
      <c r="EM73" t="s">
        <v>101</v>
      </c>
      <c r="EO73" t="s">
        <v>4</v>
      </c>
      <c r="EQ73">
        <v>0</v>
      </c>
      <c r="ER73">
        <v>18390.16</v>
      </c>
      <c r="ES73">
        <v>18390.16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5"/>
        <v>0</v>
      </c>
      <c r="FS73">
        <v>0</v>
      </c>
      <c r="FT73" t="s">
        <v>34</v>
      </c>
      <c r="FU73" t="s">
        <v>35</v>
      </c>
      <c r="FX73">
        <v>94.5</v>
      </c>
      <c r="FY73">
        <v>46.75</v>
      </c>
      <c r="GA73" t="s">
        <v>4</v>
      </c>
      <c r="GD73">
        <v>0</v>
      </c>
      <c r="GF73">
        <v>-1919714308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6"/>
        <v>0</v>
      </c>
      <c r="GM73">
        <f t="shared" si="87"/>
        <v>981.49</v>
      </c>
      <c r="GN73">
        <f t="shared" si="88"/>
        <v>981.49</v>
      </c>
      <c r="GO73">
        <f t="shared" si="89"/>
        <v>0</v>
      </c>
      <c r="GP73">
        <f t="shared" si="90"/>
        <v>0</v>
      </c>
      <c r="GR73">
        <v>0</v>
      </c>
      <c r="GS73">
        <v>3</v>
      </c>
      <c r="GT73">
        <v>0</v>
      </c>
      <c r="GU73" t="s">
        <v>4</v>
      </c>
      <c r="GV73">
        <f t="shared" si="91"/>
        <v>0</v>
      </c>
      <c r="GW73">
        <v>1</v>
      </c>
      <c r="GX73">
        <f t="shared" si="92"/>
        <v>0</v>
      </c>
      <c r="HA73">
        <v>0</v>
      </c>
      <c r="HB73">
        <v>0</v>
      </c>
      <c r="IK73">
        <v>0</v>
      </c>
    </row>
    <row r="75" spans="1:255" x14ac:dyDescent="0.2">
      <c r="A75" s="3">
        <v>51</v>
      </c>
      <c r="B75" s="3">
        <f>B20</f>
        <v>1</v>
      </c>
      <c r="C75" s="3">
        <f>A20</f>
        <v>3</v>
      </c>
      <c r="D75" s="3">
        <f>ROW(A20)</f>
        <v>20</v>
      </c>
      <c r="E75" s="3"/>
      <c r="F75" s="3" t="str">
        <f>IF(F20&lt;&gt;"",F20,"")</f>
        <v>Новая локальная смета</v>
      </c>
      <c r="G75" s="3" t="str">
        <f>IF(G20&lt;&gt;"",G20,"")</f>
        <v>Новая локальная смета</v>
      </c>
      <c r="H75" s="3">
        <v>0</v>
      </c>
      <c r="I75" s="3"/>
      <c r="J75" s="3"/>
      <c r="K75" s="3"/>
      <c r="L75" s="3"/>
      <c r="M75" s="3"/>
      <c r="N75" s="3"/>
      <c r="O75" s="3">
        <f t="shared" ref="O75:T75" si="99">ROUND(AB75,2)</f>
        <v>16738.64</v>
      </c>
      <c r="P75" s="3">
        <f t="shared" si="99"/>
        <v>14319.29</v>
      </c>
      <c r="Q75" s="3">
        <f t="shared" si="99"/>
        <v>63.68</v>
      </c>
      <c r="R75" s="3">
        <f t="shared" si="99"/>
        <v>21.23</v>
      </c>
      <c r="S75" s="3">
        <f t="shared" si="99"/>
        <v>2355.67</v>
      </c>
      <c r="T75" s="3">
        <f t="shared" si="99"/>
        <v>0</v>
      </c>
      <c r="U75" s="3">
        <f>AH75</f>
        <v>275.22874949999999</v>
      </c>
      <c r="V75" s="3">
        <f>AI75</f>
        <v>1.8564324999999999</v>
      </c>
      <c r="W75" s="3">
        <f>ROUND(AJ75,2)</f>
        <v>0</v>
      </c>
      <c r="X75" s="3">
        <f>ROUND(AK75,2)</f>
        <v>2162.5</v>
      </c>
      <c r="Y75" s="3">
        <f>ROUND(AL75,2)</f>
        <v>1330.18</v>
      </c>
      <c r="Z75" s="3"/>
      <c r="AA75" s="3"/>
      <c r="AB75" s="3">
        <f>ROUND(SUMIF(AA24:AA73,"=16500983",O24:O73),2)</f>
        <v>16738.64</v>
      </c>
      <c r="AC75" s="3">
        <f>ROUND(SUMIF(AA24:AA73,"=16500983",P24:P73),2)</f>
        <v>14319.29</v>
      </c>
      <c r="AD75" s="3">
        <f>ROUND(SUMIF(AA24:AA73,"=16500983",Q24:Q73),2)</f>
        <v>63.68</v>
      </c>
      <c r="AE75" s="3">
        <f>ROUND(SUMIF(AA24:AA73,"=16500983",R24:R73),2)</f>
        <v>21.23</v>
      </c>
      <c r="AF75" s="3">
        <f>ROUND(SUMIF(AA24:AA73,"=16500983",S24:S73),2)</f>
        <v>2355.67</v>
      </c>
      <c r="AG75" s="3">
        <f>ROUND(SUMIF(AA24:AA73,"=16500983",T24:T73),2)</f>
        <v>0</v>
      </c>
      <c r="AH75" s="3">
        <f>SUMIF(AA24:AA73,"=16500983",U24:U73)</f>
        <v>275.22874949999999</v>
      </c>
      <c r="AI75" s="3">
        <f>SUMIF(AA24:AA73,"=16500983",V24:V73)</f>
        <v>1.8564324999999999</v>
      </c>
      <c r="AJ75" s="3">
        <f>ROUND(SUMIF(AA24:AA73,"=16500983",W24:W73),2)</f>
        <v>0</v>
      </c>
      <c r="AK75" s="3">
        <f>ROUND(SUMIF(AA24:AA73,"=16500983",X24:X73),2)</f>
        <v>2162.5</v>
      </c>
      <c r="AL75" s="3">
        <f>ROUND(SUMIF(AA24:AA73,"=16500983",Y24:Y73),2)</f>
        <v>1330.18</v>
      </c>
      <c r="AM75" s="3"/>
      <c r="AN75" s="3"/>
      <c r="AO75" s="3">
        <f t="shared" ref="AO75:BC75" si="100">ROUND(BX75,2)</f>
        <v>0</v>
      </c>
      <c r="AP75" s="3">
        <f t="shared" si="100"/>
        <v>0</v>
      </c>
      <c r="AQ75" s="3">
        <f t="shared" si="100"/>
        <v>0</v>
      </c>
      <c r="AR75" s="3">
        <f t="shared" si="100"/>
        <v>20231.32</v>
      </c>
      <c r="AS75" s="3">
        <f t="shared" si="100"/>
        <v>20231.32</v>
      </c>
      <c r="AT75" s="3">
        <f t="shared" si="100"/>
        <v>0</v>
      </c>
      <c r="AU75" s="3">
        <f t="shared" si="100"/>
        <v>0</v>
      </c>
      <c r="AV75" s="3">
        <f t="shared" si="100"/>
        <v>14319.29</v>
      </c>
      <c r="AW75" s="3">
        <f t="shared" si="100"/>
        <v>14319.29</v>
      </c>
      <c r="AX75" s="3">
        <f t="shared" si="100"/>
        <v>0</v>
      </c>
      <c r="AY75" s="3">
        <f t="shared" si="100"/>
        <v>14319.29</v>
      </c>
      <c r="AZ75" s="3">
        <f t="shared" si="100"/>
        <v>0</v>
      </c>
      <c r="BA75" s="3">
        <f t="shared" si="100"/>
        <v>0</v>
      </c>
      <c r="BB75" s="3">
        <f t="shared" si="100"/>
        <v>0</v>
      </c>
      <c r="BC75" s="3">
        <f t="shared" si="100"/>
        <v>0</v>
      </c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>
        <f>ROUND(SUMIF(AA24:AA73,"=16500983",FQ24:FQ73),2)</f>
        <v>0</v>
      </c>
      <c r="BY75" s="3">
        <f>ROUND(SUMIF(AA24:AA73,"=16500983",FR24:FR73),2)</f>
        <v>0</v>
      </c>
      <c r="BZ75" s="3">
        <f>ROUND(SUMIF(AA24:AA73,"=16500983",GL24:GL73),2)</f>
        <v>0</v>
      </c>
      <c r="CA75" s="3">
        <f>ROUND(SUMIF(AA24:AA73,"=16500983",GM24:GM73),2)</f>
        <v>20231.32</v>
      </c>
      <c r="CB75" s="3">
        <f>ROUND(SUMIF(AA24:AA73,"=16500983",GN24:GN73),2)</f>
        <v>20231.32</v>
      </c>
      <c r="CC75" s="3">
        <f>ROUND(SUMIF(AA24:AA73,"=16500983",GO24:GO73),2)</f>
        <v>0</v>
      </c>
      <c r="CD75" s="3">
        <f>ROUND(SUMIF(AA24:AA73,"=16500983",GP24:GP73),2)</f>
        <v>0</v>
      </c>
      <c r="CE75" s="3">
        <f>AC75-BX75</f>
        <v>14319.29</v>
      </c>
      <c r="CF75" s="3">
        <f>AC75-BY75</f>
        <v>14319.29</v>
      </c>
      <c r="CG75" s="3">
        <f>BX75-BZ75</f>
        <v>0</v>
      </c>
      <c r="CH75" s="3">
        <f>AC75-BX75-BY75+BZ75</f>
        <v>14319.29</v>
      </c>
      <c r="CI75" s="3">
        <f>BY75-BZ75</f>
        <v>0</v>
      </c>
      <c r="CJ75" s="3">
        <f>ROUND(SUMIF(AA24:AA73,"=16500983",GX24:GX73),2)</f>
        <v>0</v>
      </c>
      <c r="CK75" s="3">
        <f>ROUND(SUMIF(AA24:AA73,"=16500983",GY24:GY73),2)</f>
        <v>0</v>
      </c>
      <c r="CL75" s="3">
        <f>ROUND(SUMIF(AA24:AA73,"=16500983",GZ24:GZ73),2)</f>
        <v>0</v>
      </c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4">
        <f t="shared" ref="DG75:DL75" si="101">ROUND(DT75,2)</f>
        <v>101770.98</v>
      </c>
      <c r="DH75" s="4">
        <f t="shared" si="101"/>
        <v>87061.32</v>
      </c>
      <c r="DI75" s="4">
        <f t="shared" si="101"/>
        <v>387.09</v>
      </c>
      <c r="DJ75" s="4">
        <f t="shared" si="101"/>
        <v>129.13999999999999</v>
      </c>
      <c r="DK75" s="4">
        <f t="shared" si="101"/>
        <v>14322.57</v>
      </c>
      <c r="DL75" s="4">
        <f t="shared" si="101"/>
        <v>0</v>
      </c>
      <c r="DM75" s="4">
        <f>DZ75</f>
        <v>275.22874949999999</v>
      </c>
      <c r="DN75" s="4">
        <f>EA75</f>
        <v>1.8564324999999999</v>
      </c>
      <c r="DO75" s="4">
        <f>ROUND(EB75,2)</f>
        <v>0</v>
      </c>
      <c r="DP75" s="4">
        <f>ROUND(EC75,2)</f>
        <v>13148.09</v>
      </c>
      <c r="DQ75" s="4">
        <f>ROUND(ED75,2)</f>
        <v>8087.67</v>
      </c>
      <c r="DR75" s="4"/>
      <c r="DS75" s="4"/>
      <c r="DT75" s="4">
        <f>ROUND(SUMIF(AA24:AA73,"=16500997",O24:O73),2)</f>
        <v>101770.98</v>
      </c>
      <c r="DU75" s="4">
        <f>ROUND(SUMIF(AA24:AA73,"=16500997",P24:P73),2)</f>
        <v>87061.32</v>
      </c>
      <c r="DV75" s="4">
        <f>ROUND(SUMIF(AA24:AA73,"=16500997",Q24:Q73),2)</f>
        <v>387.09</v>
      </c>
      <c r="DW75" s="4">
        <f>ROUND(SUMIF(AA24:AA73,"=16500997",R24:R73),2)</f>
        <v>129.13999999999999</v>
      </c>
      <c r="DX75" s="4">
        <f>ROUND(SUMIF(AA24:AA73,"=16500997",S24:S73),2)</f>
        <v>14322.57</v>
      </c>
      <c r="DY75" s="4">
        <f>ROUND(SUMIF(AA24:AA73,"=16500997",T24:T73),2)</f>
        <v>0</v>
      </c>
      <c r="DZ75" s="4">
        <f>SUMIF(AA24:AA73,"=16500997",U24:U73)</f>
        <v>275.22874949999999</v>
      </c>
      <c r="EA75" s="4">
        <f>SUMIF(AA24:AA73,"=16500997",V24:V73)</f>
        <v>1.8564324999999999</v>
      </c>
      <c r="EB75" s="4">
        <f>ROUND(SUMIF(AA24:AA73,"=16500997",W24:W73),2)</f>
        <v>0</v>
      </c>
      <c r="EC75" s="4">
        <f>ROUND(SUMIF(AA24:AA73,"=16500997",X24:X73),2)</f>
        <v>13148.09</v>
      </c>
      <c r="ED75" s="4">
        <f>ROUND(SUMIF(AA24:AA73,"=16500997",Y24:Y73),2)</f>
        <v>8087.67</v>
      </c>
      <c r="EE75" s="4"/>
      <c r="EF75" s="4"/>
      <c r="EG75" s="4">
        <f t="shared" ref="EG75:EU75" si="102">ROUND(FP75,2)</f>
        <v>0</v>
      </c>
      <c r="EH75" s="4">
        <f t="shared" si="102"/>
        <v>0</v>
      </c>
      <c r="EI75" s="4">
        <f t="shared" si="102"/>
        <v>0</v>
      </c>
      <c r="EJ75" s="4">
        <f t="shared" si="102"/>
        <v>123006.74</v>
      </c>
      <c r="EK75" s="4">
        <f t="shared" si="102"/>
        <v>123006.74</v>
      </c>
      <c r="EL75" s="4">
        <f t="shared" si="102"/>
        <v>0</v>
      </c>
      <c r="EM75" s="4">
        <f t="shared" si="102"/>
        <v>0</v>
      </c>
      <c r="EN75" s="4">
        <f t="shared" si="102"/>
        <v>87061.32</v>
      </c>
      <c r="EO75" s="4">
        <f t="shared" si="102"/>
        <v>87061.32</v>
      </c>
      <c r="EP75" s="4">
        <f t="shared" si="102"/>
        <v>0</v>
      </c>
      <c r="EQ75" s="4">
        <f t="shared" si="102"/>
        <v>87061.32</v>
      </c>
      <c r="ER75" s="4">
        <f t="shared" si="102"/>
        <v>0</v>
      </c>
      <c r="ES75" s="4">
        <f t="shared" si="102"/>
        <v>0</v>
      </c>
      <c r="ET75" s="4">
        <f t="shared" si="102"/>
        <v>0</v>
      </c>
      <c r="EU75" s="4">
        <f t="shared" si="102"/>
        <v>0</v>
      </c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>
        <f>ROUND(SUMIF(AA24:AA73,"=16500997",FQ24:FQ73),2)</f>
        <v>0</v>
      </c>
      <c r="FQ75" s="4">
        <f>ROUND(SUMIF(AA24:AA73,"=16500997",FR24:FR73),2)</f>
        <v>0</v>
      </c>
      <c r="FR75" s="4">
        <f>ROUND(SUMIF(AA24:AA73,"=16500997",GL24:GL73),2)</f>
        <v>0</v>
      </c>
      <c r="FS75" s="4">
        <f>ROUND(SUMIF(AA24:AA73,"=16500997",GM24:GM73),2)</f>
        <v>123006.74</v>
      </c>
      <c r="FT75" s="4">
        <f>ROUND(SUMIF(AA24:AA73,"=16500997",GN24:GN73),2)</f>
        <v>123006.74</v>
      </c>
      <c r="FU75" s="4">
        <f>ROUND(SUMIF(AA24:AA73,"=16500997",GO24:GO73),2)</f>
        <v>0</v>
      </c>
      <c r="FV75" s="4">
        <f>ROUND(SUMIF(AA24:AA73,"=16500997",GP24:GP73),2)</f>
        <v>0</v>
      </c>
      <c r="FW75" s="4">
        <f>DU75-FP75</f>
        <v>87061.32</v>
      </c>
      <c r="FX75" s="4">
        <f>DU75-FQ75</f>
        <v>87061.32</v>
      </c>
      <c r="FY75" s="4">
        <f>FP75-FR75</f>
        <v>0</v>
      </c>
      <c r="FZ75" s="4">
        <f>DU75-FP75-FQ75+FR75</f>
        <v>87061.32</v>
      </c>
      <c r="GA75" s="4">
        <f>FQ75-FR75</f>
        <v>0</v>
      </c>
      <c r="GB75" s="4">
        <f>ROUND(SUMIF(AA24:AA73,"=16500997",GX24:GX73),2)</f>
        <v>0</v>
      </c>
      <c r="GC75" s="4">
        <f>ROUND(SUMIF(AA24:AA73,"=16500997",GY24:GY73),2)</f>
        <v>0</v>
      </c>
      <c r="GD75" s="4">
        <f>ROUND(SUMIF(AA24:AA73,"=16500997",GZ24:GZ73),2)</f>
        <v>0</v>
      </c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>
        <v>0</v>
      </c>
    </row>
    <row r="77" spans="1:255" x14ac:dyDescent="0.2">
      <c r="A77" s="5">
        <v>50</v>
      </c>
      <c r="B77" s="5">
        <v>0</v>
      </c>
      <c r="C77" s="5">
        <v>0</v>
      </c>
      <c r="D77" s="5">
        <v>1</v>
      </c>
      <c r="E77" s="5">
        <v>201</v>
      </c>
      <c r="F77" s="5">
        <f>ROUND(Source!O75,O77)</f>
        <v>16738.64</v>
      </c>
      <c r="G77" s="5" t="s">
        <v>125</v>
      </c>
      <c r="H77" s="5" t="s">
        <v>126</v>
      </c>
      <c r="I77" s="5"/>
      <c r="J77" s="5"/>
      <c r="K77" s="5">
        <v>201</v>
      </c>
      <c r="L77" s="5">
        <v>1</v>
      </c>
      <c r="M77" s="5">
        <v>3</v>
      </c>
      <c r="N77" s="5" t="s">
        <v>4</v>
      </c>
      <c r="O77" s="5">
        <v>2</v>
      </c>
      <c r="P77" s="5">
        <f>ROUND(Source!DG75,O77)</f>
        <v>101770.98</v>
      </c>
      <c r="Q77" s="5"/>
      <c r="R77" s="5"/>
      <c r="S77" s="5"/>
      <c r="T77" s="5"/>
      <c r="U77" s="5"/>
      <c r="V77" s="5"/>
      <c r="W77" s="5"/>
    </row>
    <row r="78" spans="1:255" x14ac:dyDescent="0.2">
      <c r="A78" s="5">
        <v>50</v>
      </c>
      <c r="B78" s="5">
        <v>0</v>
      </c>
      <c r="C78" s="5">
        <v>0</v>
      </c>
      <c r="D78" s="5">
        <v>1</v>
      </c>
      <c r="E78" s="5">
        <v>202</v>
      </c>
      <c r="F78" s="5">
        <f>ROUND(Source!P75,O78)</f>
        <v>14319.29</v>
      </c>
      <c r="G78" s="5" t="s">
        <v>127</v>
      </c>
      <c r="H78" s="5" t="s">
        <v>128</v>
      </c>
      <c r="I78" s="5"/>
      <c r="J78" s="5"/>
      <c r="K78" s="5">
        <v>202</v>
      </c>
      <c r="L78" s="5">
        <v>2</v>
      </c>
      <c r="M78" s="5">
        <v>3</v>
      </c>
      <c r="N78" s="5" t="s">
        <v>4</v>
      </c>
      <c r="O78" s="5">
        <v>2</v>
      </c>
      <c r="P78" s="5">
        <f>ROUND(Source!DH75,O78)</f>
        <v>87061.32</v>
      </c>
      <c r="Q78" s="5"/>
      <c r="R78" s="5"/>
      <c r="S78" s="5"/>
      <c r="T78" s="5"/>
      <c r="U78" s="5"/>
      <c r="V78" s="5"/>
      <c r="W78" s="5"/>
    </row>
    <row r="79" spans="1:255" x14ac:dyDescent="0.2">
      <c r="A79" s="5">
        <v>50</v>
      </c>
      <c r="B79" s="5">
        <v>0</v>
      </c>
      <c r="C79" s="5">
        <v>0</v>
      </c>
      <c r="D79" s="5">
        <v>1</v>
      </c>
      <c r="E79" s="5">
        <v>222</v>
      </c>
      <c r="F79" s="5">
        <f>ROUND(Source!AO75,O79)</f>
        <v>0</v>
      </c>
      <c r="G79" s="5" t="s">
        <v>129</v>
      </c>
      <c r="H79" s="5" t="s">
        <v>130</v>
      </c>
      <c r="I79" s="5"/>
      <c r="J79" s="5"/>
      <c r="K79" s="5">
        <v>222</v>
      </c>
      <c r="L79" s="5">
        <v>3</v>
      </c>
      <c r="M79" s="5">
        <v>3</v>
      </c>
      <c r="N79" s="5" t="s">
        <v>4</v>
      </c>
      <c r="O79" s="5">
        <v>2</v>
      </c>
      <c r="P79" s="5">
        <f>ROUND(Source!EG75,O79)</f>
        <v>0</v>
      </c>
      <c r="Q79" s="5"/>
      <c r="R79" s="5"/>
      <c r="S79" s="5"/>
      <c r="T79" s="5"/>
      <c r="U79" s="5"/>
      <c r="V79" s="5"/>
      <c r="W79" s="5"/>
    </row>
    <row r="80" spans="1:255" x14ac:dyDescent="0.2">
      <c r="A80" s="5">
        <v>50</v>
      </c>
      <c r="B80" s="5">
        <v>0</v>
      </c>
      <c r="C80" s="5">
        <v>0</v>
      </c>
      <c r="D80" s="5">
        <v>1</v>
      </c>
      <c r="E80" s="5">
        <v>225</v>
      </c>
      <c r="F80" s="5">
        <f>ROUND(Source!AV75,O80)</f>
        <v>14319.29</v>
      </c>
      <c r="G80" s="5" t="s">
        <v>131</v>
      </c>
      <c r="H80" s="5" t="s">
        <v>132</v>
      </c>
      <c r="I80" s="5"/>
      <c r="J80" s="5"/>
      <c r="K80" s="5">
        <v>225</v>
      </c>
      <c r="L80" s="5">
        <v>4</v>
      </c>
      <c r="M80" s="5">
        <v>3</v>
      </c>
      <c r="N80" s="5" t="s">
        <v>4</v>
      </c>
      <c r="O80" s="5">
        <v>2</v>
      </c>
      <c r="P80" s="5">
        <f>ROUND(Source!EN75,O80)</f>
        <v>87061.32</v>
      </c>
      <c r="Q80" s="5"/>
      <c r="R80" s="5"/>
      <c r="S80" s="5"/>
      <c r="T80" s="5"/>
      <c r="U80" s="5"/>
      <c r="V80" s="5"/>
      <c r="W80" s="5"/>
    </row>
    <row r="81" spans="1:23" x14ac:dyDescent="0.2">
      <c r="A81" s="5">
        <v>50</v>
      </c>
      <c r="B81" s="5">
        <v>0</v>
      </c>
      <c r="C81" s="5">
        <v>0</v>
      </c>
      <c r="D81" s="5">
        <v>1</v>
      </c>
      <c r="E81" s="5">
        <v>226</v>
      </c>
      <c r="F81" s="5">
        <f>ROUND(Source!AW75,O81)</f>
        <v>14319.29</v>
      </c>
      <c r="G81" s="5" t="s">
        <v>133</v>
      </c>
      <c r="H81" s="5" t="s">
        <v>134</v>
      </c>
      <c r="I81" s="5"/>
      <c r="J81" s="5"/>
      <c r="K81" s="5">
        <v>226</v>
      </c>
      <c r="L81" s="5">
        <v>5</v>
      </c>
      <c r="M81" s="5">
        <v>3</v>
      </c>
      <c r="N81" s="5" t="s">
        <v>4</v>
      </c>
      <c r="O81" s="5">
        <v>2</v>
      </c>
      <c r="P81" s="5">
        <f>ROUND(Source!EO75,O81)</f>
        <v>87061.32</v>
      </c>
      <c r="Q81" s="5"/>
      <c r="R81" s="5"/>
      <c r="S81" s="5"/>
      <c r="T81" s="5"/>
      <c r="U81" s="5"/>
      <c r="V81" s="5"/>
      <c r="W81" s="5"/>
    </row>
    <row r="82" spans="1:23" x14ac:dyDescent="0.2">
      <c r="A82" s="5">
        <v>50</v>
      </c>
      <c r="B82" s="5">
        <v>0</v>
      </c>
      <c r="C82" s="5">
        <v>0</v>
      </c>
      <c r="D82" s="5">
        <v>1</v>
      </c>
      <c r="E82" s="5">
        <v>227</v>
      </c>
      <c r="F82" s="5">
        <f>ROUND(Source!AX75,O82)</f>
        <v>0</v>
      </c>
      <c r="G82" s="5" t="s">
        <v>135</v>
      </c>
      <c r="H82" s="5" t="s">
        <v>136</v>
      </c>
      <c r="I82" s="5"/>
      <c r="J82" s="5"/>
      <c r="K82" s="5">
        <v>227</v>
      </c>
      <c r="L82" s="5">
        <v>6</v>
      </c>
      <c r="M82" s="5">
        <v>3</v>
      </c>
      <c r="N82" s="5" t="s">
        <v>4</v>
      </c>
      <c r="O82" s="5">
        <v>2</v>
      </c>
      <c r="P82" s="5">
        <f>ROUND(Source!EP75,O82)</f>
        <v>0</v>
      </c>
      <c r="Q82" s="5"/>
      <c r="R82" s="5"/>
      <c r="S82" s="5"/>
      <c r="T82" s="5"/>
      <c r="U82" s="5"/>
      <c r="V82" s="5"/>
      <c r="W82" s="5"/>
    </row>
    <row r="83" spans="1:23" x14ac:dyDescent="0.2">
      <c r="A83" s="5">
        <v>50</v>
      </c>
      <c r="B83" s="5">
        <v>0</v>
      </c>
      <c r="C83" s="5">
        <v>0</v>
      </c>
      <c r="D83" s="5">
        <v>1</v>
      </c>
      <c r="E83" s="5">
        <v>228</v>
      </c>
      <c r="F83" s="5">
        <f>ROUND(Source!AY75,O83)</f>
        <v>14319.29</v>
      </c>
      <c r="G83" s="5" t="s">
        <v>137</v>
      </c>
      <c r="H83" s="5" t="s">
        <v>138</v>
      </c>
      <c r="I83" s="5"/>
      <c r="J83" s="5"/>
      <c r="K83" s="5">
        <v>228</v>
      </c>
      <c r="L83" s="5">
        <v>7</v>
      </c>
      <c r="M83" s="5">
        <v>3</v>
      </c>
      <c r="N83" s="5" t="s">
        <v>4</v>
      </c>
      <c r="O83" s="5">
        <v>2</v>
      </c>
      <c r="P83" s="5">
        <f>ROUND(Source!EQ75,O83)</f>
        <v>87061.32</v>
      </c>
      <c r="Q83" s="5"/>
      <c r="R83" s="5"/>
      <c r="S83" s="5"/>
      <c r="T83" s="5"/>
      <c r="U83" s="5"/>
      <c r="V83" s="5"/>
      <c r="W83" s="5"/>
    </row>
    <row r="84" spans="1:23" x14ac:dyDescent="0.2">
      <c r="A84" s="5">
        <v>50</v>
      </c>
      <c r="B84" s="5">
        <v>0</v>
      </c>
      <c r="C84" s="5">
        <v>0</v>
      </c>
      <c r="D84" s="5">
        <v>1</v>
      </c>
      <c r="E84" s="5">
        <v>216</v>
      </c>
      <c r="F84" s="5">
        <f>ROUND(Source!AP75,O84)</f>
        <v>0</v>
      </c>
      <c r="G84" s="5" t="s">
        <v>139</v>
      </c>
      <c r="H84" s="5" t="s">
        <v>140</v>
      </c>
      <c r="I84" s="5"/>
      <c r="J84" s="5"/>
      <c r="K84" s="5">
        <v>216</v>
      </c>
      <c r="L84" s="5">
        <v>8</v>
      </c>
      <c r="M84" s="5">
        <v>3</v>
      </c>
      <c r="N84" s="5" t="s">
        <v>4</v>
      </c>
      <c r="O84" s="5">
        <v>2</v>
      </c>
      <c r="P84" s="5">
        <f>ROUND(Source!EH75,O84)</f>
        <v>0</v>
      </c>
      <c r="Q84" s="5"/>
      <c r="R84" s="5"/>
      <c r="S84" s="5"/>
      <c r="T84" s="5"/>
      <c r="U84" s="5"/>
      <c r="V84" s="5"/>
      <c r="W84" s="5"/>
    </row>
    <row r="85" spans="1:23" x14ac:dyDescent="0.2">
      <c r="A85" s="5">
        <v>50</v>
      </c>
      <c r="B85" s="5">
        <v>0</v>
      </c>
      <c r="C85" s="5">
        <v>0</v>
      </c>
      <c r="D85" s="5">
        <v>1</v>
      </c>
      <c r="E85" s="5">
        <v>223</v>
      </c>
      <c r="F85" s="5">
        <f>ROUND(Source!AQ75,O85)</f>
        <v>0</v>
      </c>
      <c r="G85" s="5" t="s">
        <v>141</v>
      </c>
      <c r="H85" s="5" t="s">
        <v>142</v>
      </c>
      <c r="I85" s="5"/>
      <c r="J85" s="5"/>
      <c r="K85" s="5">
        <v>223</v>
      </c>
      <c r="L85" s="5">
        <v>9</v>
      </c>
      <c r="M85" s="5">
        <v>3</v>
      </c>
      <c r="N85" s="5" t="s">
        <v>4</v>
      </c>
      <c r="O85" s="5">
        <v>2</v>
      </c>
      <c r="P85" s="5">
        <f>ROUND(Source!EI75,O85)</f>
        <v>0</v>
      </c>
      <c r="Q85" s="5"/>
      <c r="R85" s="5"/>
      <c r="S85" s="5"/>
      <c r="T85" s="5"/>
      <c r="U85" s="5"/>
      <c r="V85" s="5"/>
      <c r="W85" s="5"/>
    </row>
    <row r="86" spans="1:23" x14ac:dyDescent="0.2">
      <c r="A86" s="5">
        <v>50</v>
      </c>
      <c r="B86" s="5">
        <v>0</v>
      </c>
      <c r="C86" s="5">
        <v>0</v>
      </c>
      <c r="D86" s="5">
        <v>1</v>
      </c>
      <c r="E86" s="5">
        <v>229</v>
      </c>
      <c r="F86" s="5">
        <f>ROUND(Source!AZ75,O86)</f>
        <v>0</v>
      </c>
      <c r="G86" s="5" t="s">
        <v>143</v>
      </c>
      <c r="H86" s="5" t="s">
        <v>144</v>
      </c>
      <c r="I86" s="5"/>
      <c r="J86" s="5"/>
      <c r="K86" s="5">
        <v>229</v>
      </c>
      <c r="L86" s="5">
        <v>10</v>
      </c>
      <c r="M86" s="5">
        <v>3</v>
      </c>
      <c r="N86" s="5" t="s">
        <v>4</v>
      </c>
      <c r="O86" s="5">
        <v>2</v>
      </c>
      <c r="P86" s="5">
        <f>ROUND(Source!ER75,O86)</f>
        <v>0</v>
      </c>
      <c r="Q86" s="5"/>
      <c r="R86" s="5"/>
      <c r="S86" s="5"/>
      <c r="T86" s="5"/>
      <c r="U86" s="5"/>
      <c r="V86" s="5"/>
      <c r="W86" s="5"/>
    </row>
    <row r="87" spans="1:23" x14ac:dyDescent="0.2">
      <c r="A87" s="5">
        <v>50</v>
      </c>
      <c r="B87" s="5">
        <v>0</v>
      </c>
      <c r="C87" s="5">
        <v>0</v>
      </c>
      <c r="D87" s="5">
        <v>1</v>
      </c>
      <c r="E87" s="5">
        <v>203</v>
      </c>
      <c r="F87" s="5">
        <f>ROUND(Source!Q75,O87)</f>
        <v>63.68</v>
      </c>
      <c r="G87" s="5" t="s">
        <v>145</v>
      </c>
      <c r="H87" s="5" t="s">
        <v>146</v>
      </c>
      <c r="I87" s="5"/>
      <c r="J87" s="5"/>
      <c r="K87" s="5">
        <v>203</v>
      </c>
      <c r="L87" s="5">
        <v>11</v>
      </c>
      <c r="M87" s="5">
        <v>3</v>
      </c>
      <c r="N87" s="5" t="s">
        <v>4</v>
      </c>
      <c r="O87" s="5">
        <v>2</v>
      </c>
      <c r="P87" s="5">
        <f>ROUND(Source!DI75,O87)</f>
        <v>387.09</v>
      </c>
      <c r="Q87" s="5"/>
      <c r="R87" s="5"/>
      <c r="S87" s="5"/>
      <c r="T87" s="5"/>
      <c r="U87" s="5"/>
      <c r="V87" s="5"/>
      <c r="W87" s="5"/>
    </row>
    <row r="88" spans="1:23" x14ac:dyDescent="0.2">
      <c r="A88" s="5">
        <v>50</v>
      </c>
      <c r="B88" s="5">
        <v>0</v>
      </c>
      <c r="C88" s="5">
        <v>0</v>
      </c>
      <c r="D88" s="5">
        <v>1</v>
      </c>
      <c r="E88" s="5">
        <v>231</v>
      </c>
      <c r="F88" s="5">
        <f>ROUND(Source!BB75,O88)</f>
        <v>0</v>
      </c>
      <c r="G88" s="5" t="s">
        <v>147</v>
      </c>
      <c r="H88" s="5" t="s">
        <v>148</v>
      </c>
      <c r="I88" s="5"/>
      <c r="J88" s="5"/>
      <c r="K88" s="5">
        <v>231</v>
      </c>
      <c r="L88" s="5">
        <v>12</v>
      </c>
      <c r="M88" s="5">
        <v>3</v>
      </c>
      <c r="N88" s="5" t="s">
        <v>4</v>
      </c>
      <c r="O88" s="5">
        <v>2</v>
      </c>
      <c r="P88" s="5">
        <f>ROUND(Source!ET75,O88)</f>
        <v>0</v>
      </c>
      <c r="Q88" s="5"/>
      <c r="R88" s="5"/>
      <c r="S88" s="5"/>
      <c r="T88" s="5"/>
      <c r="U88" s="5"/>
      <c r="V88" s="5"/>
      <c r="W88" s="5"/>
    </row>
    <row r="89" spans="1:23" x14ac:dyDescent="0.2">
      <c r="A89" s="5">
        <v>50</v>
      </c>
      <c r="B89" s="5">
        <v>0</v>
      </c>
      <c r="C89" s="5">
        <v>0</v>
      </c>
      <c r="D89" s="5">
        <v>1</v>
      </c>
      <c r="E89" s="5">
        <v>204</v>
      </c>
      <c r="F89" s="5">
        <f>ROUND(Source!R75,O89)</f>
        <v>21.23</v>
      </c>
      <c r="G89" s="5" t="s">
        <v>149</v>
      </c>
      <c r="H89" s="5" t="s">
        <v>150</v>
      </c>
      <c r="I89" s="5"/>
      <c r="J89" s="5"/>
      <c r="K89" s="5">
        <v>204</v>
      </c>
      <c r="L89" s="5">
        <v>13</v>
      </c>
      <c r="M89" s="5">
        <v>3</v>
      </c>
      <c r="N89" s="5" t="s">
        <v>4</v>
      </c>
      <c r="O89" s="5">
        <v>2</v>
      </c>
      <c r="P89" s="5">
        <f>ROUND(Source!DJ75,O89)</f>
        <v>129.13999999999999</v>
      </c>
      <c r="Q89" s="5"/>
      <c r="R89" s="5"/>
      <c r="S89" s="5"/>
      <c r="T89" s="5"/>
      <c r="U89" s="5"/>
      <c r="V89" s="5"/>
      <c r="W89" s="5"/>
    </row>
    <row r="90" spans="1:23" x14ac:dyDescent="0.2">
      <c r="A90" s="5">
        <v>50</v>
      </c>
      <c r="B90" s="5">
        <v>0</v>
      </c>
      <c r="C90" s="5">
        <v>0</v>
      </c>
      <c r="D90" s="5">
        <v>1</v>
      </c>
      <c r="E90" s="5">
        <v>205</v>
      </c>
      <c r="F90" s="5">
        <f>ROUND(Source!S75,O90)</f>
        <v>2355.67</v>
      </c>
      <c r="G90" s="5" t="s">
        <v>151</v>
      </c>
      <c r="H90" s="5" t="s">
        <v>152</v>
      </c>
      <c r="I90" s="5"/>
      <c r="J90" s="5"/>
      <c r="K90" s="5">
        <v>205</v>
      </c>
      <c r="L90" s="5">
        <v>14</v>
      </c>
      <c r="M90" s="5">
        <v>3</v>
      </c>
      <c r="N90" s="5" t="s">
        <v>4</v>
      </c>
      <c r="O90" s="5">
        <v>2</v>
      </c>
      <c r="P90" s="5">
        <f>ROUND(Source!DK75,O90)</f>
        <v>14322.57</v>
      </c>
      <c r="Q90" s="5"/>
      <c r="R90" s="5"/>
      <c r="S90" s="5"/>
      <c r="T90" s="5"/>
      <c r="U90" s="5"/>
      <c r="V90" s="5"/>
      <c r="W90" s="5"/>
    </row>
    <row r="91" spans="1:23" x14ac:dyDescent="0.2">
      <c r="A91" s="5">
        <v>50</v>
      </c>
      <c r="B91" s="5">
        <v>0</v>
      </c>
      <c r="C91" s="5">
        <v>0</v>
      </c>
      <c r="D91" s="5">
        <v>1</v>
      </c>
      <c r="E91" s="5">
        <v>232</v>
      </c>
      <c r="F91" s="5">
        <f>ROUND(Source!BC75,O91)</f>
        <v>0</v>
      </c>
      <c r="G91" s="5" t="s">
        <v>153</v>
      </c>
      <c r="H91" s="5" t="s">
        <v>154</v>
      </c>
      <c r="I91" s="5"/>
      <c r="J91" s="5"/>
      <c r="K91" s="5">
        <v>232</v>
      </c>
      <c r="L91" s="5">
        <v>15</v>
      </c>
      <c r="M91" s="5">
        <v>3</v>
      </c>
      <c r="N91" s="5" t="s">
        <v>4</v>
      </c>
      <c r="O91" s="5">
        <v>2</v>
      </c>
      <c r="P91" s="5">
        <f>ROUND(Source!EU75,O91)</f>
        <v>0</v>
      </c>
      <c r="Q91" s="5"/>
      <c r="R91" s="5"/>
      <c r="S91" s="5"/>
      <c r="T91" s="5"/>
      <c r="U91" s="5"/>
      <c r="V91" s="5"/>
      <c r="W91" s="5"/>
    </row>
    <row r="92" spans="1:23" x14ac:dyDescent="0.2">
      <c r="A92" s="5">
        <v>50</v>
      </c>
      <c r="B92" s="5">
        <v>0</v>
      </c>
      <c r="C92" s="5">
        <v>0</v>
      </c>
      <c r="D92" s="5">
        <v>1</v>
      </c>
      <c r="E92" s="5">
        <v>214</v>
      </c>
      <c r="F92" s="5">
        <f>ROUND(Source!AS75,O92)</f>
        <v>20231.32</v>
      </c>
      <c r="G92" s="5" t="s">
        <v>155</v>
      </c>
      <c r="H92" s="5" t="s">
        <v>156</v>
      </c>
      <c r="I92" s="5"/>
      <c r="J92" s="5"/>
      <c r="K92" s="5">
        <v>214</v>
      </c>
      <c r="L92" s="5">
        <v>16</v>
      </c>
      <c r="M92" s="5">
        <v>3</v>
      </c>
      <c r="N92" s="5" t="s">
        <v>4</v>
      </c>
      <c r="O92" s="5">
        <v>2</v>
      </c>
      <c r="P92" s="5">
        <f>ROUND(Source!EK75,O92)</f>
        <v>123006.74</v>
      </c>
      <c r="Q92" s="5"/>
      <c r="R92" s="5"/>
      <c r="S92" s="5"/>
      <c r="T92" s="5"/>
      <c r="U92" s="5"/>
      <c r="V92" s="5"/>
      <c r="W92" s="5"/>
    </row>
    <row r="93" spans="1:23" x14ac:dyDescent="0.2">
      <c r="A93" s="5">
        <v>50</v>
      </c>
      <c r="B93" s="5">
        <v>0</v>
      </c>
      <c r="C93" s="5">
        <v>0</v>
      </c>
      <c r="D93" s="5">
        <v>1</v>
      </c>
      <c r="E93" s="5">
        <v>215</v>
      </c>
      <c r="F93" s="5">
        <f>ROUND(Source!AT75,O93)</f>
        <v>0</v>
      </c>
      <c r="G93" s="5" t="s">
        <v>157</v>
      </c>
      <c r="H93" s="5" t="s">
        <v>158</v>
      </c>
      <c r="I93" s="5"/>
      <c r="J93" s="5"/>
      <c r="K93" s="5">
        <v>215</v>
      </c>
      <c r="L93" s="5">
        <v>17</v>
      </c>
      <c r="M93" s="5">
        <v>3</v>
      </c>
      <c r="N93" s="5" t="s">
        <v>4</v>
      </c>
      <c r="O93" s="5">
        <v>2</v>
      </c>
      <c r="P93" s="5">
        <f>ROUND(Source!EL75,O93)</f>
        <v>0</v>
      </c>
      <c r="Q93" s="5"/>
      <c r="R93" s="5"/>
      <c r="S93" s="5"/>
      <c r="T93" s="5"/>
      <c r="U93" s="5"/>
      <c r="V93" s="5"/>
      <c r="W93" s="5"/>
    </row>
    <row r="94" spans="1:23" x14ac:dyDescent="0.2">
      <c r="A94" s="5">
        <v>50</v>
      </c>
      <c r="B94" s="5">
        <v>0</v>
      </c>
      <c r="C94" s="5">
        <v>0</v>
      </c>
      <c r="D94" s="5">
        <v>1</v>
      </c>
      <c r="E94" s="5">
        <v>217</v>
      </c>
      <c r="F94" s="5">
        <f>ROUND(Source!AU75,O94)</f>
        <v>0</v>
      </c>
      <c r="G94" s="5" t="s">
        <v>159</v>
      </c>
      <c r="H94" s="5" t="s">
        <v>160</v>
      </c>
      <c r="I94" s="5"/>
      <c r="J94" s="5"/>
      <c r="K94" s="5">
        <v>217</v>
      </c>
      <c r="L94" s="5">
        <v>18</v>
      </c>
      <c r="M94" s="5">
        <v>3</v>
      </c>
      <c r="N94" s="5" t="s">
        <v>4</v>
      </c>
      <c r="O94" s="5">
        <v>2</v>
      </c>
      <c r="P94" s="5">
        <f>ROUND(Source!EM75,O94)</f>
        <v>0</v>
      </c>
      <c r="Q94" s="5"/>
      <c r="R94" s="5"/>
      <c r="S94" s="5"/>
      <c r="T94" s="5"/>
      <c r="U94" s="5"/>
      <c r="V94" s="5"/>
      <c r="W94" s="5"/>
    </row>
    <row r="95" spans="1:23" x14ac:dyDescent="0.2">
      <c r="A95" s="5">
        <v>50</v>
      </c>
      <c r="B95" s="5">
        <v>0</v>
      </c>
      <c r="C95" s="5">
        <v>0</v>
      </c>
      <c r="D95" s="5">
        <v>1</v>
      </c>
      <c r="E95" s="5">
        <v>230</v>
      </c>
      <c r="F95" s="5">
        <f>ROUND(Source!BA75,O95)</f>
        <v>0</v>
      </c>
      <c r="G95" s="5" t="s">
        <v>161</v>
      </c>
      <c r="H95" s="5" t="s">
        <v>162</v>
      </c>
      <c r="I95" s="5"/>
      <c r="J95" s="5"/>
      <c r="K95" s="5">
        <v>230</v>
      </c>
      <c r="L95" s="5">
        <v>19</v>
      </c>
      <c r="M95" s="5">
        <v>3</v>
      </c>
      <c r="N95" s="5" t="s">
        <v>4</v>
      </c>
      <c r="O95" s="5">
        <v>2</v>
      </c>
      <c r="P95" s="5">
        <f>ROUND(Source!ES75,O95)</f>
        <v>0</v>
      </c>
      <c r="Q95" s="5"/>
      <c r="R95" s="5"/>
      <c r="S95" s="5"/>
      <c r="T95" s="5"/>
      <c r="U95" s="5"/>
      <c r="V95" s="5"/>
      <c r="W95" s="5"/>
    </row>
    <row r="96" spans="1:23" x14ac:dyDescent="0.2">
      <c r="A96" s="5">
        <v>50</v>
      </c>
      <c r="B96" s="5">
        <v>0</v>
      </c>
      <c r="C96" s="5">
        <v>0</v>
      </c>
      <c r="D96" s="5">
        <v>1</v>
      </c>
      <c r="E96" s="5">
        <v>206</v>
      </c>
      <c r="F96" s="5">
        <f>ROUND(Source!T75,O96)</f>
        <v>0</v>
      </c>
      <c r="G96" s="5" t="s">
        <v>163</v>
      </c>
      <c r="H96" s="5" t="s">
        <v>164</v>
      </c>
      <c r="I96" s="5"/>
      <c r="J96" s="5"/>
      <c r="K96" s="5">
        <v>206</v>
      </c>
      <c r="L96" s="5">
        <v>20</v>
      </c>
      <c r="M96" s="5">
        <v>3</v>
      </c>
      <c r="N96" s="5" t="s">
        <v>4</v>
      </c>
      <c r="O96" s="5">
        <v>2</v>
      </c>
      <c r="P96" s="5">
        <f>ROUND(Source!DL75,O96)</f>
        <v>0</v>
      </c>
      <c r="Q96" s="5"/>
      <c r="R96" s="5"/>
      <c r="S96" s="5"/>
      <c r="T96" s="5"/>
      <c r="U96" s="5"/>
      <c r="V96" s="5"/>
      <c r="W96" s="5"/>
    </row>
    <row r="97" spans="1:206" x14ac:dyDescent="0.2">
      <c r="A97" s="5">
        <v>50</v>
      </c>
      <c r="B97" s="5">
        <v>0</v>
      </c>
      <c r="C97" s="5">
        <v>0</v>
      </c>
      <c r="D97" s="5">
        <v>1</v>
      </c>
      <c r="E97" s="5">
        <v>207</v>
      </c>
      <c r="F97" s="5">
        <f>Source!U75</f>
        <v>275.22874949999999</v>
      </c>
      <c r="G97" s="5" t="s">
        <v>165</v>
      </c>
      <c r="H97" s="5" t="s">
        <v>166</v>
      </c>
      <c r="I97" s="5"/>
      <c r="J97" s="5"/>
      <c r="K97" s="5">
        <v>207</v>
      </c>
      <c r="L97" s="5">
        <v>21</v>
      </c>
      <c r="M97" s="5">
        <v>3</v>
      </c>
      <c r="N97" s="5" t="s">
        <v>4</v>
      </c>
      <c r="O97" s="5">
        <v>-1</v>
      </c>
      <c r="P97" s="5">
        <f>Source!DM75</f>
        <v>275.22874949999999</v>
      </c>
      <c r="Q97" s="5"/>
      <c r="R97" s="5"/>
      <c r="S97" s="5"/>
      <c r="T97" s="5"/>
      <c r="U97" s="5"/>
      <c r="V97" s="5"/>
      <c r="W97" s="5"/>
    </row>
    <row r="98" spans="1:206" x14ac:dyDescent="0.2">
      <c r="A98" s="5">
        <v>50</v>
      </c>
      <c r="B98" s="5">
        <v>0</v>
      </c>
      <c r="C98" s="5">
        <v>0</v>
      </c>
      <c r="D98" s="5">
        <v>1</v>
      </c>
      <c r="E98" s="5">
        <v>208</v>
      </c>
      <c r="F98" s="5">
        <f>Source!V75</f>
        <v>1.8564324999999999</v>
      </c>
      <c r="G98" s="5" t="s">
        <v>167</v>
      </c>
      <c r="H98" s="5" t="s">
        <v>168</v>
      </c>
      <c r="I98" s="5"/>
      <c r="J98" s="5"/>
      <c r="K98" s="5">
        <v>208</v>
      </c>
      <c r="L98" s="5">
        <v>22</v>
      </c>
      <c r="M98" s="5">
        <v>3</v>
      </c>
      <c r="N98" s="5" t="s">
        <v>4</v>
      </c>
      <c r="O98" s="5">
        <v>-1</v>
      </c>
      <c r="P98" s="5">
        <f>Source!DN75</f>
        <v>1.8564324999999999</v>
      </c>
      <c r="Q98" s="5"/>
      <c r="R98" s="5"/>
      <c r="S98" s="5"/>
      <c r="T98" s="5"/>
      <c r="U98" s="5"/>
      <c r="V98" s="5"/>
      <c r="W98" s="5"/>
    </row>
    <row r="99" spans="1:206" x14ac:dyDescent="0.2">
      <c r="A99" s="5">
        <v>50</v>
      </c>
      <c r="B99" s="5">
        <v>0</v>
      </c>
      <c r="C99" s="5">
        <v>0</v>
      </c>
      <c r="D99" s="5">
        <v>1</v>
      </c>
      <c r="E99" s="5">
        <v>209</v>
      </c>
      <c r="F99" s="5">
        <f>ROUND(Source!W75,O99)</f>
        <v>0</v>
      </c>
      <c r="G99" s="5" t="s">
        <v>169</v>
      </c>
      <c r="H99" s="5" t="s">
        <v>170</v>
      </c>
      <c r="I99" s="5"/>
      <c r="J99" s="5"/>
      <c r="K99" s="5">
        <v>209</v>
      </c>
      <c r="L99" s="5">
        <v>23</v>
      </c>
      <c r="M99" s="5">
        <v>3</v>
      </c>
      <c r="N99" s="5" t="s">
        <v>4</v>
      </c>
      <c r="O99" s="5">
        <v>2</v>
      </c>
      <c r="P99" s="5">
        <f>ROUND(Source!DO75,O99)</f>
        <v>0</v>
      </c>
      <c r="Q99" s="5"/>
      <c r="R99" s="5"/>
      <c r="S99" s="5"/>
      <c r="T99" s="5"/>
      <c r="U99" s="5"/>
      <c r="V99" s="5"/>
      <c r="W99" s="5"/>
    </row>
    <row r="100" spans="1:206" x14ac:dyDescent="0.2">
      <c r="A100" s="5">
        <v>50</v>
      </c>
      <c r="B100" s="5">
        <v>0</v>
      </c>
      <c r="C100" s="5">
        <v>0</v>
      </c>
      <c r="D100" s="5">
        <v>1</v>
      </c>
      <c r="E100" s="5">
        <v>210</v>
      </c>
      <c r="F100" s="5">
        <f>ROUND(Source!X75,O100)</f>
        <v>2162.5</v>
      </c>
      <c r="G100" s="5" t="s">
        <v>171</v>
      </c>
      <c r="H100" s="5" t="s">
        <v>172</v>
      </c>
      <c r="I100" s="5"/>
      <c r="J100" s="5"/>
      <c r="K100" s="5">
        <v>210</v>
      </c>
      <c r="L100" s="5">
        <v>24</v>
      </c>
      <c r="M100" s="5">
        <v>3</v>
      </c>
      <c r="N100" s="5" t="s">
        <v>4</v>
      </c>
      <c r="O100" s="5">
        <v>2</v>
      </c>
      <c r="P100" s="5">
        <f>ROUND(Source!DP75,O100)</f>
        <v>13148.09</v>
      </c>
      <c r="Q100" s="5"/>
      <c r="R100" s="5"/>
      <c r="S100" s="5"/>
      <c r="T100" s="5"/>
      <c r="U100" s="5"/>
      <c r="V100" s="5"/>
      <c r="W100" s="5"/>
    </row>
    <row r="101" spans="1:206" x14ac:dyDescent="0.2">
      <c r="A101" s="5">
        <v>50</v>
      </c>
      <c r="B101" s="5">
        <v>0</v>
      </c>
      <c r="C101" s="5">
        <v>0</v>
      </c>
      <c r="D101" s="5">
        <v>1</v>
      </c>
      <c r="E101" s="5">
        <v>211</v>
      </c>
      <c r="F101" s="5">
        <f>ROUND(Source!Y75,O101)</f>
        <v>1330.18</v>
      </c>
      <c r="G101" s="5" t="s">
        <v>173</v>
      </c>
      <c r="H101" s="5" t="s">
        <v>174</v>
      </c>
      <c r="I101" s="5"/>
      <c r="J101" s="5"/>
      <c r="K101" s="5">
        <v>211</v>
      </c>
      <c r="L101" s="5">
        <v>25</v>
      </c>
      <c r="M101" s="5">
        <v>3</v>
      </c>
      <c r="N101" s="5" t="s">
        <v>4</v>
      </c>
      <c r="O101" s="5">
        <v>2</v>
      </c>
      <c r="P101" s="5">
        <f>ROUND(Source!DQ75,O101)</f>
        <v>8087.67</v>
      </c>
      <c r="Q101" s="5"/>
      <c r="R101" s="5"/>
      <c r="S101" s="5"/>
      <c r="T101" s="5"/>
      <c r="U101" s="5"/>
      <c r="V101" s="5"/>
      <c r="W101" s="5"/>
    </row>
    <row r="102" spans="1:206" x14ac:dyDescent="0.2">
      <c r="A102" s="5">
        <v>50</v>
      </c>
      <c r="B102" s="5">
        <v>0</v>
      </c>
      <c r="C102" s="5">
        <v>0</v>
      </c>
      <c r="D102" s="5">
        <v>1</v>
      </c>
      <c r="E102" s="5">
        <v>0</v>
      </c>
      <c r="F102" s="5">
        <f>ROUND(Source!AR75,O102)</f>
        <v>20231.32</v>
      </c>
      <c r="G102" s="5" t="s">
        <v>175</v>
      </c>
      <c r="H102" s="5" t="s">
        <v>176</v>
      </c>
      <c r="I102" s="5"/>
      <c r="J102" s="5"/>
      <c r="K102" s="5">
        <v>224</v>
      </c>
      <c r="L102" s="5">
        <v>26</v>
      </c>
      <c r="M102" s="5">
        <v>3</v>
      </c>
      <c r="N102" s="5" t="s">
        <v>4</v>
      </c>
      <c r="O102" s="5">
        <v>2</v>
      </c>
      <c r="P102" s="5">
        <f>ROUND(Source!EJ75,O102)</f>
        <v>123006.74</v>
      </c>
      <c r="Q102" s="5"/>
      <c r="R102" s="5"/>
      <c r="S102" s="5"/>
      <c r="T102" s="5"/>
      <c r="U102" s="5"/>
      <c r="V102" s="5"/>
      <c r="W102" s="5"/>
    </row>
    <row r="103" spans="1:206" x14ac:dyDescent="0.2">
      <c r="A103" s="5">
        <v>50</v>
      </c>
      <c r="B103" s="5">
        <v>1</v>
      </c>
      <c r="C103" s="5">
        <v>0</v>
      </c>
      <c r="D103" s="5">
        <v>2</v>
      </c>
      <c r="E103" s="5">
        <v>0</v>
      </c>
      <c r="F103" s="5">
        <f>ROUND(F102,O103)</f>
        <v>20231.32</v>
      </c>
      <c r="G103" s="5" t="s">
        <v>177</v>
      </c>
      <c r="H103" s="5" t="s">
        <v>175</v>
      </c>
      <c r="I103" s="5"/>
      <c r="J103" s="5"/>
      <c r="K103" s="5">
        <v>212</v>
      </c>
      <c r="L103" s="5">
        <v>27</v>
      </c>
      <c r="M103" s="5">
        <v>0</v>
      </c>
      <c r="N103" s="5" t="s">
        <v>4</v>
      </c>
      <c r="O103" s="5">
        <v>2</v>
      </c>
      <c r="P103" s="5">
        <f>ROUND(P102,O103)</f>
        <v>123006.74</v>
      </c>
      <c r="Q103" s="5"/>
      <c r="R103" s="5"/>
      <c r="S103" s="5"/>
      <c r="T103" s="5"/>
      <c r="U103" s="5"/>
      <c r="V103" s="5"/>
      <c r="W103" s="5"/>
    </row>
    <row r="104" spans="1:206" x14ac:dyDescent="0.2">
      <c r="A104" s="5">
        <v>50</v>
      </c>
      <c r="B104" s="5">
        <v>1</v>
      </c>
      <c r="C104" s="5">
        <v>0</v>
      </c>
      <c r="D104" s="5">
        <v>2</v>
      </c>
      <c r="E104" s="5">
        <v>0</v>
      </c>
      <c r="F104" s="5">
        <f>ROUND(F103*0.18,O104)</f>
        <v>3641.64</v>
      </c>
      <c r="G104" s="5" t="s">
        <v>178</v>
      </c>
      <c r="H104" s="5" t="s">
        <v>179</v>
      </c>
      <c r="I104" s="5"/>
      <c r="J104" s="5"/>
      <c r="K104" s="5">
        <v>212</v>
      </c>
      <c r="L104" s="5">
        <v>28</v>
      </c>
      <c r="M104" s="5">
        <v>0</v>
      </c>
      <c r="N104" s="5" t="s">
        <v>4</v>
      </c>
      <c r="O104" s="5">
        <v>2</v>
      </c>
      <c r="P104" s="5">
        <f>ROUND(P103*0.18,O104)</f>
        <v>22141.21</v>
      </c>
      <c r="Q104" s="5"/>
      <c r="R104" s="5"/>
      <c r="S104" s="5"/>
      <c r="T104" s="5"/>
      <c r="U104" s="5"/>
      <c r="V104" s="5"/>
      <c r="W104" s="5"/>
    </row>
    <row r="105" spans="1:206" x14ac:dyDescent="0.2">
      <c r="A105" s="5">
        <v>50</v>
      </c>
      <c r="B105" s="5">
        <v>1</v>
      </c>
      <c r="C105" s="5">
        <v>0</v>
      </c>
      <c r="D105" s="5">
        <v>2</v>
      </c>
      <c r="E105" s="5">
        <v>224</v>
      </c>
      <c r="F105" s="5">
        <f>ROUND(F103+F104,O105)</f>
        <v>23872.959999999999</v>
      </c>
      <c r="G105" s="5" t="s">
        <v>180</v>
      </c>
      <c r="H105" s="5" t="s">
        <v>181</v>
      </c>
      <c r="I105" s="5"/>
      <c r="J105" s="5"/>
      <c r="K105" s="5">
        <v>212</v>
      </c>
      <c r="L105" s="5">
        <v>29</v>
      </c>
      <c r="M105" s="5">
        <v>0</v>
      </c>
      <c r="N105" s="5" t="s">
        <v>4</v>
      </c>
      <c r="O105" s="5">
        <v>2</v>
      </c>
      <c r="P105" s="5">
        <f>ROUND(P103+P104,O105)</f>
        <v>145147.95000000001</v>
      </c>
      <c r="Q105" s="5"/>
      <c r="R105" s="5"/>
      <c r="S105" s="5"/>
      <c r="T105" s="5"/>
      <c r="U105" s="5"/>
      <c r="V105" s="5"/>
      <c r="W105" s="5"/>
    </row>
    <row r="107" spans="1:206" x14ac:dyDescent="0.2">
      <c r="A107" s="3">
        <v>51</v>
      </c>
      <c r="B107" s="3">
        <f>B12</f>
        <v>168</v>
      </c>
      <c r="C107" s="3">
        <f>A12</f>
        <v>1</v>
      </c>
      <c r="D107" s="3">
        <f>ROW(A12)</f>
        <v>12</v>
      </c>
      <c r="E107" s="3"/>
      <c r="F107" s="3" t="str">
        <f>IF(F12&lt;&gt;"",F12,"")</f>
        <v/>
      </c>
      <c r="G107" s="3" t="str">
        <f>IF(G12&lt;&gt;"",G12,"")</f>
        <v>Капитальный ремонт помещения №35 ОТИ НИЯУ МИФИ</v>
      </c>
      <c r="H107" s="3">
        <v>0</v>
      </c>
      <c r="I107" s="3"/>
      <c r="J107" s="3"/>
      <c r="K107" s="3"/>
      <c r="L107" s="3"/>
      <c r="M107" s="3"/>
      <c r="N107" s="3"/>
      <c r="O107" s="3">
        <f t="shared" ref="O107:T107" si="103">ROUND(O75,2)</f>
        <v>16738.64</v>
      </c>
      <c r="P107" s="3">
        <f t="shared" si="103"/>
        <v>14319.29</v>
      </c>
      <c r="Q107" s="3">
        <f t="shared" si="103"/>
        <v>63.68</v>
      </c>
      <c r="R107" s="3">
        <f t="shared" si="103"/>
        <v>21.23</v>
      </c>
      <c r="S107" s="3">
        <f t="shared" si="103"/>
        <v>2355.67</v>
      </c>
      <c r="T107" s="3">
        <f t="shared" si="103"/>
        <v>0</v>
      </c>
      <c r="U107" s="3">
        <f>U75</f>
        <v>275.22874949999999</v>
      </c>
      <c r="V107" s="3">
        <f>V75</f>
        <v>1.8564324999999999</v>
      </c>
      <c r="W107" s="3">
        <f>ROUND(W75,2)</f>
        <v>0</v>
      </c>
      <c r="X107" s="3">
        <f>ROUND(X75,2)</f>
        <v>2162.5</v>
      </c>
      <c r="Y107" s="3">
        <f>ROUND(Y75,2)</f>
        <v>1330.18</v>
      </c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>
        <f t="shared" ref="AO107:BC107" si="104">ROUND(AO75,2)</f>
        <v>0</v>
      </c>
      <c r="AP107" s="3">
        <f t="shared" si="104"/>
        <v>0</v>
      </c>
      <c r="AQ107" s="3">
        <f t="shared" si="104"/>
        <v>0</v>
      </c>
      <c r="AR107" s="3">
        <f t="shared" si="104"/>
        <v>20231.32</v>
      </c>
      <c r="AS107" s="3">
        <f t="shared" si="104"/>
        <v>20231.32</v>
      </c>
      <c r="AT107" s="3">
        <f t="shared" si="104"/>
        <v>0</v>
      </c>
      <c r="AU107" s="3">
        <f t="shared" si="104"/>
        <v>0</v>
      </c>
      <c r="AV107" s="3">
        <f t="shared" si="104"/>
        <v>14319.29</v>
      </c>
      <c r="AW107" s="3">
        <f t="shared" si="104"/>
        <v>14319.29</v>
      </c>
      <c r="AX107" s="3">
        <f t="shared" si="104"/>
        <v>0</v>
      </c>
      <c r="AY107" s="3">
        <f t="shared" si="104"/>
        <v>14319.29</v>
      </c>
      <c r="AZ107" s="3">
        <f t="shared" si="104"/>
        <v>0</v>
      </c>
      <c r="BA107" s="3">
        <f t="shared" si="104"/>
        <v>0</v>
      </c>
      <c r="BB107" s="3">
        <f t="shared" si="104"/>
        <v>0</v>
      </c>
      <c r="BC107" s="3">
        <f t="shared" si="104"/>
        <v>0</v>
      </c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4">
        <f t="shared" ref="DG107:DL107" si="105">ROUND(DG75,2)</f>
        <v>101770.98</v>
      </c>
      <c r="DH107" s="4">
        <f t="shared" si="105"/>
        <v>87061.32</v>
      </c>
      <c r="DI107" s="4">
        <f t="shared" si="105"/>
        <v>387.09</v>
      </c>
      <c r="DJ107" s="4">
        <f t="shared" si="105"/>
        <v>129.13999999999999</v>
      </c>
      <c r="DK107" s="4">
        <f t="shared" si="105"/>
        <v>14322.57</v>
      </c>
      <c r="DL107" s="4">
        <f t="shared" si="105"/>
        <v>0</v>
      </c>
      <c r="DM107" s="4">
        <f>DM75</f>
        <v>275.22874949999999</v>
      </c>
      <c r="DN107" s="4">
        <f>DN75</f>
        <v>1.8564324999999999</v>
      </c>
      <c r="DO107" s="4">
        <f>ROUND(DO75,2)</f>
        <v>0</v>
      </c>
      <c r="DP107" s="4">
        <f>ROUND(DP75,2)</f>
        <v>13148.09</v>
      </c>
      <c r="DQ107" s="4">
        <f>ROUND(DQ75,2)</f>
        <v>8087.67</v>
      </c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>
        <f t="shared" ref="EG107:EU107" si="106">ROUND(EG75,2)</f>
        <v>0</v>
      </c>
      <c r="EH107" s="4">
        <f t="shared" si="106"/>
        <v>0</v>
      </c>
      <c r="EI107" s="4">
        <f t="shared" si="106"/>
        <v>0</v>
      </c>
      <c r="EJ107" s="4">
        <f t="shared" si="106"/>
        <v>123006.74</v>
      </c>
      <c r="EK107" s="4">
        <f t="shared" si="106"/>
        <v>123006.74</v>
      </c>
      <c r="EL107" s="4">
        <f t="shared" si="106"/>
        <v>0</v>
      </c>
      <c r="EM107" s="4">
        <f t="shared" si="106"/>
        <v>0</v>
      </c>
      <c r="EN107" s="4">
        <f t="shared" si="106"/>
        <v>87061.32</v>
      </c>
      <c r="EO107" s="4">
        <f t="shared" si="106"/>
        <v>87061.32</v>
      </c>
      <c r="EP107" s="4">
        <f t="shared" si="106"/>
        <v>0</v>
      </c>
      <c r="EQ107" s="4">
        <f t="shared" si="106"/>
        <v>87061.32</v>
      </c>
      <c r="ER107" s="4">
        <f t="shared" si="106"/>
        <v>0</v>
      </c>
      <c r="ES107" s="4">
        <f t="shared" si="106"/>
        <v>0</v>
      </c>
      <c r="ET107" s="4">
        <f t="shared" si="106"/>
        <v>0</v>
      </c>
      <c r="EU107" s="4">
        <f t="shared" si="106"/>
        <v>0</v>
      </c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>
        <v>0</v>
      </c>
    </row>
    <row r="109" spans="1:206" x14ac:dyDescent="0.2">
      <c r="A109" s="5">
        <v>50</v>
      </c>
      <c r="B109" s="5">
        <v>0</v>
      </c>
      <c r="C109" s="5">
        <v>0</v>
      </c>
      <c r="D109" s="5">
        <v>1</v>
      </c>
      <c r="E109" s="5">
        <v>201</v>
      </c>
      <c r="F109" s="5">
        <f>ROUND(Source!O107,O109)</f>
        <v>16738.64</v>
      </c>
      <c r="G109" s="5" t="s">
        <v>125</v>
      </c>
      <c r="H109" s="5" t="s">
        <v>126</v>
      </c>
      <c r="I109" s="5"/>
      <c r="J109" s="5"/>
      <c r="K109" s="5">
        <v>201</v>
      </c>
      <c r="L109" s="5">
        <v>1</v>
      </c>
      <c r="M109" s="5">
        <v>3</v>
      </c>
      <c r="N109" s="5" t="s">
        <v>4</v>
      </c>
      <c r="O109" s="5">
        <v>2</v>
      </c>
      <c r="P109" s="5">
        <f>ROUND(Source!DG107,O109)</f>
        <v>101770.98</v>
      </c>
      <c r="Q109" s="5"/>
      <c r="R109" s="5"/>
      <c r="S109" s="5"/>
      <c r="T109" s="5"/>
      <c r="U109" s="5"/>
      <c r="V109" s="5"/>
      <c r="W109" s="5"/>
    </row>
    <row r="110" spans="1:206" x14ac:dyDescent="0.2">
      <c r="A110" s="5">
        <v>50</v>
      </c>
      <c r="B110" s="5">
        <v>0</v>
      </c>
      <c r="C110" s="5">
        <v>0</v>
      </c>
      <c r="D110" s="5">
        <v>1</v>
      </c>
      <c r="E110" s="5">
        <v>202</v>
      </c>
      <c r="F110" s="5">
        <f>ROUND(Source!P107,O110)</f>
        <v>14319.29</v>
      </c>
      <c r="G110" s="5" t="s">
        <v>127</v>
      </c>
      <c r="H110" s="5" t="s">
        <v>128</v>
      </c>
      <c r="I110" s="5"/>
      <c r="J110" s="5"/>
      <c r="K110" s="5">
        <v>202</v>
      </c>
      <c r="L110" s="5">
        <v>2</v>
      </c>
      <c r="M110" s="5">
        <v>3</v>
      </c>
      <c r="N110" s="5" t="s">
        <v>4</v>
      </c>
      <c r="O110" s="5">
        <v>2</v>
      </c>
      <c r="P110" s="5">
        <f>ROUND(Source!DH107,O110)</f>
        <v>87061.32</v>
      </c>
      <c r="Q110" s="5"/>
      <c r="R110" s="5"/>
      <c r="S110" s="5"/>
      <c r="T110" s="5"/>
      <c r="U110" s="5"/>
      <c r="V110" s="5"/>
      <c r="W110" s="5"/>
    </row>
    <row r="111" spans="1:206" x14ac:dyDescent="0.2">
      <c r="A111" s="5">
        <v>50</v>
      </c>
      <c r="B111" s="5">
        <v>0</v>
      </c>
      <c r="C111" s="5">
        <v>0</v>
      </c>
      <c r="D111" s="5">
        <v>1</v>
      </c>
      <c r="E111" s="5">
        <v>222</v>
      </c>
      <c r="F111" s="5">
        <f>ROUND(Source!AO107,O111)</f>
        <v>0</v>
      </c>
      <c r="G111" s="5" t="s">
        <v>129</v>
      </c>
      <c r="H111" s="5" t="s">
        <v>130</v>
      </c>
      <c r="I111" s="5"/>
      <c r="J111" s="5"/>
      <c r="K111" s="5">
        <v>222</v>
      </c>
      <c r="L111" s="5">
        <v>3</v>
      </c>
      <c r="M111" s="5">
        <v>3</v>
      </c>
      <c r="N111" s="5" t="s">
        <v>4</v>
      </c>
      <c r="O111" s="5">
        <v>2</v>
      </c>
      <c r="P111" s="5">
        <f>ROUND(Source!EG107,O111)</f>
        <v>0</v>
      </c>
      <c r="Q111" s="5"/>
      <c r="R111" s="5"/>
      <c r="S111" s="5"/>
      <c r="T111" s="5"/>
      <c r="U111" s="5"/>
      <c r="V111" s="5"/>
      <c r="W111" s="5"/>
    </row>
    <row r="112" spans="1:206" x14ac:dyDescent="0.2">
      <c r="A112" s="5">
        <v>50</v>
      </c>
      <c r="B112" s="5">
        <v>0</v>
      </c>
      <c r="C112" s="5">
        <v>0</v>
      </c>
      <c r="D112" s="5">
        <v>1</v>
      </c>
      <c r="E112" s="5">
        <v>225</v>
      </c>
      <c r="F112" s="5">
        <f>ROUND(Source!AV107,O112)</f>
        <v>14319.29</v>
      </c>
      <c r="G112" s="5" t="s">
        <v>131</v>
      </c>
      <c r="H112" s="5" t="s">
        <v>132</v>
      </c>
      <c r="I112" s="5"/>
      <c r="J112" s="5"/>
      <c r="K112" s="5">
        <v>225</v>
      </c>
      <c r="L112" s="5">
        <v>4</v>
      </c>
      <c r="M112" s="5">
        <v>3</v>
      </c>
      <c r="N112" s="5" t="s">
        <v>4</v>
      </c>
      <c r="O112" s="5">
        <v>2</v>
      </c>
      <c r="P112" s="5">
        <f>ROUND(Source!EN107,O112)</f>
        <v>87061.32</v>
      </c>
      <c r="Q112" s="5"/>
      <c r="R112" s="5"/>
      <c r="S112" s="5"/>
      <c r="T112" s="5"/>
      <c r="U112" s="5"/>
      <c r="V112" s="5"/>
      <c r="W112" s="5"/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226</v>
      </c>
      <c r="F113" s="5">
        <f>ROUND(Source!AW107,O113)</f>
        <v>14319.29</v>
      </c>
      <c r="G113" s="5" t="s">
        <v>133</v>
      </c>
      <c r="H113" s="5" t="s">
        <v>134</v>
      </c>
      <c r="I113" s="5"/>
      <c r="J113" s="5"/>
      <c r="K113" s="5">
        <v>226</v>
      </c>
      <c r="L113" s="5">
        <v>5</v>
      </c>
      <c r="M113" s="5">
        <v>3</v>
      </c>
      <c r="N113" s="5" t="s">
        <v>4</v>
      </c>
      <c r="O113" s="5">
        <v>2</v>
      </c>
      <c r="P113" s="5">
        <f>ROUND(Source!EO107,O113)</f>
        <v>87061.32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227</v>
      </c>
      <c r="F114" s="5">
        <f>ROUND(Source!AX107,O114)</f>
        <v>0</v>
      </c>
      <c r="G114" s="5" t="s">
        <v>135</v>
      </c>
      <c r="H114" s="5" t="s">
        <v>136</v>
      </c>
      <c r="I114" s="5"/>
      <c r="J114" s="5"/>
      <c r="K114" s="5">
        <v>227</v>
      </c>
      <c r="L114" s="5">
        <v>6</v>
      </c>
      <c r="M114" s="5">
        <v>3</v>
      </c>
      <c r="N114" s="5" t="s">
        <v>4</v>
      </c>
      <c r="O114" s="5">
        <v>2</v>
      </c>
      <c r="P114" s="5">
        <f>ROUND(Source!EP107,O114)</f>
        <v>0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228</v>
      </c>
      <c r="F115" s="5">
        <f>ROUND(Source!AY107,O115)</f>
        <v>14319.29</v>
      </c>
      <c r="G115" s="5" t="s">
        <v>137</v>
      </c>
      <c r="H115" s="5" t="s">
        <v>138</v>
      </c>
      <c r="I115" s="5"/>
      <c r="J115" s="5"/>
      <c r="K115" s="5">
        <v>228</v>
      </c>
      <c r="L115" s="5">
        <v>7</v>
      </c>
      <c r="M115" s="5">
        <v>3</v>
      </c>
      <c r="N115" s="5" t="s">
        <v>4</v>
      </c>
      <c r="O115" s="5">
        <v>2</v>
      </c>
      <c r="P115" s="5">
        <f>ROUND(Source!EQ107,O115)</f>
        <v>87061.32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216</v>
      </c>
      <c r="F116" s="5">
        <f>ROUND(Source!AP107,O116)</f>
        <v>0</v>
      </c>
      <c r="G116" s="5" t="s">
        <v>139</v>
      </c>
      <c r="H116" s="5" t="s">
        <v>140</v>
      </c>
      <c r="I116" s="5"/>
      <c r="J116" s="5"/>
      <c r="K116" s="5">
        <v>216</v>
      </c>
      <c r="L116" s="5">
        <v>8</v>
      </c>
      <c r="M116" s="5">
        <v>3</v>
      </c>
      <c r="N116" s="5" t="s">
        <v>4</v>
      </c>
      <c r="O116" s="5">
        <v>2</v>
      </c>
      <c r="P116" s="5">
        <f>ROUND(Source!EH107,O116)</f>
        <v>0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0</v>
      </c>
      <c r="C117" s="5">
        <v>0</v>
      </c>
      <c r="D117" s="5">
        <v>1</v>
      </c>
      <c r="E117" s="5">
        <v>223</v>
      </c>
      <c r="F117" s="5">
        <f>ROUND(Source!AQ107,O117)</f>
        <v>0</v>
      </c>
      <c r="G117" s="5" t="s">
        <v>141</v>
      </c>
      <c r="H117" s="5" t="s">
        <v>142</v>
      </c>
      <c r="I117" s="5"/>
      <c r="J117" s="5"/>
      <c r="K117" s="5">
        <v>223</v>
      </c>
      <c r="L117" s="5">
        <v>9</v>
      </c>
      <c r="M117" s="5">
        <v>3</v>
      </c>
      <c r="N117" s="5" t="s">
        <v>4</v>
      </c>
      <c r="O117" s="5">
        <v>2</v>
      </c>
      <c r="P117" s="5">
        <f>ROUND(Source!EI107,O117)</f>
        <v>0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0</v>
      </c>
      <c r="C118" s="5">
        <v>0</v>
      </c>
      <c r="D118" s="5">
        <v>1</v>
      </c>
      <c r="E118" s="5">
        <v>229</v>
      </c>
      <c r="F118" s="5">
        <f>ROUND(Source!AZ107,O118)</f>
        <v>0</v>
      </c>
      <c r="G118" s="5" t="s">
        <v>143</v>
      </c>
      <c r="H118" s="5" t="s">
        <v>144</v>
      </c>
      <c r="I118" s="5"/>
      <c r="J118" s="5"/>
      <c r="K118" s="5">
        <v>229</v>
      </c>
      <c r="L118" s="5">
        <v>10</v>
      </c>
      <c r="M118" s="5">
        <v>3</v>
      </c>
      <c r="N118" s="5" t="s">
        <v>4</v>
      </c>
      <c r="O118" s="5">
        <v>2</v>
      </c>
      <c r="P118" s="5">
        <f>ROUND(Source!ER107,O118)</f>
        <v>0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0</v>
      </c>
      <c r="C119" s="5">
        <v>0</v>
      </c>
      <c r="D119" s="5">
        <v>1</v>
      </c>
      <c r="E119" s="5">
        <v>203</v>
      </c>
      <c r="F119" s="5">
        <f>ROUND(Source!Q107,O119)</f>
        <v>63.68</v>
      </c>
      <c r="G119" s="5" t="s">
        <v>145</v>
      </c>
      <c r="H119" s="5" t="s">
        <v>146</v>
      </c>
      <c r="I119" s="5"/>
      <c r="J119" s="5"/>
      <c r="K119" s="5">
        <v>203</v>
      </c>
      <c r="L119" s="5">
        <v>11</v>
      </c>
      <c r="M119" s="5">
        <v>3</v>
      </c>
      <c r="N119" s="5" t="s">
        <v>4</v>
      </c>
      <c r="O119" s="5">
        <v>2</v>
      </c>
      <c r="P119" s="5">
        <f>ROUND(Source!DI107,O119)</f>
        <v>387.09</v>
      </c>
      <c r="Q119" s="5"/>
      <c r="R119" s="5"/>
      <c r="S119" s="5"/>
      <c r="T119" s="5"/>
      <c r="U119" s="5"/>
      <c r="V119" s="5"/>
      <c r="W119" s="5"/>
    </row>
    <row r="120" spans="1:23" x14ac:dyDescent="0.2">
      <c r="A120" s="5">
        <v>50</v>
      </c>
      <c r="B120" s="5">
        <v>0</v>
      </c>
      <c r="C120" s="5">
        <v>0</v>
      </c>
      <c r="D120" s="5">
        <v>1</v>
      </c>
      <c r="E120" s="5">
        <v>231</v>
      </c>
      <c r="F120" s="5">
        <f>ROUND(Source!BB107,O120)</f>
        <v>0</v>
      </c>
      <c r="G120" s="5" t="s">
        <v>147</v>
      </c>
      <c r="H120" s="5" t="s">
        <v>148</v>
      </c>
      <c r="I120" s="5"/>
      <c r="J120" s="5"/>
      <c r="K120" s="5">
        <v>231</v>
      </c>
      <c r="L120" s="5">
        <v>12</v>
      </c>
      <c r="M120" s="5">
        <v>3</v>
      </c>
      <c r="N120" s="5" t="s">
        <v>4</v>
      </c>
      <c r="O120" s="5">
        <v>2</v>
      </c>
      <c r="P120" s="5">
        <f>ROUND(Source!ET107,O120)</f>
        <v>0</v>
      </c>
      <c r="Q120" s="5"/>
      <c r="R120" s="5"/>
      <c r="S120" s="5"/>
      <c r="T120" s="5"/>
      <c r="U120" s="5"/>
      <c r="V120" s="5"/>
      <c r="W120" s="5"/>
    </row>
    <row r="121" spans="1:23" x14ac:dyDescent="0.2">
      <c r="A121" s="5">
        <v>50</v>
      </c>
      <c r="B121" s="5">
        <v>0</v>
      </c>
      <c r="C121" s="5">
        <v>0</v>
      </c>
      <c r="D121" s="5">
        <v>1</v>
      </c>
      <c r="E121" s="5">
        <v>204</v>
      </c>
      <c r="F121" s="5">
        <f>ROUND(Source!R107,O121)</f>
        <v>21.23</v>
      </c>
      <c r="G121" s="5" t="s">
        <v>149</v>
      </c>
      <c r="H121" s="5" t="s">
        <v>150</v>
      </c>
      <c r="I121" s="5"/>
      <c r="J121" s="5"/>
      <c r="K121" s="5">
        <v>204</v>
      </c>
      <c r="L121" s="5">
        <v>13</v>
      </c>
      <c r="M121" s="5">
        <v>3</v>
      </c>
      <c r="N121" s="5" t="s">
        <v>4</v>
      </c>
      <c r="O121" s="5">
        <v>2</v>
      </c>
      <c r="P121" s="5">
        <f>ROUND(Source!DJ107,O121)</f>
        <v>129.13999999999999</v>
      </c>
      <c r="Q121" s="5"/>
      <c r="R121" s="5"/>
      <c r="S121" s="5"/>
      <c r="T121" s="5"/>
      <c r="U121" s="5"/>
      <c r="V121" s="5"/>
      <c r="W121" s="5"/>
    </row>
    <row r="122" spans="1:23" x14ac:dyDescent="0.2">
      <c r="A122" s="5">
        <v>50</v>
      </c>
      <c r="B122" s="5">
        <v>0</v>
      </c>
      <c r="C122" s="5">
        <v>0</v>
      </c>
      <c r="D122" s="5">
        <v>1</v>
      </c>
      <c r="E122" s="5">
        <v>205</v>
      </c>
      <c r="F122" s="5">
        <f>ROUND(Source!S107,O122)</f>
        <v>2355.67</v>
      </c>
      <c r="G122" s="5" t="s">
        <v>151</v>
      </c>
      <c r="H122" s="5" t="s">
        <v>152</v>
      </c>
      <c r="I122" s="5"/>
      <c r="J122" s="5"/>
      <c r="K122" s="5">
        <v>205</v>
      </c>
      <c r="L122" s="5">
        <v>14</v>
      </c>
      <c r="M122" s="5">
        <v>3</v>
      </c>
      <c r="N122" s="5" t="s">
        <v>4</v>
      </c>
      <c r="O122" s="5">
        <v>2</v>
      </c>
      <c r="P122" s="5">
        <f>ROUND(Source!DK107,O122)</f>
        <v>14322.57</v>
      </c>
      <c r="Q122" s="5"/>
      <c r="R122" s="5"/>
      <c r="S122" s="5"/>
      <c r="T122" s="5"/>
      <c r="U122" s="5"/>
      <c r="V122" s="5"/>
      <c r="W122" s="5"/>
    </row>
    <row r="123" spans="1:23" x14ac:dyDescent="0.2">
      <c r="A123" s="5">
        <v>50</v>
      </c>
      <c r="B123" s="5">
        <v>0</v>
      </c>
      <c r="C123" s="5">
        <v>0</v>
      </c>
      <c r="D123" s="5">
        <v>1</v>
      </c>
      <c r="E123" s="5">
        <v>232</v>
      </c>
      <c r="F123" s="5">
        <f>ROUND(Source!BC107,O123)</f>
        <v>0</v>
      </c>
      <c r="G123" s="5" t="s">
        <v>153</v>
      </c>
      <c r="H123" s="5" t="s">
        <v>154</v>
      </c>
      <c r="I123" s="5"/>
      <c r="J123" s="5"/>
      <c r="K123" s="5">
        <v>232</v>
      </c>
      <c r="L123" s="5">
        <v>15</v>
      </c>
      <c r="M123" s="5">
        <v>3</v>
      </c>
      <c r="N123" s="5" t="s">
        <v>4</v>
      </c>
      <c r="O123" s="5">
        <v>2</v>
      </c>
      <c r="P123" s="5">
        <f>ROUND(Source!EU107,O123)</f>
        <v>0</v>
      </c>
      <c r="Q123" s="5"/>
      <c r="R123" s="5"/>
      <c r="S123" s="5"/>
      <c r="T123" s="5"/>
      <c r="U123" s="5"/>
      <c r="V123" s="5"/>
      <c r="W123" s="5"/>
    </row>
    <row r="124" spans="1:23" x14ac:dyDescent="0.2">
      <c r="A124" s="5">
        <v>50</v>
      </c>
      <c r="B124" s="5">
        <v>0</v>
      </c>
      <c r="C124" s="5">
        <v>0</v>
      </c>
      <c r="D124" s="5">
        <v>1</v>
      </c>
      <c r="E124" s="5">
        <v>214</v>
      </c>
      <c r="F124" s="5">
        <f>ROUND(Source!AS107,O124)</f>
        <v>20231.32</v>
      </c>
      <c r="G124" s="5" t="s">
        <v>155</v>
      </c>
      <c r="H124" s="5" t="s">
        <v>156</v>
      </c>
      <c r="I124" s="5"/>
      <c r="J124" s="5"/>
      <c r="K124" s="5">
        <v>214</v>
      </c>
      <c r="L124" s="5">
        <v>16</v>
      </c>
      <c r="M124" s="5">
        <v>3</v>
      </c>
      <c r="N124" s="5" t="s">
        <v>4</v>
      </c>
      <c r="O124" s="5">
        <v>2</v>
      </c>
      <c r="P124" s="5">
        <f>ROUND(Source!EK107,O124)</f>
        <v>123006.74</v>
      </c>
      <c r="Q124" s="5"/>
      <c r="R124" s="5"/>
      <c r="S124" s="5"/>
      <c r="T124" s="5"/>
      <c r="U124" s="5"/>
      <c r="V124" s="5"/>
      <c r="W124" s="5"/>
    </row>
    <row r="125" spans="1:23" x14ac:dyDescent="0.2">
      <c r="A125" s="5">
        <v>50</v>
      </c>
      <c r="B125" s="5">
        <v>0</v>
      </c>
      <c r="C125" s="5">
        <v>0</v>
      </c>
      <c r="D125" s="5">
        <v>1</v>
      </c>
      <c r="E125" s="5">
        <v>215</v>
      </c>
      <c r="F125" s="5">
        <f>ROUND(Source!AT107,O125)</f>
        <v>0</v>
      </c>
      <c r="G125" s="5" t="s">
        <v>157</v>
      </c>
      <c r="H125" s="5" t="s">
        <v>158</v>
      </c>
      <c r="I125" s="5"/>
      <c r="J125" s="5"/>
      <c r="K125" s="5">
        <v>215</v>
      </c>
      <c r="L125" s="5">
        <v>17</v>
      </c>
      <c r="M125" s="5">
        <v>3</v>
      </c>
      <c r="N125" s="5" t="s">
        <v>4</v>
      </c>
      <c r="O125" s="5">
        <v>2</v>
      </c>
      <c r="P125" s="5">
        <f>ROUND(Source!EL107,O125)</f>
        <v>0</v>
      </c>
      <c r="Q125" s="5"/>
      <c r="R125" s="5"/>
      <c r="S125" s="5"/>
      <c r="T125" s="5"/>
      <c r="U125" s="5"/>
      <c r="V125" s="5"/>
      <c r="W125" s="5"/>
    </row>
    <row r="126" spans="1:23" x14ac:dyDescent="0.2">
      <c r="A126" s="5">
        <v>50</v>
      </c>
      <c r="B126" s="5">
        <v>0</v>
      </c>
      <c r="C126" s="5">
        <v>0</v>
      </c>
      <c r="D126" s="5">
        <v>1</v>
      </c>
      <c r="E126" s="5">
        <v>217</v>
      </c>
      <c r="F126" s="5">
        <f>ROUND(Source!AU107,O126)</f>
        <v>0</v>
      </c>
      <c r="G126" s="5" t="s">
        <v>159</v>
      </c>
      <c r="H126" s="5" t="s">
        <v>160</v>
      </c>
      <c r="I126" s="5"/>
      <c r="J126" s="5"/>
      <c r="K126" s="5">
        <v>217</v>
      </c>
      <c r="L126" s="5">
        <v>18</v>
      </c>
      <c r="M126" s="5">
        <v>3</v>
      </c>
      <c r="N126" s="5" t="s">
        <v>4</v>
      </c>
      <c r="O126" s="5">
        <v>2</v>
      </c>
      <c r="P126" s="5">
        <f>ROUND(Source!EM107,O126)</f>
        <v>0</v>
      </c>
      <c r="Q126" s="5"/>
      <c r="R126" s="5"/>
      <c r="S126" s="5"/>
      <c r="T126" s="5"/>
      <c r="U126" s="5"/>
      <c r="V126" s="5"/>
      <c r="W126" s="5"/>
    </row>
    <row r="127" spans="1:23" x14ac:dyDescent="0.2">
      <c r="A127" s="5">
        <v>50</v>
      </c>
      <c r="B127" s="5">
        <v>0</v>
      </c>
      <c r="C127" s="5">
        <v>0</v>
      </c>
      <c r="D127" s="5">
        <v>1</v>
      </c>
      <c r="E127" s="5">
        <v>230</v>
      </c>
      <c r="F127" s="5">
        <f>ROUND(Source!BA107,O127)</f>
        <v>0</v>
      </c>
      <c r="G127" s="5" t="s">
        <v>161</v>
      </c>
      <c r="H127" s="5" t="s">
        <v>162</v>
      </c>
      <c r="I127" s="5"/>
      <c r="J127" s="5"/>
      <c r="K127" s="5">
        <v>230</v>
      </c>
      <c r="L127" s="5">
        <v>19</v>
      </c>
      <c r="M127" s="5">
        <v>3</v>
      </c>
      <c r="N127" s="5" t="s">
        <v>4</v>
      </c>
      <c r="O127" s="5">
        <v>2</v>
      </c>
      <c r="P127" s="5">
        <f>ROUND(Source!ES107,O127)</f>
        <v>0</v>
      </c>
      <c r="Q127" s="5"/>
      <c r="R127" s="5"/>
      <c r="S127" s="5"/>
      <c r="T127" s="5"/>
      <c r="U127" s="5"/>
      <c r="V127" s="5"/>
      <c r="W127" s="5"/>
    </row>
    <row r="128" spans="1:23" x14ac:dyDescent="0.2">
      <c r="A128" s="5">
        <v>50</v>
      </c>
      <c r="B128" s="5">
        <v>0</v>
      </c>
      <c r="C128" s="5">
        <v>0</v>
      </c>
      <c r="D128" s="5">
        <v>1</v>
      </c>
      <c r="E128" s="5">
        <v>206</v>
      </c>
      <c r="F128" s="5">
        <f>ROUND(Source!T107,O128)</f>
        <v>0</v>
      </c>
      <c r="G128" s="5" t="s">
        <v>163</v>
      </c>
      <c r="H128" s="5" t="s">
        <v>164</v>
      </c>
      <c r="I128" s="5"/>
      <c r="J128" s="5"/>
      <c r="K128" s="5">
        <v>206</v>
      </c>
      <c r="L128" s="5">
        <v>20</v>
      </c>
      <c r="M128" s="5">
        <v>3</v>
      </c>
      <c r="N128" s="5" t="s">
        <v>4</v>
      </c>
      <c r="O128" s="5">
        <v>2</v>
      </c>
      <c r="P128" s="5">
        <f>ROUND(Source!DL107,O128)</f>
        <v>0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207</v>
      </c>
      <c r="F129" s="5">
        <f>Source!U107</f>
        <v>275.22874949999999</v>
      </c>
      <c r="G129" s="5" t="s">
        <v>165</v>
      </c>
      <c r="H129" s="5" t="s">
        <v>166</v>
      </c>
      <c r="I129" s="5"/>
      <c r="J129" s="5"/>
      <c r="K129" s="5">
        <v>207</v>
      </c>
      <c r="L129" s="5">
        <v>21</v>
      </c>
      <c r="M129" s="5">
        <v>3</v>
      </c>
      <c r="N129" s="5" t="s">
        <v>4</v>
      </c>
      <c r="O129" s="5">
        <v>-1</v>
      </c>
      <c r="P129" s="5">
        <f>Source!DM107</f>
        <v>275.22874949999999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208</v>
      </c>
      <c r="F130" s="5">
        <f>Source!V107</f>
        <v>1.8564324999999999</v>
      </c>
      <c r="G130" s="5" t="s">
        <v>167</v>
      </c>
      <c r="H130" s="5" t="s">
        <v>168</v>
      </c>
      <c r="I130" s="5"/>
      <c r="J130" s="5"/>
      <c r="K130" s="5">
        <v>208</v>
      </c>
      <c r="L130" s="5">
        <v>22</v>
      </c>
      <c r="M130" s="5">
        <v>3</v>
      </c>
      <c r="N130" s="5" t="s">
        <v>4</v>
      </c>
      <c r="O130" s="5">
        <v>-1</v>
      </c>
      <c r="P130" s="5">
        <f>Source!DN107</f>
        <v>1.8564324999999999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209</v>
      </c>
      <c r="F131" s="5">
        <f>ROUND(Source!W107,O131)</f>
        <v>0</v>
      </c>
      <c r="G131" s="5" t="s">
        <v>169</v>
      </c>
      <c r="H131" s="5" t="s">
        <v>170</v>
      </c>
      <c r="I131" s="5"/>
      <c r="J131" s="5"/>
      <c r="K131" s="5">
        <v>209</v>
      </c>
      <c r="L131" s="5">
        <v>23</v>
      </c>
      <c r="M131" s="5">
        <v>3</v>
      </c>
      <c r="N131" s="5" t="s">
        <v>4</v>
      </c>
      <c r="O131" s="5">
        <v>2</v>
      </c>
      <c r="P131" s="5">
        <f>ROUND(Source!DO107,O131)</f>
        <v>0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210</v>
      </c>
      <c r="F132" s="5">
        <f>ROUND(Source!X107,O132)</f>
        <v>2162.5</v>
      </c>
      <c r="G132" s="5" t="s">
        <v>171</v>
      </c>
      <c r="H132" s="5" t="s">
        <v>172</v>
      </c>
      <c r="I132" s="5"/>
      <c r="J132" s="5"/>
      <c r="K132" s="5">
        <v>210</v>
      </c>
      <c r="L132" s="5">
        <v>24</v>
      </c>
      <c r="M132" s="5">
        <v>3</v>
      </c>
      <c r="N132" s="5" t="s">
        <v>4</v>
      </c>
      <c r="O132" s="5">
        <v>2</v>
      </c>
      <c r="P132" s="5">
        <f>ROUND(Source!DP107,O132)</f>
        <v>13148.09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211</v>
      </c>
      <c r="F133" s="5">
        <f>ROUND(Source!Y107,O133)</f>
        <v>1330.18</v>
      </c>
      <c r="G133" s="5" t="s">
        <v>173</v>
      </c>
      <c r="H133" s="5" t="s">
        <v>174</v>
      </c>
      <c r="I133" s="5"/>
      <c r="J133" s="5"/>
      <c r="K133" s="5">
        <v>211</v>
      </c>
      <c r="L133" s="5">
        <v>25</v>
      </c>
      <c r="M133" s="5">
        <v>3</v>
      </c>
      <c r="N133" s="5" t="s">
        <v>4</v>
      </c>
      <c r="O133" s="5">
        <v>2</v>
      </c>
      <c r="P133" s="5">
        <f>ROUND(Source!DQ107,O133)</f>
        <v>8087.67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0</v>
      </c>
      <c r="F134" s="5">
        <f>ROUND(Source!AR107,O134)</f>
        <v>20231.32</v>
      </c>
      <c r="G134" s="5" t="s">
        <v>175</v>
      </c>
      <c r="H134" s="5" t="s">
        <v>176</v>
      </c>
      <c r="I134" s="5"/>
      <c r="J134" s="5"/>
      <c r="K134" s="5">
        <v>224</v>
      </c>
      <c r="L134" s="5">
        <v>26</v>
      </c>
      <c r="M134" s="5">
        <v>3</v>
      </c>
      <c r="N134" s="5" t="s">
        <v>4</v>
      </c>
      <c r="O134" s="5">
        <v>2</v>
      </c>
      <c r="P134" s="5">
        <f>ROUND(Source!EJ107,O134)</f>
        <v>123006.74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1</v>
      </c>
      <c r="C135" s="5">
        <v>0</v>
      </c>
      <c r="D135" s="5">
        <v>2</v>
      </c>
      <c r="E135" s="5">
        <v>0</v>
      </c>
      <c r="F135" s="5">
        <f>ROUND(F134,O135)</f>
        <v>20231.32</v>
      </c>
      <c r="G135" s="5" t="s">
        <v>177</v>
      </c>
      <c r="H135" s="5" t="s">
        <v>175</v>
      </c>
      <c r="I135" s="5"/>
      <c r="J135" s="5"/>
      <c r="K135" s="5">
        <v>212</v>
      </c>
      <c r="L135" s="5">
        <v>27</v>
      </c>
      <c r="M135" s="5">
        <v>0</v>
      </c>
      <c r="N135" s="5" t="s">
        <v>4</v>
      </c>
      <c r="O135" s="5">
        <v>2</v>
      </c>
      <c r="P135" s="5">
        <f>ROUND(P134,O135)</f>
        <v>123006.74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1</v>
      </c>
      <c r="C136" s="5">
        <v>0</v>
      </c>
      <c r="D136" s="5">
        <v>2</v>
      </c>
      <c r="E136" s="5">
        <v>0</v>
      </c>
      <c r="F136" s="5">
        <f>ROUND(F135*0.18,O136)</f>
        <v>3641.64</v>
      </c>
      <c r="G136" s="5" t="s">
        <v>178</v>
      </c>
      <c r="H136" s="5" t="s">
        <v>179</v>
      </c>
      <c r="I136" s="5"/>
      <c r="J136" s="5"/>
      <c r="K136" s="5">
        <v>212</v>
      </c>
      <c r="L136" s="5">
        <v>28</v>
      </c>
      <c r="M136" s="5">
        <v>0</v>
      </c>
      <c r="N136" s="5" t="s">
        <v>4</v>
      </c>
      <c r="O136" s="5">
        <v>2</v>
      </c>
      <c r="P136" s="5">
        <f>ROUND(P135*0.18,O136)</f>
        <v>22141.21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1</v>
      </c>
      <c r="C137" s="5">
        <v>0</v>
      </c>
      <c r="D137" s="5">
        <v>2</v>
      </c>
      <c r="E137" s="5">
        <v>224</v>
      </c>
      <c r="F137" s="5">
        <f>ROUND(F135+F136,O137)</f>
        <v>23872.959999999999</v>
      </c>
      <c r="G137" s="5" t="s">
        <v>180</v>
      </c>
      <c r="H137" s="5" t="s">
        <v>181</v>
      </c>
      <c r="I137" s="5"/>
      <c r="J137" s="5"/>
      <c r="K137" s="5">
        <v>212</v>
      </c>
      <c r="L137" s="5">
        <v>29</v>
      </c>
      <c r="M137" s="5">
        <v>0</v>
      </c>
      <c r="N137" s="5" t="s">
        <v>4</v>
      </c>
      <c r="O137" s="5">
        <v>2</v>
      </c>
      <c r="P137" s="5">
        <f>ROUND(P135+P136,O137)</f>
        <v>145147.95000000001</v>
      </c>
      <c r="Q137" s="5"/>
      <c r="R137" s="5"/>
      <c r="S137" s="5"/>
      <c r="T137" s="5"/>
      <c r="U137" s="5"/>
      <c r="V137" s="5"/>
      <c r="W137" s="5"/>
    </row>
    <row r="140" spans="1:23" x14ac:dyDescent="0.2">
      <c r="A140">
        <v>70</v>
      </c>
      <c r="B140">
        <v>1</v>
      </c>
      <c r="D140">
        <v>1</v>
      </c>
      <c r="E140" t="s">
        <v>182</v>
      </c>
      <c r="F140" t="s">
        <v>183</v>
      </c>
      <c r="G140">
        <v>0</v>
      </c>
      <c r="H140">
        <v>0</v>
      </c>
      <c r="I140" t="s">
        <v>4</v>
      </c>
      <c r="J140">
        <v>1</v>
      </c>
      <c r="K140">
        <v>0</v>
      </c>
      <c r="L140" t="s">
        <v>4</v>
      </c>
      <c r="M140" t="s">
        <v>4</v>
      </c>
      <c r="N140">
        <v>0</v>
      </c>
      <c r="O140">
        <v>0</v>
      </c>
    </row>
    <row r="141" spans="1:23" x14ac:dyDescent="0.2">
      <c r="A141">
        <v>70</v>
      </c>
      <c r="B141">
        <v>1</v>
      </c>
      <c r="D141">
        <v>2</v>
      </c>
      <c r="E141" t="s">
        <v>184</v>
      </c>
      <c r="F141" t="s">
        <v>185</v>
      </c>
      <c r="G141">
        <v>1</v>
      </c>
      <c r="H141">
        <v>0</v>
      </c>
      <c r="I141" t="s">
        <v>4</v>
      </c>
      <c r="J141">
        <v>1</v>
      </c>
      <c r="K141">
        <v>0</v>
      </c>
      <c r="L141" t="s">
        <v>4</v>
      </c>
      <c r="M141" t="s">
        <v>4</v>
      </c>
      <c r="N141">
        <v>0</v>
      </c>
      <c r="O141">
        <v>1</v>
      </c>
    </row>
    <row r="142" spans="1:23" x14ac:dyDescent="0.2">
      <c r="A142">
        <v>70</v>
      </c>
      <c r="B142">
        <v>1</v>
      </c>
      <c r="D142">
        <v>3</v>
      </c>
      <c r="E142" t="s">
        <v>186</v>
      </c>
      <c r="F142" t="s">
        <v>187</v>
      </c>
      <c r="G142">
        <v>0</v>
      </c>
      <c r="H142">
        <v>0</v>
      </c>
      <c r="I142" t="s">
        <v>4</v>
      </c>
      <c r="J142">
        <v>1</v>
      </c>
      <c r="K142">
        <v>0</v>
      </c>
      <c r="L142" t="s">
        <v>4</v>
      </c>
      <c r="M142" t="s">
        <v>4</v>
      </c>
      <c r="N142">
        <v>0</v>
      </c>
      <c r="O142">
        <v>0</v>
      </c>
    </row>
    <row r="143" spans="1:23" x14ac:dyDescent="0.2">
      <c r="A143">
        <v>70</v>
      </c>
      <c r="B143">
        <v>1</v>
      </c>
      <c r="D143">
        <v>4</v>
      </c>
      <c r="E143" t="s">
        <v>188</v>
      </c>
      <c r="F143" t="s">
        <v>189</v>
      </c>
      <c r="G143">
        <v>0</v>
      </c>
      <c r="H143">
        <v>0</v>
      </c>
      <c r="I143" t="s">
        <v>190</v>
      </c>
      <c r="J143">
        <v>0</v>
      </c>
      <c r="K143">
        <v>0</v>
      </c>
      <c r="L143" t="s">
        <v>4</v>
      </c>
      <c r="M143" t="s">
        <v>4</v>
      </c>
      <c r="N143">
        <v>0</v>
      </c>
      <c r="O143">
        <v>0</v>
      </c>
    </row>
    <row r="144" spans="1:23" x14ac:dyDescent="0.2">
      <c r="A144">
        <v>70</v>
      </c>
      <c r="B144">
        <v>1</v>
      </c>
      <c r="D144">
        <v>5</v>
      </c>
      <c r="E144" t="s">
        <v>191</v>
      </c>
      <c r="F144" t="s">
        <v>192</v>
      </c>
      <c r="G144">
        <v>0</v>
      </c>
      <c r="H144">
        <v>0</v>
      </c>
      <c r="I144" t="s">
        <v>193</v>
      </c>
      <c r="J144">
        <v>0</v>
      </c>
      <c r="K144">
        <v>0</v>
      </c>
      <c r="L144" t="s">
        <v>4</v>
      </c>
      <c r="M144" t="s">
        <v>4</v>
      </c>
      <c r="N144">
        <v>0</v>
      </c>
      <c r="O144">
        <v>0</v>
      </c>
    </row>
    <row r="145" spans="1:15" x14ac:dyDescent="0.2">
      <c r="A145">
        <v>70</v>
      </c>
      <c r="B145">
        <v>1</v>
      </c>
      <c r="D145">
        <v>6</v>
      </c>
      <c r="E145" t="s">
        <v>194</v>
      </c>
      <c r="F145" t="s">
        <v>195</v>
      </c>
      <c r="G145">
        <v>0</v>
      </c>
      <c r="H145">
        <v>0</v>
      </c>
      <c r="I145" t="s">
        <v>196</v>
      </c>
      <c r="J145">
        <v>0</v>
      </c>
      <c r="K145">
        <v>0</v>
      </c>
      <c r="L145" t="s">
        <v>4</v>
      </c>
      <c r="M145" t="s">
        <v>4</v>
      </c>
      <c r="N145">
        <v>0</v>
      </c>
      <c r="O145">
        <v>0</v>
      </c>
    </row>
    <row r="146" spans="1:15" x14ac:dyDescent="0.2">
      <c r="A146">
        <v>70</v>
      </c>
      <c r="B146">
        <v>1</v>
      </c>
      <c r="D146">
        <v>7</v>
      </c>
      <c r="E146" t="s">
        <v>197</v>
      </c>
      <c r="F146" t="s">
        <v>198</v>
      </c>
      <c r="G146">
        <v>0</v>
      </c>
      <c r="H146">
        <v>0</v>
      </c>
      <c r="I146" t="s">
        <v>4</v>
      </c>
      <c r="J146">
        <v>0</v>
      </c>
      <c r="K146">
        <v>0</v>
      </c>
      <c r="L146" t="s">
        <v>4</v>
      </c>
      <c r="M146" t="s">
        <v>4</v>
      </c>
      <c r="N146">
        <v>0</v>
      </c>
      <c r="O146">
        <v>0</v>
      </c>
    </row>
    <row r="147" spans="1:15" x14ac:dyDescent="0.2">
      <c r="A147">
        <v>70</v>
      </c>
      <c r="B147">
        <v>1</v>
      </c>
      <c r="D147">
        <v>8</v>
      </c>
      <c r="E147" t="s">
        <v>199</v>
      </c>
      <c r="F147" t="s">
        <v>200</v>
      </c>
      <c r="G147">
        <v>0</v>
      </c>
      <c r="H147">
        <v>0</v>
      </c>
      <c r="I147" t="s">
        <v>201</v>
      </c>
      <c r="J147">
        <v>0</v>
      </c>
      <c r="K147">
        <v>0</v>
      </c>
      <c r="L147" t="s">
        <v>4</v>
      </c>
      <c r="M147" t="s">
        <v>4</v>
      </c>
      <c r="N147">
        <v>0</v>
      </c>
      <c r="O147">
        <v>0</v>
      </c>
    </row>
    <row r="148" spans="1:15" x14ac:dyDescent="0.2">
      <c r="A148">
        <v>70</v>
      </c>
      <c r="B148">
        <v>1</v>
      </c>
      <c r="D148">
        <v>9</v>
      </c>
      <c r="E148" t="s">
        <v>202</v>
      </c>
      <c r="F148" t="s">
        <v>203</v>
      </c>
      <c r="G148">
        <v>0</v>
      </c>
      <c r="H148">
        <v>0</v>
      </c>
      <c r="I148" t="s">
        <v>204</v>
      </c>
      <c r="J148">
        <v>0</v>
      </c>
      <c r="K148">
        <v>0</v>
      </c>
      <c r="L148" t="s">
        <v>4</v>
      </c>
      <c r="M148" t="s">
        <v>4</v>
      </c>
      <c r="N148">
        <v>0</v>
      </c>
      <c r="O148">
        <v>0</v>
      </c>
    </row>
    <row r="149" spans="1:15" x14ac:dyDescent="0.2">
      <c r="A149">
        <v>70</v>
      </c>
      <c r="B149">
        <v>1</v>
      </c>
      <c r="D149">
        <v>10</v>
      </c>
      <c r="E149" t="s">
        <v>205</v>
      </c>
      <c r="F149" t="s">
        <v>206</v>
      </c>
      <c r="G149">
        <v>0</v>
      </c>
      <c r="H149">
        <v>0</v>
      </c>
      <c r="I149" t="s">
        <v>207</v>
      </c>
      <c r="J149">
        <v>0</v>
      </c>
      <c r="K149">
        <v>0</v>
      </c>
      <c r="L149" t="s">
        <v>4</v>
      </c>
      <c r="M149" t="s">
        <v>4</v>
      </c>
      <c r="N149">
        <v>0</v>
      </c>
      <c r="O149">
        <v>0</v>
      </c>
    </row>
    <row r="150" spans="1:15" x14ac:dyDescent="0.2">
      <c r="A150">
        <v>70</v>
      </c>
      <c r="B150">
        <v>1</v>
      </c>
      <c r="D150">
        <v>11</v>
      </c>
      <c r="E150" t="s">
        <v>208</v>
      </c>
      <c r="F150" t="s">
        <v>209</v>
      </c>
      <c r="G150">
        <v>0</v>
      </c>
      <c r="H150">
        <v>0</v>
      </c>
      <c r="I150" t="s">
        <v>210</v>
      </c>
      <c r="J150">
        <v>0</v>
      </c>
      <c r="K150">
        <v>0</v>
      </c>
      <c r="L150" t="s">
        <v>4</v>
      </c>
      <c r="M150" t="s">
        <v>4</v>
      </c>
      <c r="N150">
        <v>0</v>
      </c>
      <c r="O150">
        <v>0</v>
      </c>
    </row>
    <row r="151" spans="1:15" x14ac:dyDescent="0.2">
      <c r="A151">
        <v>70</v>
      </c>
      <c r="B151">
        <v>1</v>
      </c>
      <c r="D151">
        <v>12</v>
      </c>
      <c r="E151" t="s">
        <v>211</v>
      </c>
      <c r="F151" t="s">
        <v>212</v>
      </c>
      <c r="G151">
        <v>0</v>
      </c>
      <c r="H151">
        <v>0</v>
      </c>
      <c r="I151" t="s">
        <v>4</v>
      </c>
      <c r="J151">
        <v>0</v>
      </c>
      <c r="K151">
        <v>0</v>
      </c>
      <c r="L151" t="s">
        <v>4</v>
      </c>
      <c r="M151" t="s">
        <v>4</v>
      </c>
      <c r="N151">
        <v>0</v>
      </c>
      <c r="O151">
        <v>0</v>
      </c>
    </row>
    <row r="152" spans="1:15" x14ac:dyDescent="0.2">
      <c r="A152">
        <v>70</v>
      </c>
      <c r="B152">
        <v>1</v>
      </c>
      <c r="D152">
        <v>1</v>
      </c>
      <c r="E152" t="s">
        <v>213</v>
      </c>
      <c r="F152" t="s">
        <v>214</v>
      </c>
      <c r="G152">
        <v>0.9</v>
      </c>
      <c r="H152">
        <v>1</v>
      </c>
      <c r="I152" t="s">
        <v>215</v>
      </c>
      <c r="J152">
        <v>0</v>
      </c>
      <c r="K152">
        <v>0</v>
      </c>
      <c r="L152" t="s">
        <v>4</v>
      </c>
      <c r="M152" t="s">
        <v>4</v>
      </c>
      <c r="N152">
        <v>0</v>
      </c>
      <c r="O152">
        <v>0.9</v>
      </c>
    </row>
    <row r="153" spans="1:15" x14ac:dyDescent="0.2">
      <c r="A153">
        <v>70</v>
      </c>
      <c r="B153">
        <v>1</v>
      </c>
      <c r="D153">
        <v>2</v>
      </c>
      <c r="E153" t="s">
        <v>216</v>
      </c>
      <c r="F153" t="s">
        <v>217</v>
      </c>
      <c r="G153">
        <v>0.85</v>
      </c>
      <c r="H153">
        <v>1</v>
      </c>
      <c r="I153" t="s">
        <v>218</v>
      </c>
      <c r="J153">
        <v>0</v>
      </c>
      <c r="K153">
        <v>0</v>
      </c>
      <c r="L153" t="s">
        <v>4</v>
      </c>
      <c r="M153" t="s">
        <v>4</v>
      </c>
      <c r="N153">
        <v>0</v>
      </c>
      <c r="O153">
        <v>0.85</v>
      </c>
    </row>
    <row r="154" spans="1:15" x14ac:dyDescent="0.2">
      <c r="A154">
        <v>70</v>
      </c>
      <c r="B154">
        <v>1</v>
      </c>
      <c r="D154">
        <v>3</v>
      </c>
      <c r="E154" t="s">
        <v>219</v>
      </c>
      <c r="F154" t="s">
        <v>220</v>
      </c>
      <c r="G154">
        <v>1</v>
      </c>
      <c r="H154">
        <v>0.85</v>
      </c>
      <c r="I154" t="s">
        <v>221</v>
      </c>
      <c r="J154">
        <v>0</v>
      </c>
      <c r="K154">
        <v>0</v>
      </c>
      <c r="L154" t="s">
        <v>4</v>
      </c>
      <c r="M154" t="s">
        <v>4</v>
      </c>
      <c r="N154">
        <v>0</v>
      </c>
      <c r="O154">
        <v>1</v>
      </c>
    </row>
    <row r="155" spans="1:15" x14ac:dyDescent="0.2">
      <c r="A155">
        <v>70</v>
      </c>
      <c r="B155">
        <v>1</v>
      </c>
      <c r="D155">
        <v>4</v>
      </c>
      <c r="E155" t="s">
        <v>222</v>
      </c>
      <c r="F155" t="s">
        <v>223</v>
      </c>
      <c r="G155">
        <v>1</v>
      </c>
      <c r="H155">
        <v>0</v>
      </c>
      <c r="I155" t="s">
        <v>4</v>
      </c>
      <c r="J155">
        <v>0</v>
      </c>
      <c r="K155">
        <v>0</v>
      </c>
      <c r="L155" t="s">
        <v>4</v>
      </c>
      <c r="M155" t="s">
        <v>4</v>
      </c>
      <c r="N155">
        <v>0</v>
      </c>
      <c r="O155">
        <v>1</v>
      </c>
    </row>
    <row r="156" spans="1:15" x14ac:dyDescent="0.2">
      <c r="A156">
        <v>70</v>
      </c>
      <c r="B156">
        <v>1</v>
      </c>
      <c r="D156">
        <v>5</v>
      </c>
      <c r="E156" t="s">
        <v>224</v>
      </c>
      <c r="F156" t="s">
        <v>225</v>
      </c>
      <c r="G156">
        <v>1</v>
      </c>
      <c r="H156">
        <v>0.8</v>
      </c>
      <c r="I156" t="s">
        <v>226</v>
      </c>
      <c r="J156">
        <v>0</v>
      </c>
      <c r="K156">
        <v>0</v>
      </c>
      <c r="L156" t="s">
        <v>4</v>
      </c>
      <c r="M156" t="s">
        <v>4</v>
      </c>
      <c r="N156">
        <v>0</v>
      </c>
      <c r="O156">
        <v>1</v>
      </c>
    </row>
    <row r="157" spans="1:15" x14ac:dyDescent="0.2">
      <c r="A157">
        <v>70</v>
      </c>
      <c r="B157">
        <v>1</v>
      </c>
      <c r="D157">
        <v>6</v>
      </c>
      <c r="E157" t="s">
        <v>227</v>
      </c>
      <c r="F157" t="s">
        <v>228</v>
      </c>
      <c r="G157">
        <v>1</v>
      </c>
      <c r="H157">
        <v>0</v>
      </c>
      <c r="I157" t="s">
        <v>4</v>
      </c>
      <c r="J157">
        <v>0</v>
      </c>
      <c r="K157">
        <v>0</v>
      </c>
      <c r="L157" t="s">
        <v>4</v>
      </c>
      <c r="M157" t="s">
        <v>4</v>
      </c>
      <c r="N157">
        <v>0</v>
      </c>
      <c r="O157">
        <v>0.85</v>
      </c>
    </row>
    <row r="158" spans="1:15" x14ac:dyDescent="0.2">
      <c r="A158">
        <v>70</v>
      </c>
      <c r="B158">
        <v>1</v>
      </c>
      <c r="D158">
        <v>7</v>
      </c>
      <c r="E158" t="s">
        <v>229</v>
      </c>
      <c r="F158" t="s">
        <v>230</v>
      </c>
      <c r="G158">
        <v>1</v>
      </c>
      <c r="H158">
        <v>0</v>
      </c>
      <c r="I158" t="s">
        <v>4</v>
      </c>
      <c r="J158">
        <v>0</v>
      </c>
      <c r="K158">
        <v>0</v>
      </c>
      <c r="L158" t="s">
        <v>4</v>
      </c>
      <c r="M158" t="s">
        <v>4</v>
      </c>
      <c r="N158">
        <v>0</v>
      </c>
      <c r="O158">
        <v>0.8</v>
      </c>
    </row>
    <row r="159" spans="1:15" x14ac:dyDescent="0.2">
      <c r="A159">
        <v>70</v>
      </c>
      <c r="B159">
        <v>1</v>
      </c>
      <c r="D159">
        <v>8</v>
      </c>
      <c r="E159" t="s">
        <v>231</v>
      </c>
      <c r="F159" t="s">
        <v>232</v>
      </c>
      <c r="G159">
        <v>0.7</v>
      </c>
      <c r="H159">
        <v>0</v>
      </c>
      <c r="I159" t="s">
        <v>4</v>
      </c>
      <c r="J159">
        <v>0</v>
      </c>
      <c r="K159">
        <v>0</v>
      </c>
      <c r="L159" t="s">
        <v>4</v>
      </c>
      <c r="M159" t="s">
        <v>4</v>
      </c>
      <c r="N159">
        <v>0</v>
      </c>
      <c r="O159">
        <v>0.94</v>
      </c>
    </row>
    <row r="160" spans="1:15" x14ac:dyDescent="0.2">
      <c r="A160">
        <v>70</v>
      </c>
      <c r="B160">
        <v>1</v>
      </c>
      <c r="D160">
        <v>9</v>
      </c>
      <c r="E160" t="s">
        <v>233</v>
      </c>
      <c r="F160" t="s">
        <v>234</v>
      </c>
      <c r="G160">
        <v>0.9</v>
      </c>
      <c r="H160">
        <v>0</v>
      </c>
      <c r="I160" t="s">
        <v>4</v>
      </c>
      <c r="J160">
        <v>0</v>
      </c>
      <c r="K160">
        <v>0</v>
      </c>
      <c r="L160" t="s">
        <v>4</v>
      </c>
      <c r="M160" t="s">
        <v>4</v>
      </c>
      <c r="N160">
        <v>0</v>
      </c>
      <c r="O160">
        <v>0.9</v>
      </c>
    </row>
    <row r="161" spans="1:34" x14ac:dyDescent="0.2">
      <c r="A161">
        <v>70</v>
      </c>
      <c r="B161">
        <v>1</v>
      </c>
      <c r="D161">
        <v>10</v>
      </c>
      <c r="E161" t="s">
        <v>235</v>
      </c>
      <c r="F161" t="s">
        <v>236</v>
      </c>
      <c r="G161">
        <v>0.6</v>
      </c>
      <c r="H161">
        <v>0</v>
      </c>
      <c r="I161" t="s">
        <v>4</v>
      </c>
      <c r="J161">
        <v>0</v>
      </c>
      <c r="K161">
        <v>0</v>
      </c>
      <c r="L161" t="s">
        <v>4</v>
      </c>
      <c r="M161" t="s">
        <v>4</v>
      </c>
      <c r="N161">
        <v>0</v>
      </c>
      <c r="O161">
        <v>0.6</v>
      </c>
    </row>
    <row r="162" spans="1:34" x14ac:dyDescent="0.2">
      <c r="A162">
        <v>70</v>
      </c>
      <c r="B162">
        <v>1</v>
      </c>
      <c r="D162">
        <v>11</v>
      </c>
      <c r="E162" t="s">
        <v>237</v>
      </c>
      <c r="F162" t="s">
        <v>238</v>
      </c>
      <c r="G162">
        <v>1.2</v>
      </c>
      <c r="H162">
        <v>0</v>
      </c>
      <c r="I162" t="s">
        <v>4</v>
      </c>
      <c r="J162">
        <v>0</v>
      </c>
      <c r="K162">
        <v>0</v>
      </c>
      <c r="L162" t="s">
        <v>4</v>
      </c>
      <c r="M162" t="s">
        <v>4</v>
      </c>
      <c r="N162">
        <v>0</v>
      </c>
      <c r="O162">
        <v>1.2</v>
      </c>
    </row>
    <row r="163" spans="1:34" x14ac:dyDescent="0.2">
      <c r="A163">
        <v>70</v>
      </c>
      <c r="B163">
        <v>1</v>
      </c>
      <c r="D163">
        <v>12</v>
      </c>
      <c r="E163" t="s">
        <v>239</v>
      </c>
      <c r="F163" t="s">
        <v>240</v>
      </c>
      <c r="G163">
        <v>0</v>
      </c>
      <c r="H163">
        <v>0</v>
      </c>
      <c r="I163" t="s">
        <v>4</v>
      </c>
      <c r="J163">
        <v>0</v>
      </c>
      <c r="K163">
        <v>0</v>
      </c>
      <c r="L163" t="s">
        <v>4</v>
      </c>
      <c r="M163" t="s">
        <v>4</v>
      </c>
      <c r="N163">
        <v>0</v>
      </c>
      <c r="O163">
        <v>0</v>
      </c>
    </row>
    <row r="164" spans="1:34" x14ac:dyDescent="0.2">
      <c r="A164">
        <v>70</v>
      </c>
      <c r="B164">
        <v>1</v>
      </c>
      <c r="D164">
        <v>13</v>
      </c>
      <c r="E164" t="s">
        <v>241</v>
      </c>
      <c r="F164" t="s">
        <v>242</v>
      </c>
      <c r="G164">
        <v>1</v>
      </c>
      <c r="H164">
        <v>0</v>
      </c>
      <c r="I164" t="s">
        <v>4</v>
      </c>
      <c r="J164">
        <v>0</v>
      </c>
      <c r="K164">
        <v>0</v>
      </c>
      <c r="L164" t="s">
        <v>4</v>
      </c>
      <c r="M164" t="s">
        <v>4</v>
      </c>
      <c r="N164">
        <v>0</v>
      </c>
      <c r="O164">
        <v>0.94</v>
      </c>
    </row>
    <row r="166" spans="1:34" x14ac:dyDescent="0.2">
      <c r="A166">
        <v>-1</v>
      </c>
    </row>
    <row r="168" spans="1:34" x14ac:dyDescent="0.2">
      <c r="A168" s="4">
        <v>75</v>
      </c>
      <c r="B168" s="4" t="s">
        <v>243</v>
      </c>
      <c r="C168" s="4">
        <v>2000</v>
      </c>
      <c r="D168" s="4">
        <v>0</v>
      </c>
      <c r="E168" s="4">
        <v>1</v>
      </c>
      <c r="F168" s="4">
        <v>0</v>
      </c>
      <c r="G168" s="4">
        <v>0</v>
      </c>
      <c r="H168" s="4">
        <v>1</v>
      </c>
      <c r="I168" s="4">
        <v>0</v>
      </c>
      <c r="J168" s="4">
        <v>1</v>
      </c>
      <c r="K168" s="4">
        <v>0</v>
      </c>
      <c r="L168" s="4">
        <v>0</v>
      </c>
      <c r="M168" s="4">
        <v>0</v>
      </c>
      <c r="N168" s="4">
        <v>16500983</v>
      </c>
      <c r="O168" s="4">
        <v>1</v>
      </c>
    </row>
    <row r="169" spans="1:34" x14ac:dyDescent="0.2">
      <c r="A169" s="4">
        <v>75</v>
      </c>
      <c r="B169" s="4" t="s">
        <v>244</v>
      </c>
      <c r="C169" s="4">
        <v>2017</v>
      </c>
      <c r="D169" s="4">
        <v>0</v>
      </c>
      <c r="E169" s="4">
        <v>1</v>
      </c>
      <c r="F169" s="4"/>
      <c r="G169" s="4">
        <v>0</v>
      </c>
      <c r="H169" s="4">
        <v>1</v>
      </c>
      <c r="I169" s="4">
        <v>0</v>
      </c>
      <c r="J169" s="4">
        <v>1</v>
      </c>
      <c r="K169" s="4">
        <v>0</v>
      </c>
      <c r="L169" s="4">
        <v>0</v>
      </c>
      <c r="M169" s="4">
        <v>1</v>
      </c>
      <c r="N169" s="4">
        <v>16500997</v>
      </c>
      <c r="O169" s="4">
        <v>2</v>
      </c>
    </row>
    <row r="170" spans="1:34" x14ac:dyDescent="0.2">
      <c r="A170" s="6">
        <v>3</v>
      </c>
      <c r="B170" s="6" t="s">
        <v>245</v>
      </c>
      <c r="C170" s="6">
        <v>6.08</v>
      </c>
      <c r="D170" s="6">
        <v>1</v>
      </c>
      <c r="E170" s="6">
        <v>1</v>
      </c>
      <c r="F170" s="6">
        <v>1</v>
      </c>
      <c r="G170" s="6">
        <v>1</v>
      </c>
      <c r="H170" s="6">
        <v>1</v>
      </c>
      <c r="I170" s="6">
        <v>1</v>
      </c>
      <c r="J170" s="6">
        <v>1</v>
      </c>
      <c r="K170" s="6">
        <v>1</v>
      </c>
      <c r="L170" s="6">
        <v>1</v>
      </c>
      <c r="M170" s="6">
        <v>6.08</v>
      </c>
      <c r="N170" s="6">
        <v>1</v>
      </c>
      <c r="O170" s="6">
        <v>1</v>
      </c>
      <c r="P170" s="6">
        <v>1</v>
      </c>
      <c r="Q170" s="6">
        <v>1</v>
      </c>
      <c r="R170" s="6">
        <v>1</v>
      </c>
      <c r="S170" s="6" t="s">
        <v>4</v>
      </c>
      <c r="T170" s="6" t="s">
        <v>4</v>
      </c>
      <c r="U170" s="6" t="s">
        <v>4</v>
      </c>
      <c r="V170" s="6" t="s">
        <v>4</v>
      </c>
      <c r="W170" s="6" t="s">
        <v>4</v>
      </c>
      <c r="X170" s="6" t="s">
        <v>4</v>
      </c>
      <c r="Y170" s="6" t="s">
        <v>4</v>
      </c>
      <c r="Z170" s="6" t="s">
        <v>4</v>
      </c>
      <c r="AA170" s="6" t="s">
        <v>4</v>
      </c>
      <c r="AB170" s="6" t="s">
        <v>4</v>
      </c>
      <c r="AC170" s="6" t="s">
        <v>4</v>
      </c>
      <c r="AD170" s="6" t="s">
        <v>4</v>
      </c>
      <c r="AE170" s="6" t="s">
        <v>4</v>
      </c>
      <c r="AF170" s="6" t="s">
        <v>4</v>
      </c>
      <c r="AG170" s="6" t="s">
        <v>4</v>
      </c>
      <c r="AH170" s="6" t="s">
        <v>4</v>
      </c>
    </row>
    <row r="174" spans="1:34" x14ac:dyDescent="0.2">
      <c r="A174">
        <v>65</v>
      </c>
      <c r="C174">
        <v>1</v>
      </c>
      <c r="D174">
        <v>0</v>
      </c>
      <c r="E17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246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4</v>
      </c>
      <c r="I12" s="1">
        <v>0</v>
      </c>
      <c r="J12" s="1" t="s">
        <v>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4</v>
      </c>
      <c r="V12" s="1">
        <v>0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s="1" t="s">
        <v>4</v>
      </c>
      <c r="AH12" s="1" t="s">
        <v>4</v>
      </c>
      <c r="AI12" s="1" t="s">
        <v>4</v>
      </c>
      <c r="AJ12" s="1" t="s">
        <v>4</v>
      </c>
      <c r="AK12" s="1"/>
      <c r="AL12" s="1" t="s">
        <v>4</v>
      </c>
      <c r="AM12" s="1" t="s">
        <v>4</v>
      </c>
      <c r="AN12" s="1" t="s">
        <v>4</v>
      </c>
      <c r="AO12" s="1"/>
      <c r="AP12" s="1" t="s">
        <v>4</v>
      </c>
      <c r="AQ12" s="1" t="s">
        <v>4</v>
      </c>
      <c r="AR12" s="1" t="s">
        <v>4</v>
      </c>
      <c r="AS12" s="1"/>
      <c r="AT12" s="1"/>
      <c r="AU12" s="1"/>
      <c r="AV12" s="1"/>
      <c r="AW12" s="1"/>
      <c r="AX12" s="1" t="s">
        <v>4</v>
      </c>
      <c r="AY12" s="1" t="s">
        <v>4</v>
      </c>
      <c r="AZ12" s="1" t="s">
        <v>4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4</v>
      </c>
      <c r="CJ12" s="1" t="s">
        <v>4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16500983</v>
      </c>
      <c r="E14" s="1">
        <v>16500997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11</v>
      </c>
      <c r="D16" s="7" t="s">
        <v>11</v>
      </c>
      <c r="E16" s="8">
        <f>(Source!F92)/1000</f>
        <v>20.23132</v>
      </c>
      <c r="F16" s="8">
        <f>(Source!F93)/1000</f>
        <v>0</v>
      </c>
      <c r="G16" s="8">
        <f>(Source!F84)/1000</f>
        <v>0</v>
      </c>
      <c r="H16" s="8">
        <f>(Source!F94)/1000+(Source!F95)/1000</f>
        <v>0</v>
      </c>
      <c r="I16" s="8">
        <f>E16+F16+G16+H16</f>
        <v>20.23132</v>
      </c>
      <c r="J16" s="8">
        <f>(Source!F90)/1000</f>
        <v>2.3556699999999999</v>
      </c>
      <c r="T16" s="9">
        <f>(Source!P92)/1000</f>
        <v>123.00674000000001</v>
      </c>
      <c r="U16" s="9">
        <f>(Source!P93)/1000</f>
        <v>0</v>
      </c>
      <c r="V16" s="9">
        <f>(Source!P84)/1000</f>
        <v>0</v>
      </c>
      <c r="W16" s="9">
        <f>(Source!P94)/1000+(Source!P95)/1000</f>
        <v>0</v>
      </c>
      <c r="X16" s="9">
        <f>T16+U16+V16+W16</f>
        <v>123.00674000000001</v>
      </c>
      <c r="Y16" s="9">
        <f>(Source!P90)/1000</f>
        <v>14.322569999999999</v>
      </c>
      <c r="AI16" s="7">
        <v>0</v>
      </c>
      <c r="AJ16" s="7">
        <v>0</v>
      </c>
      <c r="AK16" s="7" t="s">
        <v>4</v>
      </c>
      <c r="AL16" s="7" t="s">
        <v>4</v>
      </c>
      <c r="AM16" s="7" t="s">
        <v>4</v>
      </c>
      <c r="AN16" s="7">
        <v>0</v>
      </c>
      <c r="AO16" s="7" t="s">
        <v>4</v>
      </c>
      <c r="AP16" s="7" t="s">
        <v>4</v>
      </c>
      <c r="AT16" s="8">
        <v>16738.64</v>
      </c>
      <c r="AU16" s="8">
        <v>14319.29</v>
      </c>
      <c r="AV16" s="8">
        <v>0</v>
      </c>
      <c r="AW16" s="8">
        <v>0</v>
      </c>
      <c r="AX16" s="8">
        <v>0</v>
      </c>
      <c r="AY16" s="8">
        <v>63.68</v>
      </c>
      <c r="AZ16" s="8">
        <v>21.23</v>
      </c>
      <c r="BA16" s="8">
        <v>2355.67</v>
      </c>
      <c r="BB16" s="8">
        <v>20231.32</v>
      </c>
      <c r="BC16" s="8">
        <v>0</v>
      </c>
      <c r="BD16" s="8">
        <v>0</v>
      </c>
      <c r="BE16" s="8">
        <v>0</v>
      </c>
      <c r="BF16" s="8">
        <v>275.22874950000005</v>
      </c>
      <c r="BG16" s="8">
        <v>1.8564324999999999</v>
      </c>
      <c r="BH16" s="8">
        <v>0</v>
      </c>
      <c r="BI16" s="8">
        <v>2162.5</v>
      </c>
      <c r="BJ16" s="8">
        <v>1330.18</v>
      </c>
      <c r="BK16" s="8">
        <v>23872.959999999999</v>
      </c>
      <c r="BR16" s="9">
        <v>101770.98</v>
      </c>
      <c r="BS16" s="9">
        <v>87061.32</v>
      </c>
      <c r="BT16" s="9">
        <v>0</v>
      </c>
      <c r="BU16" s="9">
        <v>0</v>
      </c>
      <c r="BV16" s="9">
        <v>0</v>
      </c>
      <c r="BW16" s="9">
        <v>387.09</v>
      </c>
      <c r="BX16" s="9">
        <v>129.13999999999999</v>
      </c>
      <c r="BY16" s="9">
        <v>14322.57</v>
      </c>
      <c r="BZ16" s="9">
        <v>123006.74</v>
      </c>
      <c r="CA16" s="9">
        <v>0</v>
      </c>
      <c r="CB16" s="9">
        <v>0</v>
      </c>
      <c r="CC16" s="9">
        <v>0</v>
      </c>
      <c r="CD16" s="9">
        <v>275.22874950000005</v>
      </c>
      <c r="CE16" s="9">
        <v>1.8564324999999999</v>
      </c>
      <c r="CF16" s="9">
        <v>0</v>
      </c>
      <c r="CG16" s="9">
        <v>13148.09</v>
      </c>
      <c r="CH16" s="9">
        <v>8087.67</v>
      </c>
      <c r="CI16" s="9">
        <v>145147.95000000001</v>
      </c>
    </row>
    <row r="18" spans="1:40" x14ac:dyDescent="0.2">
      <c r="A18">
        <v>51</v>
      </c>
      <c r="E18" s="10">
        <f>SUMIF(A16:A17,3,E16:E17)</f>
        <v>20.23132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20.23132</v>
      </c>
      <c r="J18" s="10">
        <f>SUMIF(A16:A17,3,J16:J17)</f>
        <v>2.3556699999999999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123.00674000000001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123.00674000000001</v>
      </c>
      <c r="Y18" s="3">
        <f>SUMIF(A16:A17,3,Y16:Y17)</f>
        <v>14.322569999999999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16738.64</v>
      </c>
      <c r="G20" s="5" t="s">
        <v>125</v>
      </c>
      <c r="H20" s="5" t="s">
        <v>126</v>
      </c>
      <c r="I20" s="5"/>
      <c r="J20" s="5"/>
      <c r="K20" s="5">
        <v>201</v>
      </c>
      <c r="L20" s="5">
        <v>1</v>
      </c>
      <c r="M20" s="5">
        <v>3</v>
      </c>
      <c r="N20" s="5" t="s">
        <v>4</v>
      </c>
      <c r="O20" s="5">
        <v>2</v>
      </c>
      <c r="P20" s="5">
        <v>101770.98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14319.29</v>
      </c>
      <c r="G21" s="5" t="s">
        <v>127</v>
      </c>
      <c r="H21" s="5" t="s">
        <v>128</v>
      </c>
      <c r="I21" s="5"/>
      <c r="J21" s="5"/>
      <c r="K21" s="5">
        <v>202</v>
      </c>
      <c r="L21" s="5">
        <v>2</v>
      </c>
      <c r="M21" s="5">
        <v>3</v>
      </c>
      <c r="N21" s="5" t="s">
        <v>4</v>
      </c>
      <c r="O21" s="5">
        <v>2</v>
      </c>
      <c r="P21" s="5">
        <v>87061.32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129</v>
      </c>
      <c r="H22" s="5" t="s">
        <v>130</v>
      </c>
      <c r="I22" s="5"/>
      <c r="J22" s="5"/>
      <c r="K22" s="5">
        <v>222</v>
      </c>
      <c r="L22" s="5">
        <v>3</v>
      </c>
      <c r="M22" s="5">
        <v>3</v>
      </c>
      <c r="N22" s="5" t="s">
        <v>4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14319.29</v>
      </c>
      <c r="G23" s="5" t="s">
        <v>131</v>
      </c>
      <c r="H23" s="5" t="s">
        <v>132</v>
      </c>
      <c r="I23" s="5"/>
      <c r="J23" s="5"/>
      <c r="K23" s="5">
        <v>225</v>
      </c>
      <c r="L23" s="5">
        <v>4</v>
      </c>
      <c r="M23" s="5">
        <v>3</v>
      </c>
      <c r="N23" s="5" t="s">
        <v>4</v>
      </c>
      <c r="O23" s="5">
        <v>2</v>
      </c>
      <c r="P23" s="5">
        <v>87061.32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14319.29</v>
      </c>
      <c r="G24" s="5" t="s">
        <v>133</v>
      </c>
      <c r="H24" s="5" t="s">
        <v>134</v>
      </c>
      <c r="I24" s="5"/>
      <c r="J24" s="5"/>
      <c r="K24" s="5">
        <v>226</v>
      </c>
      <c r="L24" s="5">
        <v>5</v>
      </c>
      <c r="M24" s="5">
        <v>3</v>
      </c>
      <c r="N24" s="5" t="s">
        <v>4</v>
      </c>
      <c r="O24" s="5">
        <v>2</v>
      </c>
      <c r="P24" s="5">
        <v>87061.32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135</v>
      </c>
      <c r="H25" s="5" t="s">
        <v>136</v>
      </c>
      <c r="I25" s="5"/>
      <c r="J25" s="5"/>
      <c r="K25" s="5">
        <v>227</v>
      </c>
      <c r="L25" s="5">
        <v>6</v>
      </c>
      <c r="M25" s="5">
        <v>3</v>
      </c>
      <c r="N25" s="5" t="s">
        <v>4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14319.29</v>
      </c>
      <c r="G26" s="5" t="s">
        <v>137</v>
      </c>
      <c r="H26" s="5" t="s">
        <v>138</v>
      </c>
      <c r="I26" s="5"/>
      <c r="J26" s="5"/>
      <c r="K26" s="5">
        <v>228</v>
      </c>
      <c r="L26" s="5">
        <v>7</v>
      </c>
      <c r="M26" s="5">
        <v>3</v>
      </c>
      <c r="N26" s="5" t="s">
        <v>4</v>
      </c>
      <c r="O26" s="5">
        <v>2</v>
      </c>
      <c r="P26" s="5">
        <v>87061.32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139</v>
      </c>
      <c r="H27" s="5" t="s">
        <v>140</v>
      </c>
      <c r="I27" s="5"/>
      <c r="J27" s="5"/>
      <c r="K27" s="5">
        <v>216</v>
      </c>
      <c r="L27" s="5">
        <v>8</v>
      </c>
      <c r="M27" s="5">
        <v>3</v>
      </c>
      <c r="N27" s="5" t="s">
        <v>4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141</v>
      </c>
      <c r="H28" s="5" t="s">
        <v>142</v>
      </c>
      <c r="I28" s="5"/>
      <c r="J28" s="5"/>
      <c r="K28" s="5">
        <v>223</v>
      </c>
      <c r="L28" s="5">
        <v>9</v>
      </c>
      <c r="M28" s="5">
        <v>3</v>
      </c>
      <c r="N28" s="5" t="s">
        <v>4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143</v>
      </c>
      <c r="H29" s="5" t="s">
        <v>144</v>
      </c>
      <c r="I29" s="5"/>
      <c r="J29" s="5"/>
      <c r="K29" s="5">
        <v>229</v>
      </c>
      <c r="L29" s="5">
        <v>10</v>
      </c>
      <c r="M29" s="5">
        <v>3</v>
      </c>
      <c r="N29" s="5" t="s">
        <v>4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63.68</v>
      </c>
      <c r="G30" s="5" t="s">
        <v>145</v>
      </c>
      <c r="H30" s="5" t="s">
        <v>146</v>
      </c>
      <c r="I30" s="5"/>
      <c r="J30" s="5"/>
      <c r="K30" s="5">
        <v>203</v>
      </c>
      <c r="L30" s="5">
        <v>11</v>
      </c>
      <c r="M30" s="5">
        <v>3</v>
      </c>
      <c r="N30" s="5" t="s">
        <v>4</v>
      </c>
      <c r="O30" s="5">
        <v>2</v>
      </c>
      <c r="P30" s="5">
        <v>387.09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147</v>
      </c>
      <c r="H31" s="5" t="s">
        <v>148</v>
      </c>
      <c r="I31" s="5"/>
      <c r="J31" s="5"/>
      <c r="K31" s="5">
        <v>231</v>
      </c>
      <c r="L31" s="5">
        <v>12</v>
      </c>
      <c r="M31" s="5">
        <v>3</v>
      </c>
      <c r="N31" s="5" t="s">
        <v>4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21.23</v>
      </c>
      <c r="G32" s="5" t="s">
        <v>149</v>
      </c>
      <c r="H32" s="5" t="s">
        <v>150</v>
      </c>
      <c r="I32" s="5"/>
      <c r="J32" s="5"/>
      <c r="K32" s="5">
        <v>204</v>
      </c>
      <c r="L32" s="5">
        <v>13</v>
      </c>
      <c r="M32" s="5">
        <v>3</v>
      </c>
      <c r="N32" s="5" t="s">
        <v>4</v>
      </c>
      <c r="O32" s="5">
        <v>2</v>
      </c>
      <c r="P32" s="5">
        <v>129.13999999999999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2355.67</v>
      </c>
      <c r="G33" s="5" t="s">
        <v>151</v>
      </c>
      <c r="H33" s="5" t="s">
        <v>152</v>
      </c>
      <c r="I33" s="5"/>
      <c r="J33" s="5"/>
      <c r="K33" s="5">
        <v>205</v>
      </c>
      <c r="L33" s="5">
        <v>14</v>
      </c>
      <c r="M33" s="5">
        <v>3</v>
      </c>
      <c r="N33" s="5" t="s">
        <v>4</v>
      </c>
      <c r="O33" s="5">
        <v>2</v>
      </c>
      <c r="P33" s="5">
        <v>14322.57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153</v>
      </c>
      <c r="H34" s="5" t="s">
        <v>154</v>
      </c>
      <c r="I34" s="5"/>
      <c r="J34" s="5"/>
      <c r="K34" s="5">
        <v>232</v>
      </c>
      <c r="L34" s="5">
        <v>15</v>
      </c>
      <c r="M34" s="5">
        <v>3</v>
      </c>
      <c r="N34" s="5" t="s">
        <v>4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20231.32</v>
      </c>
      <c r="G35" s="5" t="s">
        <v>155</v>
      </c>
      <c r="H35" s="5" t="s">
        <v>156</v>
      </c>
      <c r="I35" s="5"/>
      <c r="J35" s="5"/>
      <c r="K35" s="5">
        <v>214</v>
      </c>
      <c r="L35" s="5">
        <v>16</v>
      </c>
      <c r="M35" s="5">
        <v>3</v>
      </c>
      <c r="N35" s="5" t="s">
        <v>4</v>
      </c>
      <c r="O35" s="5">
        <v>2</v>
      </c>
      <c r="P35" s="5">
        <v>123006.74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157</v>
      </c>
      <c r="H36" s="5" t="s">
        <v>158</v>
      </c>
      <c r="I36" s="5"/>
      <c r="J36" s="5"/>
      <c r="K36" s="5">
        <v>215</v>
      </c>
      <c r="L36" s="5">
        <v>17</v>
      </c>
      <c r="M36" s="5">
        <v>3</v>
      </c>
      <c r="N36" s="5" t="s">
        <v>4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159</v>
      </c>
      <c r="H37" s="5" t="s">
        <v>160</v>
      </c>
      <c r="I37" s="5"/>
      <c r="J37" s="5"/>
      <c r="K37" s="5">
        <v>217</v>
      </c>
      <c r="L37" s="5">
        <v>18</v>
      </c>
      <c r="M37" s="5">
        <v>3</v>
      </c>
      <c r="N37" s="5" t="s">
        <v>4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161</v>
      </c>
      <c r="H38" s="5" t="s">
        <v>162</v>
      </c>
      <c r="I38" s="5"/>
      <c r="J38" s="5"/>
      <c r="K38" s="5">
        <v>230</v>
      </c>
      <c r="L38" s="5">
        <v>19</v>
      </c>
      <c r="M38" s="5">
        <v>3</v>
      </c>
      <c r="N38" s="5" t="s">
        <v>4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163</v>
      </c>
      <c r="H39" s="5" t="s">
        <v>164</v>
      </c>
      <c r="I39" s="5"/>
      <c r="J39" s="5"/>
      <c r="K39" s="5">
        <v>206</v>
      </c>
      <c r="L39" s="5">
        <v>20</v>
      </c>
      <c r="M39" s="5">
        <v>3</v>
      </c>
      <c r="N39" s="5" t="s">
        <v>4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275.22874950000005</v>
      </c>
      <c r="G40" s="5" t="s">
        <v>165</v>
      </c>
      <c r="H40" s="5" t="s">
        <v>166</v>
      </c>
      <c r="I40" s="5"/>
      <c r="J40" s="5"/>
      <c r="K40" s="5">
        <v>207</v>
      </c>
      <c r="L40" s="5">
        <v>21</v>
      </c>
      <c r="M40" s="5">
        <v>3</v>
      </c>
      <c r="N40" s="5" t="s">
        <v>4</v>
      </c>
      <c r="O40" s="5">
        <v>-1</v>
      </c>
      <c r="P40" s="5">
        <v>275.22874950000005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1.8564324999999999</v>
      </c>
      <c r="G41" s="5" t="s">
        <v>167</v>
      </c>
      <c r="H41" s="5" t="s">
        <v>168</v>
      </c>
      <c r="I41" s="5"/>
      <c r="J41" s="5"/>
      <c r="K41" s="5">
        <v>208</v>
      </c>
      <c r="L41" s="5">
        <v>22</v>
      </c>
      <c r="M41" s="5">
        <v>3</v>
      </c>
      <c r="N41" s="5" t="s">
        <v>4</v>
      </c>
      <c r="O41" s="5">
        <v>-1</v>
      </c>
      <c r="P41" s="5">
        <v>1.8564324999999999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169</v>
      </c>
      <c r="H42" s="5" t="s">
        <v>170</v>
      </c>
      <c r="I42" s="5"/>
      <c r="J42" s="5"/>
      <c r="K42" s="5">
        <v>209</v>
      </c>
      <c r="L42" s="5">
        <v>23</v>
      </c>
      <c r="M42" s="5">
        <v>3</v>
      </c>
      <c r="N42" s="5" t="s">
        <v>4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2162.5</v>
      </c>
      <c r="G43" s="5" t="s">
        <v>171</v>
      </c>
      <c r="H43" s="5" t="s">
        <v>172</v>
      </c>
      <c r="I43" s="5"/>
      <c r="J43" s="5"/>
      <c r="K43" s="5">
        <v>210</v>
      </c>
      <c r="L43" s="5">
        <v>24</v>
      </c>
      <c r="M43" s="5">
        <v>3</v>
      </c>
      <c r="N43" s="5" t="s">
        <v>4</v>
      </c>
      <c r="O43" s="5">
        <v>2</v>
      </c>
      <c r="P43" s="5">
        <v>13148.09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1330.18</v>
      </c>
      <c r="G44" s="5" t="s">
        <v>173</v>
      </c>
      <c r="H44" s="5" t="s">
        <v>174</v>
      </c>
      <c r="I44" s="5"/>
      <c r="J44" s="5"/>
      <c r="K44" s="5">
        <v>211</v>
      </c>
      <c r="L44" s="5">
        <v>25</v>
      </c>
      <c r="M44" s="5">
        <v>3</v>
      </c>
      <c r="N44" s="5" t="s">
        <v>4</v>
      </c>
      <c r="O44" s="5">
        <v>2</v>
      </c>
      <c r="P44" s="5">
        <v>8087.67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20231.32</v>
      </c>
      <c r="G45" s="5" t="s">
        <v>175</v>
      </c>
      <c r="H45" s="5" t="s">
        <v>176</v>
      </c>
      <c r="I45" s="5"/>
      <c r="J45" s="5"/>
      <c r="K45" s="5">
        <v>224</v>
      </c>
      <c r="L45" s="5">
        <v>26</v>
      </c>
      <c r="M45" s="5">
        <v>3</v>
      </c>
      <c r="N45" s="5" t="s">
        <v>4</v>
      </c>
      <c r="O45" s="5">
        <v>2</v>
      </c>
      <c r="P45" s="5">
        <v>123006.74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20231.32</v>
      </c>
      <c r="G46" s="5" t="s">
        <v>177</v>
      </c>
      <c r="H46" s="5" t="s">
        <v>175</v>
      </c>
      <c r="I46" s="5"/>
      <c r="J46" s="5"/>
      <c r="K46" s="5">
        <v>212</v>
      </c>
      <c r="L46" s="5">
        <v>27</v>
      </c>
      <c r="M46" s="5">
        <v>0</v>
      </c>
      <c r="N46" s="5" t="s">
        <v>4</v>
      </c>
      <c r="O46" s="5">
        <v>2</v>
      </c>
      <c r="P46" s="5">
        <v>123006.74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3641.64</v>
      </c>
      <c r="G47" s="5" t="s">
        <v>178</v>
      </c>
      <c r="H47" s="5" t="s">
        <v>179</v>
      </c>
      <c r="I47" s="5"/>
      <c r="J47" s="5"/>
      <c r="K47" s="5">
        <v>212</v>
      </c>
      <c r="L47" s="5">
        <v>28</v>
      </c>
      <c r="M47" s="5">
        <v>0</v>
      </c>
      <c r="N47" s="5" t="s">
        <v>4</v>
      </c>
      <c r="O47" s="5">
        <v>2</v>
      </c>
      <c r="P47" s="5">
        <v>22141.21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23872.959999999999</v>
      </c>
      <c r="G48" s="5" t="s">
        <v>180</v>
      </c>
      <c r="H48" s="5" t="s">
        <v>181</v>
      </c>
      <c r="I48" s="5"/>
      <c r="J48" s="5"/>
      <c r="K48" s="5">
        <v>212</v>
      </c>
      <c r="L48" s="5">
        <v>29</v>
      </c>
      <c r="M48" s="5">
        <v>0</v>
      </c>
      <c r="N48" s="5" t="s">
        <v>4</v>
      </c>
      <c r="O48" s="5">
        <v>2</v>
      </c>
      <c r="P48" s="5">
        <v>145147.95000000001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243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16500983</v>
      </c>
      <c r="O53" s="4">
        <v>1</v>
      </c>
    </row>
    <row r="54" spans="1:34" x14ac:dyDescent="0.2">
      <c r="A54" s="4">
        <v>75</v>
      </c>
      <c r="B54" s="4" t="s">
        <v>244</v>
      </c>
      <c r="C54" s="4">
        <v>2017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16500997</v>
      </c>
      <c r="O54" s="4">
        <v>2</v>
      </c>
    </row>
    <row r="55" spans="1:34" x14ac:dyDescent="0.2">
      <c r="A55" s="6">
        <v>3</v>
      </c>
      <c r="B55" s="6" t="s">
        <v>245</v>
      </c>
      <c r="C55" s="6">
        <v>6.08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6.08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4</v>
      </c>
      <c r="T55" s="6" t="s">
        <v>4</v>
      </c>
      <c r="U55" s="6" t="s">
        <v>4</v>
      </c>
      <c r="V55" s="6" t="s">
        <v>4</v>
      </c>
      <c r="W55" s="6" t="s">
        <v>4</v>
      </c>
      <c r="X55" s="6" t="s">
        <v>4</v>
      </c>
      <c r="Y55" s="6" t="s">
        <v>4</v>
      </c>
      <c r="Z55" s="6" t="s">
        <v>4</v>
      </c>
      <c r="AA55" s="6" t="s">
        <v>4</v>
      </c>
      <c r="AB55" s="6" t="s">
        <v>4</v>
      </c>
      <c r="AC55" s="6" t="s">
        <v>4</v>
      </c>
      <c r="AD55" s="6" t="s">
        <v>4</v>
      </c>
      <c r="AE55" s="6" t="s">
        <v>4</v>
      </c>
      <c r="AF55" s="6" t="s">
        <v>4</v>
      </c>
      <c r="AG55" s="6" t="s">
        <v>4</v>
      </c>
      <c r="AH55" s="6" t="s">
        <v>4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16500983</v>
      </c>
      <c r="C1">
        <v>16501030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247</v>
      </c>
      <c r="J1" t="s">
        <v>4</v>
      </c>
      <c r="K1" t="s">
        <v>248</v>
      </c>
      <c r="L1">
        <v>1191</v>
      </c>
      <c r="N1">
        <v>1013</v>
      </c>
      <c r="O1" t="s">
        <v>249</v>
      </c>
      <c r="P1" t="s">
        <v>249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7.8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4</v>
      </c>
      <c r="AT1">
        <v>3.77</v>
      </c>
      <c r="AU1" t="s">
        <v>4</v>
      </c>
      <c r="AV1">
        <v>1</v>
      </c>
      <c r="AW1">
        <v>2</v>
      </c>
      <c r="AX1">
        <v>16501031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0.90479999999999994</v>
      </c>
      <c r="CY1">
        <f>AD1</f>
        <v>7.8</v>
      </c>
      <c r="CZ1">
        <f>AH1</f>
        <v>7.8</v>
      </c>
      <c r="DA1">
        <f>AL1</f>
        <v>1</v>
      </c>
      <c r="DB1">
        <v>0</v>
      </c>
    </row>
    <row r="2" spans="1:106" x14ac:dyDescent="0.2">
      <c r="A2">
        <f>ROW(Source!A25)</f>
        <v>25</v>
      </c>
      <c r="B2">
        <v>16500997</v>
      </c>
      <c r="C2">
        <v>16501030</v>
      </c>
      <c r="D2">
        <v>15430517</v>
      </c>
      <c r="E2">
        <v>1</v>
      </c>
      <c r="F2">
        <v>1</v>
      </c>
      <c r="G2">
        <v>1</v>
      </c>
      <c r="H2">
        <v>1</v>
      </c>
      <c r="I2" t="s">
        <v>247</v>
      </c>
      <c r="J2" t="s">
        <v>4</v>
      </c>
      <c r="K2" t="s">
        <v>248</v>
      </c>
      <c r="L2">
        <v>1191</v>
      </c>
      <c r="N2">
        <v>1013</v>
      </c>
      <c r="O2" t="s">
        <v>249</v>
      </c>
      <c r="P2" t="s">
        <v>249</v>
      </c>
      <c r="Q2">
        <v>1</v>
      </c>
      <c r="W2">
        <v>0</v>
      </c>
      <c r="X2">
        <v>735429535</v>
      </c>
      <c r="Y2">
        <v>3.77</v>
      </c>
      <c r="AA2">
        <v>0</v>
      </c>
      <c r="AB2">
        <v>0</v>
      </c>
      <c r="AC2">
        <v>0</v>
      </c>
      <c r="AD2">
        <v>47.42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6.08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4</v>
      </c>
      <c r="AT2">
        <v>3.77</v>
      </c>
      <c r="AU2" t="s">
        <v>4</v>
      </c>
      <c r="AV2">
        <v>1</v>
      </c>
      <c r="AW2">
        <v>2</v>
      </c>
      <c r="AX2">
        <v>16501031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0.90479999999999994</v>
      </c>
      <c r="CY2">
        <f>AD2</f>
        <v>47.42</v>
      </c>
      <c r="CZ2">
        <f>AH2</f>
        <v>7.8</v>
      </c>
      <c r="DA2">
        <f>AL2</f>
        <v>6.08</v>
      </c>
      <c r="DB2">
        <v>0</v>
      </c>
    </row>
    <row r="3" spans="1:106" x14ac:dyDescent="0.2">
      <c r="A3">
        <f>ROW(Source!A26)</f>
        <v>26</v>
      </c>
      <c r="B3">
        <v>16500983</v>
      </c>
      <c r="C3">
        <v>16501034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247</v>
      </c>
      <c r="J3" t="s">
        <v>4</v>
      </c>
      <c r="K3" t="s">
        <v>248</v>
      </c>
      <c r="L3">
        <v>1191</v>
      </c>
      <c r="N3">
        <v>1013</v>
      </c>
      <c r="O3" t="s">
        <v>249</v>
      </c>
      <c r="P3" t="s">
        <v>249</v>
      </c>
      <c r="Q3">
        <v>1</v>
      </c>
      <c r="W3">
        <v>0</v>
      </c>
      <c r="X3">
        <v>735429535</v>
      </c>
      <c r="Y3">
        <v>11.39</v>
      </c>
      <c r="AA3">
        <v>0</v>
      </c>
      <c r="AB3">
        <v>0</v>
      </c>
      <c r="AC3">
        <v>0</v>
      </c>
      <c r="AD3">
        <v>7.8</v>
      </c>
      <c r="AE3">
        <v>0</v>
      </c>
      <c r="AF3">
        <v>0</v>
      </c>
      <c r="AG3">
        <v>0</v>
      </c>
      <c r="AH3">
        <v>7.8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4</v>
      </c>
      <c r="AT3">
        <v>11.39</v>
      </c>
      <c r="AU3" t="s">
        <v>4</v>
      </c>
      <c r="AV3">
        <v>1</v>
      </c>
      <c r="AW3">
        <v>2</v>
      </c>
      <c r="AX3">
        <v>16501035</v>
      </c>
      <c r="AY3">
        <v>1</v>
      </c>
      <c r="AZ3">
        <v>0</v>
      </c>
      <c r="BA3">
        <v>5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Y3*Source!I26</f>
        <v>4.5446100000000005</v>
      </c>
      <c r="CY3">
        <f>AD3</f>
        <v>7.8</v>
      </c>
      <c r="CZ3">
        <f>AH3</f>
        <v>7.8</v>
      </c>
      <c r="DA3">
        <f>AL3</f>
        <v>1</v>
      </c>
      <c r="DB3">
        <v>0</v>
      </c>
    </row>
    <row r="4" spans="1:106" x14ac:dyDescent="0.2">
      <c r="A4">
        <f>ROW(Source!A26)</f>
        <v>26</v>
      </c>
      <c r="B4">
        <v>16500983</v>
      </c>
      <c r="C4">
        <v>16501034</v>
      </c>
      <c r="D4">
        <v>15430395</v>
      </c>
      <c r="E4">
        <v>1</v>
      </c>
      <c r="F4">
        <v>1</v>
      </c>
      <c r="G4">
        <v>1</v>
      </c>
      <c r="H4">
        <v>1</v>
      </c>
      <c r="I4" t="s">
        <v>250</v>
      </c>
      <c r="J4" t="s">
        <v>4</v>
      </c>
      <c r="K4" t="s">
        <v>251</v>
      </c>
      <c r="L4">
        <v>1191</v>
      </c>
      <c r="N4">
        <v>1013</v>
      </c>
      <c r="O4" t="s">
        <v>249</v>
      </c>
      <c r="P4" t="s">
        <v>249</v>
      </c>
      <c r="Q4">
        <v>1</v>
      </c>
      <c r="W4">
        <v>0</v>
      </c>
      <c r="X4">
        <v>-1417349443</v>
      </c>
      <c r="Y4">
        <v>0.13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4</v>
      </c>
      <c r="AT4">
        <v>0.13</v>
      </c>
      <c r="AU4" t="s">
        <v>4</v>
      </c>
      <c r="AV4">
        <v>2</v>
      </c>
      <c r="AW4">
        <v>2</v>
      </c>
      <c r="AX4">
        <v>16501036</v>
      </c>
      <c r="AY4">
        <v>1</v>
      </c>
      <c r="AZ4">
        <v>0</v>
      </c>
      <c r="BA4">
        <v>6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Y4*Source!I26</f>
        <v>5.1870000000000006E-2</v>
      </c>
      <c r="CY4">
        <f>AD4</f>
        <v>0</v>
      </c>
      <c r="CZ4">
        <f>AH4</f>
        <v>0</v>
      </c>
      <c r="DA4">
        <f>AL4</f>
        <v>1</v>
      </c>
      <c r="DB4">
        <v>0</v>
      </c>
    </row>
    <row r="5" spans="1:106" x14ac:dyDescent="0.2">
      <c r="A5">
        <f>ROW(Source!A26)</f>
        <v>26</v>
      </c>
      <c r="B5">
        <v>16500983</v>
      </c>
      <c r="C5">
        <v>16501034</v>
      </c>
      <c r="D5">
        <v>15247974</v>
      </c>
      <c r="E5">
        <v>1</v>
      </c>
      <c r="F5">
        <v>1</v>
      </c>
      <c r="G5">
        <v>1</v>
      </c>
      <c r="H5">
        <v>2</v>
      </c>
      <c r="I5" t="s">
        <v>252</v>
      </c>
      <c r="J5" t="s">
        <v>253</v>
      </c>
      <c r="K5" t="s">
        <v>254</v>
      </c>
      <c r="L5">
        <v>1368</v>
      </c>
      <c r="N5">
        <v>1011</v>
      </c>
      <c r="O5" t="s">
        <v>255</v>
      </c>
      <c r="P5" t="s">
        <v>255</v>
      </c>
      <c r="Q5">
        <v>1</v>
      </c>
      <c r="W5">
        <v>0</v>
      </c>
      <c r="X5">
        <v>1188625873</v>
      </c>
      <c r="Y5">
        <v>0.13</v>
      </c>
      <c r="AA5">
        <v>0</v>
      </c>
      <c r="AB5">
        <v>31.26</v>
      </c>
      <c r="AC5">
        <v>13.5</v>
      </c>
      <c r="AD5">
        <v>0</v>
      </c>
      <c r="AE5">
        <v>0</v>
      </c>
      <c r="AF5">
        <v>31.26</v>
      </c>
      <c r="AG5">
        <v>13.5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4</v>
      </c>
      <c r="AT5">
        <v>0.13</v>
      </c>
      <c r="AU5" t="s">
        <v>4</v>
      </c>
      <c r="AV5">
        <v>0</v>
      </c>
      <c r="AW5">
        <v>2</v>
      </c>
      <c r="AX5">
        <v>16501037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5.1870000000000006E-2</v>
      </c>
      <c r="CY5">
        <f>AB5</f>
        <v>31.26</v>
      </c>
      <c r="CZ5">
        <f>AF5</f>
        <v>31.26</v>
      </c>
      <c r="DA5">
        <f>AJ5</f>
        <v>1</v>
      </c>
      <c r="DB5">
        <v>0</v>
      </c>
    </row>
    <row r="6" spans="1:106" x14ac:dyDescent="0.2">
      <c r="A6">
        <f>ROW(Source!A27)</f>
        <v>27</v>
      </c>
      <c r="B6">
        <v>16500997</v>
      </c>
      <c r="C6">
        <v>16501034</v>
      </c>
      <c r="D6">
        <v>15430517</v>
      </c>
      <c r="E6">
        <v>1</v>
      </c>
      <c r="F6">
        <v>1</v>
      </c>
      <c r="G6">
        <v>1</v>
      </c>
      <c r="H6">
        <v>1</v>
      </c>
      <c r="I6" t="s">
        <v>247</v>
      </c>
      <c r="J6" t="s">
        <v>4</v>
      </c>
      <c r="K6" t="s">
        <v>248</v>
      </c>
      <c r="L6">
        <v>1191</v>
      </c>
      <c r="N6">
        <v>1013</v>
      </c>
      <c r="O6" t="s">
        <v>249</v>
      </c>
      <c r="P6" t="s">
        <v>249</v>
      </c>
      <c r="Q6">
        <v>1</v>
      </c>
      <c r="W6">
        <v>0</v>
      </c>
      <c r="X6">
        <v>735429535</v>
      </c>
      <c r="Y6">
        <v>11.39</v>
      </c>
      <c r="AA6">
        <v>0</v>
      </c>
      <c r="AB6">
        <v>0</v>
      </c>
      <c r="AC6">
        <v>0</v>
      </c>
      <c r="AD6">
        <v>47.42</v>
      </c>
      <c r="AE6">
        <v>0</v>
      </c>
      <c r="AF6">
        <v>0</v>
      </c>
      <c r="AG6">
        <v>0</v>
      </c>
      <c r="AH6">
        <v>7.8</v>
      </c>
      <c r="AI6">
        <v>1</v>
      </c>
      <c r="AJ6">
        <v>1</v>
      </c>
      <c r="AK6">
        <v>1</v>
      </c>
      <c r="AL6">
        <v>6.08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4</v>
      </c>
      <c r="AT6">
        <v>11.39</v>
      </c>
      <c r="AU6" t="s">
        <v>4</v>
      </c>
      <c r="AV6">
        <v>1</v>
      </c>
      <c r="AW6">
        <v>2</v>
      </c>
      <c r="AX6">
        <v>16501035</v>
      </c>
      <c r="AY6">
        <v>1</v>
      </c>
      <c r="AZ6">
        <v>0</v>
      </c>
      <c r="BA6">
        <v>9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Y6*Source!I27</f>
        <v>4.5446100000000005</v>
      </c>
      <c r="CY6">
        <f>AD6</f>
        <v>47.42</v>
      </c>
      <c r="CZ6">
        <f>AH6</f>
        <v>7.8</v>
      </c>
      <c r="DA6">
        <f>AL6</f>
        <v>6.08</v>
      </c>
      <c r="DB6">
        <v>0</v>
      </c>
    </row>
    <row r="7" spans="1:106" x14ac:dyDescent="0.2">
      <c r="A7">
        <f>ROW(Source!A27)</f>
        <v>27</v>
      </c>
      <c r="B7">
        <v>16500997</v>
      </c>
      <c r="C7">
        <v>16501034</v>
      </c>
      <c r="D7">
        <v>15430395</v>
      </c>
      <c r="E7">
        <v>1</v>
      </c>
      <c r="F7">
        <v>1</v>
      </c>
      <c r="G7">
        <v>1</v>
      </c>
      <c r="H7">
        <v>1</v>
      </c>
      <c r="I7" t="s">
        <v>250</v>
      </c>
      <c r="J7" t="s">
        <v>4</v>
      </c>
      <c r="K7" t="s">
        <v>251</v>
      </c>
      <c r="L7">
        <v>1191</v>
      </c>
      <c r="N7">
        <v>1013</v>
      </c>
      <c r="O7" t="s">
        <v>249</v>
      </c>
      <c r="P7" t="s">
        <v>249</v>
      </c>
      <c r="Q7">
        <v>1</v>
      </c>
      <c r="W7">
        <v>0</v>
      </c>
      <c r="X7">
        <v>-1417349443</v>
      </c>
      <c r="Y7">
        <v>0.13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6.08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4</v>
      </c>
      <c r="AT7">
        <v>0.13</v>
      </c>
      <c r="AU7" t="s">
        <v>4</v>
      </c>
      <c r="AV7">
        <v>2</v>
      </c>
      <c r="AW7">
        <v>2</v>
      </c>
      <c r="AX7">
        <v>16501036</v>
      </c>
      <c r="AY7">
        <v>1</v>
      </c>
      <c r="AZ7">
        <v>0</v>
      </c>
      <c r="BA7">
        <v>10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Y7*Source!I27</f>
        <v>5.1870000000000006E-2</v>
      </c>
      <c r="CY7">
        <f>AD7</f>
        <v>0</v>
      </c>
      <c r="CZ7">
        <f>AH7</f>
        <v>0</v>
      </c>
      <c r="DA7">
        <f>AL7</f>
        <v>1</v>
      </c>
      <c r="DB7">
        <v>0</v>
      </c>
    </row>
    <row r="8" spans="1:106" x14ac:dyDescent="0.2">
      <c r="A8">
        <f>ROW(Source!A27)</f>
        <v>27</v>
      </c>
      <c r="B8">
        <v>16500997</v>
      </c>
      <c r="C8">
        <v>16501034</v>
      </c>
      <c r="D8">
        <v>15247974</v>
      </c>
      <c r="E8">
        <v>1</v>
      </c>
      <c r="F8">
        <v>1</v>
      </c>
      <c r="G8">
        <v>1</v>
      </c>
      <c r="H8">
        <v>2</v>
      </c>
      <c r="I8" t="s">
        <v>252</v>
      </c>
      <c r="J8" t="s">
        <v>253</v>
      </c>
      <c r="K8" t="s">
        <v>254</v>
      </c>
      <c r="L8">
        <v>1368</v>
      </c>
      <c r="N8">
        <v>1011</v>
      </c>
      <c r="O8" t="s">
        <v>255</v>
      </c>
      <c r="P8" t="s">
        <v>255</v>
      </c>
      <c r="Q8">
        <v>1</v>
      </c>
      <c r="W8">
        <v>0</v>
      </c>
      <c r="X8">
        <v>1188625873</v>
      </c>
      <c r="Y8">
        <v>0.13</v>
      </c>
      <c r="AA8">
        <v>0</v>
      </c>
      <c r="AB8">
        <v>190.06</v>
      </c>
      <c r="AC8">
        <v>13.5</v>
      </c>
      <c r="AD8">
        <v>0</v>
      </c>
      <c r="AE8">
        <v>0</v>
      </c>
      <c r="AF8">
        <v>31.26</v>
      </c>
      <c r="AG8">
        <v>13.5</v>
      </c>
      <c r="AH8">
        <v>0</v>
      </c>
      <c r="AI8">
        <v>1</v>
      </c>
      <c r="AJ8">
        <v>6.08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4</v>
      </c>
      <c r="AT8">
        <v>0.13</v>
      </c>
      <c r="AU8" t="s">
        <v>4</v>
      </c>
      <c r="AV8">
        <v>0</v>
      </c>
      <c r="AW8">
        <v>2</v>
      </c>
      <c r="AX8">
        <v>16501037</v>
      </c>
      <c r="AY8">
        <v>1</v>
      </c>
      <c r="AZ8">
        <v>0</v>
      </c>
      <c r="BA8">
        <v>11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Y8*Source!I27</f>
        <v>5.1870000000000006E-2</v>
      </c>
      <c r="CY8">
        <f>AB8</f>
        <v>190.06</v>
      </c>
      <c r="CZ8">
        <f>AF8</f>
        <v>31.26</v>
      </c>
      <c r="DA8">
        <f>AJ8</f>
        <v>6.08</v>
      </c>
      <c r="DB8">
        <v>0</v>
      </c>
    </row>
    <row r="9" spans="1:106" x14ac:dyDescent="0.2">
      <c r="A9">
        <f>ROW(Source!A28)</f>
        <v>28</v>
      </c>
      <c r="B9">
        <v>16500983</v>
      </c>
      <c r="C9">
        <v>16501040</v>
      </c>
      <c r="D9">
        <v>15430767</v>
      </c>
      <c r="E9">
        <v>1</v>
      </c>
      <c r="F9">
        <v>1</v>
      </c>
      <c r="G9">
        <v>1</v>
      </c>
      <c r="H9">
        <v>1</v>
      </c>
      <c r="I9" t="s">
        <v>256</v>
      </c>
      <c r="J9" t="s">
        <v>4</v>
      </c>
      <c r="K9" t="s">
        <v>257</v>
      </c>
      <c r="L9">
        <v>1191</v>
      </c>
      <c r="N9">
        <v>1013</v>
      </c>
      <c r="O9" t="s">
        <v>249</v>
      </c>
      <c r="P9" t="s">
        <v>249</v>
      </c>
      <c r="Q9">
        <v>1</v>
      </c>
      <c r="W9">
        <v>0</v>
      </c>
      <c r="X9">
        <v>-400197608</v>
      </c>
      <c r="Y9">
        <v>43.320499999999996</v>
      </c>
      <c r="AA9">
        <v>0</v>
      </c>
      <c r="AB9">
        <v>0</v>
      </c>
      <c r="AC9">
        <v>0</v>
      </c>
      <c r="AD9">
        <v>8.5299999999999994</v>
      </c>
      <c r="AE9">
        <v>0</v>
      </c>
      <c r="AF9">
        <v>0</v>
      </c>
      <c r="AG9">
        <v>0</v>
      </c>
      <c r="AH9">
        <v>8.5299999999999994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4</v>
      </c>
      <c r="AT9">
        <v>37.67</v>
      </c>
      <c r="AU9" t="s">
        <v>30</v>
      </c>
      <c r="AV9">
        <v>1</v>
      </c>
      <c r="AW9">
        <v>2</v>
      </c>
      <c r="AX9">
        <v>16501041</v>
      </c>
      <c r="AY9">
        <v>1</v>
      </c>
      <c r="AZ9">
        <v>0</v>
      </c>
      <c r="BA9">
        <v>13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17.284879499999999</v>
      </c>
      <c r="CY9">
        <f>AD9</f>
        <v>8.5299999999999994</v>
      </c>
      <c r="CZ9">
        <f>AH9</f>
        <v>8.5299999999999994</v>
      </c>
      <c r="DA9">
        <f>AL9</f>
        <v>1</v>
      </c>
      <c r="DB9">
        <v>0</v>
      </c>
    </row>
    <row r="10" spans="1:106" x14ac:dyDescent="0.2">
      <c r="A10">
        <f>ROW(Source!A28)</f>
        <v>28</v>
      </c>
      <c r="B10">
        <v>16500983</v>
      </c>
      <c r="C10">
        <v>16501040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250</v>
      </c>
      <c r="J10" t="s">
        <v>4</v>
      </c>
      <c r="K10" t="s">
        <v>251</v>
      </c>
      <c r="L10">
        <v>1191</v>
      </c>
      <c r="N10">
        <v>1013</v>
      </c>
      <c r="O10" t="s">
        <v>249</v>
      </c>
      <c r="P10" t="s">
        <v>249</v>
      </c>
      <c r="Q10">
        <v>1</v>
      </c>
      <c r="W10">
        <v>0</v>
      </c>
      <c r="X10">
        <v>-1417349443</v>
      </c>
      <c r="Y10">
        <v>0.17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4</v>
      </c>
      <c r="AT10">
        <v>0.17</v>
      </c>
      <c r="AU10" t="s">
        <v>4</v>
      </c>
      <c r="AV10">
        <v>2</v>
      </c>
      <c r="AW10">
        <v>2</v>
      </c>
      <c r="AX10">
        <v>16501042</v>
      </c>
      <c r="AY10">
        <v>1</v>
      </c>
      <c r="AZ10">
        <v>2048</v>
      </c>
      <c r="BA10">
        <v>14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6.7830000000000015E-2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 x14ac:dyDescent="0.2">
      <c r="A11">
        <f>ROW(Source!A28)</f>
        <v>28</v>
      </c>
      <c r="B11">
        <v>16500983</v>
      </c>
      <c r="C11">
        <v>16501040</v>
      </c>
      <c r="D11">
        <v>15247970</v>
      </c>
      <c r="E11">
        <v>1</v>
      </c>
      <c r="F11">
        <v>1</v>
      </c>
      <c r="G11">
        <v>1</v>
      </c>
      <c r="H11">
        <v>2</v>
      </c>
      <c r="I11" t="s">
        <v>258</v>
      </c>
      <c r="J11" t="s">
        <v>259</v>
      </c>
      <c r="K11" t="s">
        <v>260</v>
      </c>
      <c r="L11">
        <v>1368</v>
      </c>
      <c r="N11">
        <v>1011</v>
      </c>
      <c r="O11" t="s">
        <v>255</v>
      </c>
      <c r="P11" t="s">
        <v>255</v>
      </c>
      <c r="Q11">
        <v>1</v>
      </c>
      <c r="W11">
        <v>0</v>
      </c>
      <c r="X11">
        <v>368031958</v>
      </c>
      <c r="Y11">
        <v>0.16250000000000001</v>
      </c>
      <c r="AA11">
        <v>0</v>
      </c>
      <c r="AB11">
        <v>27.66</v>
      </c>
      <c r="AC11">
        <v>11.6</v>
      </c>
      <c r="AD11">
        <v>0</v>
      </c>
      <c r="AE11">
        <v>0</v>
      </c>
      <c r="AF11">
        <v>27.66</v>
      </c>
      <c r="AG11">
        <v>11.6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4</v>
      </c>
      <c r="AT11">
        <v>0.13</v>
      </c>
      <c r="AU11" t="s">
        <v>29</v>
      </c>
      <c r="AV11">
        <v>0</v>
      </c>
      <c r="AW11">
        <v>2</v>
      </c>
      <c r="AX11">
        <v>16501043</v>
      </c>
      <c r="AY11">
        <v>1</v>
      </c>
      <c r="AZ11">
        <v>0</v>
      </c>
      <c r="BA11">
        <v>15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6.4837500000000006E-2</v>
      </c>
      <c r="CY11">
        <f>AB11</f>
        <v>27.66</v>
      </c>
      <c r="CZ11">
        <f>AF11</f>
        <v>27.66</v>
      </c>
      <c r="DA11">
        <f>AJ11</f>
        <v>1</v>
      </c>
      <c r="DB11">
        <v>0</v>
      </c>
    </row>
    <row r="12" spans="1:106" x14ac:dyDescent="0.2">
      <c r="A12">
        <f>ROW(Source!A28)</f>
        <v>28</v>
      </c>
      <c r="B12">
        <v>16500983</v>
      </c>
      <c r="C12">
        <v>16501040</v>
      </c>
      <c r="D12">
        <v>15249073</v>
      </c>
      <c r="E12">
        <v>1</v>
      </c>
      <c r="F12">
        <v>1</v>
      </c>
      <c r="G12">
        <v>1</v>
      </c>
      <c r="H12">
        <v>2</v>
      </c>
      <c r="I12" t="s">
        <v>261</v>
      </c>
      <c r="J12" t="s">
        <v>262</v>
      </c>
      <c r="K12" t="s">
        <v>263</v>
      </c>
      <c r="L12">
        <v>1368</v>
      </c>
      <c r="N12">
        <v>1011</v>
      </c>
      <c r="O12" t="s">
        <v>255</v>
      </c>
      <c r="P12" t="s">
        <v>255</v>
      </c>
      <c r="Q12">
        <v>1</v>
      </c>
      <c r="W12">
        <v>0</v>
      </c>
      <c r="X12">
        <v>1372534845</v>
      </c>
      <c r="Y12">
        <v>0.05</v>
      </c>
      <c r="AA12">
        <v>0</v>
      </c>
      <c r="AB12">
        <v>65.709999999999994</v>
      </c>
      <c r="AC12">
        <v>11.6</v>
      </c>
      <c r="AD12">
        <v>0</v>
      </c>
      <c r="AE12">
        <v>0</v>
      </c>
      <c r="AF12">
        <v>65.709999999999994</v>
      </c>
      <c r="AG12">
        <v>11.6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4</v>
      </c>
      <c r="AT12">
        <v>0.04</v>
      </c>
      <c r="AU12" t="s">
        <v>29</v>
      </c>
      <c r="AV12">
        <v>0</v>
      </c>
      <c r="AW12">
        <v>2</v>
      </c>
      <c r="AX12">
        <v>16501044</v>
      </c>
      <c r="AY12">
        <v>1</v>
      </c>
      <c r="AZ12">
        <v>0</v>
      </c>
      <c r="BA12">
        <v>16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1.9950000000000002E-2</v>
      </c>
      <c r="CY12">
        <f>AB12</f>
        <v>65.709999999999994</v>
      </c>
      <c r="CZ12">
        <f>AF12</f>
        <v>65.709999999999994</v>
      </c>
      <c r="DA12">
        <f>AJ12</f>
        <v>1</v>
      </c>
      <c r="DB12">
        <v>0</v>
      </c>
    </row>
    <row r="13" spans="1:106" x14ac:dyDescent="0.2">
      <c r="A13">
        <f>ROW(Source!A28)</f>
        <v>28</v>
      </c>
      <c r="B13">
        <v>16500983</v>
      </c>
      <c r="C13">
        <v>16501040</v>
      </c>
      <c r="D13">
        <v>15167286</v>
      </c>
      <c r="E13">
        <v>1</v>
      </c>
      <c r="F13">
        <v>1</v>
      </c>
      <c r="G13">
        <v>1</v>
      </c>
      <c r="H13">
        <v>3</v>
      </c>
      <c r="I13" t="s">
        <v>264</v>
      </c>
      <c r="J13" t="s">
        <v>265</v>
      </c>
      <c r="K13" t="s">
        <v>266</v>
      </c>
      <c r="L13">
        <v>1339</v>
      </c>
      <c r="N13">
        <v>1007</v>
      </c>
      <c r="O13" t="s">
        <v>267</v>
      </c>
      <c r="P13" t="s">
        <v>267</v>
      </c>
      <c r="Q13">
        <v>1</v>
      </c>
      <c r="W13">
        <v>0</v>
      </c>
      <c r="X13">
        <v>-1660354250</v>
      </c>
      <c r="Y13">
        <v>0.17399999999999999</v>
      </c>
      <c r="AA13">
        <v>2.44</v>
      </c>
      <c r="AB13">
        <v>0</v>
      </c>
      <c r="AC13">
        <v>0</v>
      </c>
      <c r="AD13">
        <v>0</v>
      </c>
      <c r="AE13">
        <v>2.44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4</v>
      </c>
      <c r="AT13">
        <v>0.17399999999999999</v>
      </c>
      <c r="AU13" t="s">
        <v>4</v>
      </c>
      <c r="AV13">
        <v>0</v>
      </c>
      <c r="AW13">
        <v>2</v>
      </c>
      <c r="AX13">
        <v>16501045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6.9426000000000002E-2</v>
      </c>
      <c r="CY13">
        <f>AA13</f>
        <v>2.44</v>
      </c>
      <c r="CZ13">
        <f>AE13</f>
        <v>2.44</v>
      </c>
      <c r="DA13">
        <f>AI13</f>
        <v>1</v>
      </c>
      <c r="DB13">
        <v>0</v>
      </c>
    </row>
    <row r="14" spans="1:106" x14ac:dyDescent="0.2">
      <c r="A14">
        <f>ROW(Source!A28)</f>
        <v>28</v>
      </c>
      <c r="B14">
        <v>16500983</v>
      </c>
      <c r="C14">
        <v>16501040</v>
      </c>
      <c r="D14">
        <v>15172906</v>
      </c>
      <c r="E14">
        <v>1</v>
      </c>
      <c r="F14">
        <v>1</v>
      </c>
      <c r="G14">
        <v>1</v>
      </c>
      <c r="H14">
        <v>3</v>
      </c>
      <c r="I14" t="s">
        <v>268</v>
      </c>
      <c r="J14" t="s">
        <v>269</v>
      </c>
      <c r="K14" t="s">
        <v>270</v>
      </c>
      <c r="L14">
        <v>1348</v>
      </c>
      <c r="N14">
        <v>1009</v>
      </c>
      <c r="O14" t="s">
        <v>58</v>
      </c>
      <c r="P14" t="s">
        <v>58</v>
      </c>
      <c r="Q14">
        <v>1000</v>
      </c>
      <c r="W14">
        <v>0</v>
      </c>
      <c r="X14">
        <v>-2114578287</v>
      </c>
      <c r="Y14">
        <v>0.9</v>
      </c>
      <c r="AA14">
        <v>11381.57</v>
      </c>
      <c r="AB14">
        <v>0</v>
      </c>
      <c r="AC14">
        <v>0</v>
      </c>
      <c r="AD14">
        <v>0</v>
      </c>
      <c r="AE14">
        <v>11381.57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4</v>
      </c>
      <c r="AT14">
        <v>0.9</v>
      </c>
      <c r="AU14" t="s">
        <v>4</v>
      </c>
      <c r="AV14">
        <v>0</v>
      </c>
      <c r="AW14">
        <v>2</v>
      </c>
      <c r="AX14">
        <v>16501046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0.35910000000000003</v>
      </c>
      <c r="CY14">
        <f>AA14</f>
        <v>11381.57</v>
      </c>
      <c r="CZ14">
        <f>AE14</f>
        <v>11381.57</v>
      </c>
      <c r="DA14">
        <f>AI14</f>
        <v>1</v>
      </c>
      <c r="DB14">
        <v>0</v>
      </c>
    </row>
    <row r="15" spans="1:106" x14ac:dyDescent="0.2">
      <c r="A15">
        <f>ROW(Source!A28)</f>
        <v>28</v>
      </c>
      <c r="B15">
        <v>16500983</v>
      </c>
      <c r="C15">
        <v>16501040</v>
      </c>
      <c r="D15">
        <v>15203485</v>
      </c>
      <c r="E15">
        <v>1</v>
      </c>
      <c r="F15">
        <v>1</v>
      </c>
      <c r="G15">
        <v>1</v>
      </c>
      <c r="H15">
        <v>3</v>
      </c>
      <c r="I15" t="s">
        <v>271</v>
      </c>
      <c r="J15" t="s">
        <v>272</v>
      </c>
      <c r="K15" t="s">
        <v>273</v>
      </c>
      <c r="L15">
        <v>1346</v>
      </c>
      <c r="N15">
        <v>1009</v>
      </c>
      <c r="O15" t="s">
        <v>274</v>
      </c>
      <c r="P15" t="s">
        <v>274</v>
      </c>
      <c r="Q15">
        <v>1</v>
      </c>
      <c r="W15">
        <v>0</v>
      </c>
      <c r="X15">
        <v>303141801</v>
      </c>
      <c r="Y15">
        <v>30</v>
      </c>
      <c r="AA15">
        <v>15.25</v>
      </c>
      <c r="AB15">
        <v>0</v>
      </c>
      <c r="AC15">
        <v>0</v>
      </c>
      <c r="AD15">
        <v>0</v>
      </c>
      <c r="AE15">
        <v>15.25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4</v>
      </c>
      <c r="AT15">
        <v>30</v>
      </c>
      <c r="AU15" t="s">
        <v>4</v>
      </c>
      <c r="AV15">
        <v>0</v>
      </c>
      <c r="AW15">
        <v>2</v>
      </c>
      <c r="AX15">
        <v>16501047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Y15*Source!I28</f>
        <v>11.97</v>
      </c>
      <c r="CY15">
        <f>AA15</f>
        <v>15.25</v>
      </c>
      <c r="CZ15">
        <f>AE15</f>
        <v>15.25</v>
      </c>
      <c r="DA15">
        <f>AI15</f>
        <v>1</v>
      </c>
      <c r="DB15">
        <v>0</v>
      </c>
    </row>
    <row r="16" spans="1:106" x14ac:dyDescent="0.2">
      <c r="A16">
        <f>ROW(Source!A29)</f>
        <v>29</v>
      </c>
      <c r="B16">
        <v>16500997</v>
      </c>
      <c r="C16">
        <v>16501040</v>
      </c>
      <c r="D16">
        <v>15430767</v>
      </c>
      <c r="E16">
        <v>1</v>
      </c>
      <c r="F16">
        <v>1</v>
      </c>
      <c r="G16">
        <v>1</v>
      </c>
      <c r="H16">
        <v>1</v>
      </c>
      <c r="I16" t="s">
        <v>256</v>
      </c>
      <c r="J16" t="s">
        <v>4</v>
      </c>
      <c r="K16" t="s">
        <v>257</v>
      </c>
      <c r="L16">
        <v>1191</v>
      </c>
      <c r="N16">
        <v>1013</v>
      </c>
      <c r="O16" t="s">
        <v>249</v>
      </c>
      <c r="P16" t="s">
        <v>249</v>
      </c>
      <c r="Q16">
        <v>1</v>
      </c>
      <c r="W16">
        <v>0</v>
      </c>
      <c r="X16">
        <v>-400197608</v>
      </c>
      <c r="Y16">
        <v>43.320499999999996</v>
      </c>
      <c r="AA16">
        <v>0</v>
      </c>
      <c r="AB16">
        <v>0</v>
      </c>
      <c r="AC16">
        <v>0</v>
      </c>
      <c r="AD16">
        <v>51.86</v>
      </c>
      <c r="AE16">
        <v>0</v>
      </c>
      <c r="AF16">
        <v>0</v>
      </c>
      <c r="AG16">
        <v>0</v>
      </c>
      <c r="AH16">
        <v>8.5299999999999994</v>
      </c>
      <c r="AI16">
        <v>1</v>
      </c>
      <c r="AJ16">
        <v>1</v>
      </c>
      <c r="AK16">
        <v>1</v>
      </c>
      <c r="AL16">
        <v>6.08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4</v>
      </c>
      <c r="AT16">
        <v>37.67</v>
      </c>
      <c r="AU16" t="s">
        <v>30</v>
      </c>
      <c r="AV16">
        <v>1</v>
      </c>
      <c r="AW16">
        <v>2</v>
      </c>
      <c r="AX16">
        <v>16501041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Y16*Source!I29</f>
        <v>17.284879499999999</v>
      </c>
      <c r="CY16">
        <f>AD16</f>
        <v>51.86</v>
      </c>
      <c r="CZ16">
        <f>AH16</f>
        <v>8.5299999999999994</v>
      </c>
      <c r="DA16">
        <f>AL16</f>
        <v>6.08</v>
      </c>
      <c r="DB16">
        <v>0</v>
      </c>
    </row>
    <row r="17" spans="1:106" x14ac:dyDescent="0.2">
      <c r="A17">
        <f>ROW(Source!A29)</f>
        <v>29</v>
      </c>
      <c r="B17">
        <v>16500997</v>
      </c>
      <c r="C17">
        <v>16501040</v>
      </c>
      <c r="D17">
        <v>15430395</v>
      </c>
      <c r="E17">
        <v>1</v>
      </c>
      <c r="F17">
        <v>1</v>
      </c>
      <c r="G17">
        <v>1</v>
      </c>
      <c r="H17">
        <v>1</v>
      </c>
      <c r="I17" t="s">
        <v>250</v>
      </c>
      <c r="J17" t="s">
        <v>4</v>
      </c>
      <c r="K17" t="s">
        <v>251</v>
      </c>
      <c r="L17">
        <v>1191</v>
      </c>
      <c r="N17">
        <v>1013</v>
      </c>
      <c r="O17" t="s">
        <v>249</v>
      </c>
      <c r="P17" t="s">
        <v>249</v>
      </c>
      <c r="Q17">
        <v>1</v>
      </c>
      <c r="W17">
        <v>0</v>
      </c>
      <c r="X17">
        <v>-1417349443</v>
      </c>
      <c r="Y17">
        <v>0.17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6.08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4</v>
      </c>
      <c r="AT17">
        <v>0.17</v>
      </c>
      <c r="AU17" t="s">
        <v>4</v>
      </c>
      <c r="AV17">
        <v>2</v>
      </c>
      <c r="AW17">
        <v>2</v>
      </c>
      <c r="AX17">
        <v>16501042</v>
      </c>
      <c r="AY17">
        <v>1</v>
      </c>
      <c r="AZ17">
        <v>2048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Y17*Source!I29</f>
        <v>6.7830000000000015E-2</v>
      </c>
      <c r="CY17">
        <f>AD17</f>
        <v>0</v>
      </c>
      <c r="CZ17">
        <f>AH17</f>
        <v>0</v>
      </c>
      <c r="DA17">
        <f>AL17</f>
        <v>1</v>
      </c>
      <c r="DB17">
        <v>0</v>
      </c>
    </row>
    <row r="18" spans="1:106" x14ac:dyDescent="0.2">
      <c r="A18">
        <f>ROW(Source!A29)</f>
        <v>29</v>
      </c>
      <c r="B18">
        <v>16500997</v>
      </c>
      <c r="C18">
        <v>16501040</v>
      </c>
      <c r="D18">
        <v>15247970</v>
      </c>
      <c r="E18">
        <v>1</v>
      </c>
      <c r="F18">
        <v>1</v>
      </c>
      <c r="G18">
        <v>1</v>
      </c>
      <c r="H18">
        <v>2</v>
      </c>
      <c r="I18" t="s">
        <v>258</v>
      </c>
      <c r="J18" t="s">
        <v>259</v>
      </c>
      <c r="K18" t="s">
        <v>260</v>
      </c>
      <c r="L18">
        <v>1368</v>
      </c>
      <c r="N18">
        <v>1011</v>
      </c>
      <c r="O18" t="s">
        <v>255</v>
      </c>
      <c r="P18" t="s">
        <v>255</v>
      </c>
      <c r="Q18">
        <v>1</v>
      </c>
      <c r="W18">
        <v>0</v>
      </c>
      <c r="X18">
        <v>368031958</v>
      </c>
      <c r="Y18">
        <v>0.16250000000000001</v>
      </c>
      <c r="AA18">
        <v>0</v>
      </c>
      <c r="AB18">
        <v>168.17</v>
      </c>
      <c r="AC18">
        <v>11.6</v>
      </c>
      <c r="AD18">
        <v>0</v>
      </c>
      <c r="AE18">
        <v>0</v>
      </c>
      <c r="AF18">
        <v>27.66</v>
      </c>
      <c r="AG18">
        <v>11.6</v>
      </c>
      <c r="AH18">
        <v>0</v>
      </c>
      <c r="AI18">
        <v>1</v>
      </c>
      <c r="AJ18">
        <v>6.08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4</v>
      </c>
      <c r="AT18">
        <v>0.13</v>
      </c>
      <c r="AU18" t="s">
        <v>29</v>
      </c>
      <c r="AV18">
        <v>0</v>
      </c>
      <c r="AW18">
        <v>2</v>
      </c>
      <c r="AX18">
        <v>16501043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Y18*Source!I29</f>
        <v>6.4837500000000006E-2</v>
      </c>
      <c r="CY18">
        <f>AB18</f>
        <v>168.17</v>
      </c>
      <c r="CZ18">
        <f>AF18</f>
        <v>27.66</v>
      </c>
      <c r="DA18">
        <f>AJ18</f>
        <v>6.08</v>
      </c>
      <c r="DB18">
        <v>0</v>
      </c>
    </row>
    <row r="19" spans="1:106" x14ac:dyDescent="0.2">
      <c r="A19">
        <f>ROW(Source!A29)</f>
        <v>29</v>
      </c>
      <c r="B19">
        <v>16500997</v>
      </c>
      <c r="C19">
        <v>16501040</v>
      </c>
      <c r="D19">
        <v>15249073</v>
      </c>
      <c r="E19">
        <v>1</v>
      </c>
      <c r="F19">
        <v>1</v>
      </c>
      <c r="G19">
        <v>1</v>
      </c>
      <c r="H19">
        <v>2</v>
      </c>
      <c r="I19" t="s">
        <v>261</v>
      </c>
      <c r="J19" t="s">
        <v>262</v>
      </c>
      <c r="K19" t="s">
        <v>263</v>
      </c>
      <c r="L19">
        <v>1368</v>
      </c>
      <c r="N19">
        <v>1011</v>
      </c>
      <c r="O19" t="s">
        <v>255</v>
      </c>
      <c r="P19" t="s">
        <v>255</v>
      </c>
      <c r="Q19">
        <v>1</v>
      </c>
      <c r="W19">
        <v>0</v>
      </c>
      <c r="X19">
        <v>1372534845</v>
      </c>
      <c r="Y19">
        <v>0.05</v>
      </c>
      <c r="AA19">
        <v>0</v>
      </c>
      <c r="AB19">
        <v>399.52</v>
      </c>
      <c r="AC19">
        <v>11.6</v>
      </c>
      <c r="AD19">
        <v>0</v>
      </c>
      <c r="AE19">
        <v>0</v>
      </c>
      <c r="AF19">
        <v>65.709999999999994</v>
      </c>
      <c r="AG19">
        <v>11.6</v>
      </c>
      <c r="AH19">
        <v>0</v>
      </c>
      <c r="AI19">
        <v>1</v>
      </c>
      <c r="AJ19">
        <v>6.08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4</v>
      </c>
      <c r="AT19">
        <v>0.04</v>
      </c>
      <c r="AU19" t="s">
        <v>29</v>
      </c>
      <c r="AV19">
        <v>0</v>
      </c>
      <c r="AW19">
        <v>2</v>
      </c>
      <c r="AX19">
        <v>16501044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1.9950000000000002E-2</v>
      </c>
      <c r="CY19">
        <f>AB19</f>
        <v>399.52</v>
      </c>
      <c r="CZ19">
        <f>AF19</f>
        <v>65.709999999999994</v>
      </c>
      <c r="DA19">
        <f>AJ19</f>
        <v>6.08</v>
      </c>
      <c r="DB19">
        <v>0</v>
      </c>
    </row>
    <row r="20" spans="1:106" x14ac:dyDescent="0.2">
      <c r="A20">
        <f>ROW(Source!A29)</f>
        <v>29</v>
      </c>
      <c r="B20">
        <v>16500997</v>
      </c>
      <c r="C20">
        <v>16501040</v>
      </c>
      <c r="D20">
        <v>15167286</v>
      </c>
      <c r="E20">
        <v>1</v>
      </c>
      <c r="F20">
        <v>1</v>
      </c>
      <c r="G20">
        <v>1</v>
      </c>
      <c r="H20">
        <v>3</v>
      </c>
      <c r="I20" t="s">
        <v>264</v>
      </c>
      <c r="J20" t="s">
        <v>265</v>
      </c>
      <c r="K20" t="s">
        <v>266</v>
      </c>
      <c r="L20">
        <v>1339</v>
      </c>
      <c r="N20">
        <v>1007</v>
      </c>
      <c r="O20" t="s">
        <v>267</v>
      </c>
      <c r="P20" t="s">
        <v>267</v>
      </c>
      <c r="Q20">
        <v>1</v>
      </c>
      <c r="W20">
        <v>0</v>
      </c>
      <c r="X20">
        <v>-1660354250</v>
      </c>
      <c r="Y20">
        <v>0.17399999999999999</v>
      </c>
      <c r="AA20">
        <v>14.84</v>
      </c>
      <c r="AB20">
        <v>0</v>
      </c>
      <c r="AC20">
        <v>0</v>
      </c>
      <c r="AD20">
        <v>0</v>
      </c>
      <c r="AE20">
        <v>2.44</v>
      </c>
      <c r="AF20">
        <v>0</v>
      </c>
      <c r="AG20">
        <v>0</v>
      </c>
      <c r="AH20">
        <v>0</v>
      </c>
      <c r="AI20">
        <v>6.08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4</v>
      </c>
      <c r="AT20">
        <v>0.17399999999999999</v>
      </c>
      <c r="AU20" t="s">
        <v>4</v>
      </c>
      <c r="AV20">
        <v>0</v>
      </c>
      <c r="AW20">
        <v>2</v>
      </c>
      <c r="AX20">
        <v>16501045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Y20*Source!I29</f>
        <v>6.9426000000000002E-2</v>
      </c>
      <c r="CY20">
        <f>AA20</f>
        <v>14.84</v>
      </c>
      <c r="CZ20">
        <f>AE20</f>
        <v>2.44</v>
      </c>
      <c r="DA20">
        <f>AI20</f>
        <v>6.08</v>
      </c>
      <c r="DB20">
        <v>0</v>
      </c>
    </row>
    <row r="21" spans="1:106" x14ac:dyDescent="0.2">
      <c r="A21">
        <f>ROW(Source!A29)</f>
        <v>29</v>
      </c>
      <c r="B21">
        <v>16500997</v>
      </c>
      <c r="C21">
        <v>16501040</v>
      </c>
      <c r="D21">
        <v>15172906</v>
      </c>
      <c r="E21">
        <v>1</v>
      </c>
      <c r="F21">
        <v>1</v>
      </c>
      <c r="G21">
        <v>1</v>
      </c>
      <c r="H21">
        <v>3</v>
      </c>
      <c r="I21" t="s">
        <v>268</v>
      </c>
      <c r="J21" t="s">
        <v>269</v>
      </c>
      <c r="K21" t="s">
        <v>270</v>
      </c>
      <c r="L21">
        <v>1348</v>
      </c>
      <c r="N21">
        <v>1009</v>
      </c>
      <c r="O21" t="s">
        <v>58</v>
      </c>
      <c r="P21" t="s">
        <v>58</v>
      </c>
      <c r="Q21">
        <v>1000</v>
      </c>
      <c r="W21">
        <v>0</v>
      </c>
      <c r="X21">
        <v>-2114578287</v>
      </c>
      <c r="Y21">
        <v>0.9</v>
      </c>
      <c r="AA21">
        <v>69199.95</v>
      </c>
      <c r="AB21">
        <v>0</v>
      </c>
      <c r="AC21">
        <v>0</v>
      </c>
      <c r="AD21">
        <v>0</v>
      </c>
      <c r="AE21">
        <v>11381.57</v>
      </c>
      <c r="AF21">
        <v>0</v>
      </c>
      <c r="AG21">
        <v>0</v>
      </c>
      <c r="AH21">
        <v>0</v>
      </c>
      <c r="AI21">
        <v>6.08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4</v>
      </c>
      <c r="AT21">
        <v>0.9</v>
      </c>
      <c r="AU21" t="s">
        <v>4</v>
      </c>
      <c r="AV21">
        <v>0</v>
      </c>
      <c r="AW21">
        <v>2</v>
      </c>
      <c r="AX21">
        <v>16501046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Y21*Source!I29</f>
        <v>0.35910000000000003</v>
      </c>
      <c r="CY21">
        <f>AA21</f>
        <v>69199.95</v>
      </c>
      <c r="CZ21">
        <f>AE21</f>
        <v>11381.57</v>
      </c>
      <c r="DA21">
        <f>AI21</f>
        <v>6.08</v>
      </c>
      <c r="DB21">
        <v>0</v>
      </c>
    </row>
    <row r="22" spans="1:106" x14ac:dyDescent="0.2">
      <c r="A22">
        <f>ROW(Source!A29)</f>
        <v>29</v>
      </c>
      <c r="B22">
        <v>16500997</v>
      </c>
      <c r="C22">
        <v>16501040</v>
      </c>
      <c r="D22">
        <v>15203485</v>
      </c>
      <c r="E22">
        <v>1</v>
      </c>
      <c r="F22">
        <v>1</v>
      </c>
      <c r="G22">
        <v>1</v>
      </c>
      <c r="H22">
        <v>3</v>
      </c>
      <c r="I22" t="s">
        <v>271</v>
      </c>
      <c r="J22" t="s">
        <v>272</v>
      </c>
      <c r="K22" t="s">
        <v>273</v>
      </c>
      <c r="L22">
        <v>1346</v>
      </c>
      <c r="N22">
        <v>1009</v>
      </c>
      <c r="O22" t="s">
        <v>274</v>
      </c>
      <c r="P22" t="s">
        <v>274</v>
      </c>
      <c r="Q22">
        <v>1</v>
      </c>
      <c r="W22">
        <v>0</v>
      </c>
      <c r="X22">
        <v>303141801</v>
      </c>
      <c r="Y22">
        <v>30</v>
      </c>
      <c r="AA22">
        <v>92.72</v>
      </c>
      <c r="AB22">
        <v>0</v>
      </c>
      <c r="AC22">
        <v>0</v>
      </c>
      <c r="AD22">
        <v>0</v>
      </c>
      <c r="AE22">
        <v>15.25</v>
      </c>
      <c r="AF22">
        <v>0</v>
      </c>
      <c r="AG22">
        <v>0</v>
      </c>
      <c r="AH22">
        <v>0</v>
      </c>
      <c r="AI22">
        <v>6.08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4</v>
      </c>
      <c r="AT22">
        <v>30</v>
      </c>
      <c r="AU22" t="s">
        <v>4</v>
      </c>
      <c r="AV22">
        <v>0</v>
      </c>
      <c r="AW22">
        <v>2</v>
      </c>
      <c r="AX22">
        <v>16501047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</f>
        <v>11.97</v>
      </c>
      <c r="CY22">
        <f>AA22</f>
        <v>92.72</v>
      </c>
      <c r="CZ22">
        <f>AE22</f>
        <v>15.25</v>
      </c>
      <c r="DA22">
        <f>AI22</f>
        <v>6.08</v>
      </c>
      <c r="DB22">
        <v>0</v>
      </c>
    </row>
    <row r="23" spans="1:106" x14ac:dyDescent="0.2">
      <c r="A23">
        <f>ROW(Source!A30)</f>
        <v>30</v>
      </c>
      <c r="B23">
        <v>16500983</v>
      </c>
      <c r="C23">
        <v>16501130</v>
      </c>
      <c r="D23">
        <v>15430767</v>
      </c>
      <c r="E23">
        <v>1</v>
      </c>
      <c r="F23">
        <v>1</v>
      </c>
      <c r="G23">
        <v>1</v>
      </c>
      <c r="H23">
        <v>1</v>
      </c>
      <c r="I23" t="s">
        <v>256</v>
      </c>
      <c r="J23" t="s">
        <v>4</v>
      </c>
      <c r="K23" t="s">
        <v>257</v>
      </c>
      <c r="L23">
        <v>1191</v>
      </c>
      <c r="N23">
        <v>1013</v>
      </c>
      <c r="O23" t="s">
        <v>249</v>
      </c>
      <c r="P23" t="s">
        <v>249</v>
      </c>
      <c r="Q23">
        <v>1</v>
      </c>
      <c r="W23">
        <v>0</v>
      </c>
      <c r="X23">
        <v>-400197608</v>
      </c>
      <c r="Y23">
        <v>13.914999999999999</v>
      </c>
      <c r="AA23">
        <v>0</v>
      </c>
      <c r="AB23">
        <v>0</v>
      </c>
      <c r="AC23">
        <v>0</v>
      </c>
      <c r="AD23">
        <v>8.5299999999999994</v>
      </c>
      <c r="AE23">
        <v>0</v>
      </c>
      <c r="AF23">
        <v>0</v>
      </c>
      <c r="AG23">
        <v>0</v>
      </c>
      <c r="AH23">
        <v>8.5299999999999994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4</v>
      </c>
      <c r="AT23">
        <v>2.42</v>
      </c>
      <c r="AU23" t="s">
        <v>42</v>
      </c>
      <c r="AV23">
        <v>1</v>
      </c>
      <c r="AW23">
        <v>2</v>
      </c>
      <c r="AX23">
        <v>16501131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5.5520849999999999</v>
      </c>
      <c r="CY23">
        <f>AD23</f>
        <v>8.5299999999999994</v>
      </c>
      <c r="CZ23">
        <f>AH23</f>
        <v>8.5299999999999994</v>
      </c>
      <c r="DA23">
        <f>AL23</f>
        <v>1</v>
      </c>
      <c r="DB23">
        <v>0</v>
      </c>
    </row>
    <row r="24" spans="1:106" x14ac:dyDescent="0.2">
      <c r="A24">
        <f>ROW(Source!A30)</f>
        <v>30</v>
      </c>
      <c r="B24">
        <v>16500983</v>
      </c>
      <c r="C24">
        <v>16501130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250</v>
      </c>
      <c r="J24" t="s">
        <v>4</v>
      </c>
      <c r="K24" t="s">
        <v>251</v>
      </c>
      <c r="L24">
        <v>1191</v>
      </c>
      <c r="N24">
        <v>1013</v>
      </c>
      <c r="O24" t="s">
        <v>249</v>
      </c>
      <c r="P24" t="s">
        <v>249</v>
      </c>
      <c r="Q24">
        <v>1</v>
      </c>
      <c r="W24">
        <v>0</v>
      </c>
      <c r="X24">
        <v>-1417349443</v>
      </c>
      <c r="Y24">
        <v>0.03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4</v>
      </c>
      <c r="AT24">
        <v>0.03</v>
      </c>
      <c r="AU24" t="s">
        <v>4</v>
      </c>
      <c r="AV24">
        <v>2</v>
      </c>
      <c r="AW24">
        <v>2</v>
      </c>
      <c r="AX24">
        <v>16501132</v>
      </c>
      <c r="AY24">
        <v>1</v>
      </c>
      <c r="AZ24">
        <v>2048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1.197E-2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ROW(Source!A30)</f>
        <v>30</v>
      </c>
      <c r="B25">
        <v>16500983</v>
      </c>
      <c r="C25">
        <v>16501130</v>
      </c>
      <c r="D25">
        <v>15247970</v>
      </c>
      <c r="E25">
        <v>1</v>
      </c>
      <c r="F25">
        <v>1</v>
      </c>
      <c r="G25">
        <v>1</v>
      </c>
      <c r="H25">
        <v>2</v>
      </c>
      <c r="I25" t="s">
        <v>258</v>
      </c>
      <c r="J25" t="s">
        <v>259</v>
      </c>
      <c r="K25" t="s">
        <v>260</v>
      </c>
      <c r="L25">
        <v>1368</v>
      </c>
      <c r="N25">
        <v>1011</v>
      </c>
      <c r="O25" t="s">
        <v>255</v>
      </c>
      <c r="P25" t="s">
        <v>255</v>
      </c>
      <c r="Q25">
        <v>1</v>
      </c>
      <c r="W25">
        <v>0</v>
      </c>
      <c r="X25">
        <v>368031958</v>
      </c>
      <c r="Y25">
        <v>0.125</v>
      </c>
      <c r="AA25">
        <v>0</v>
      </c>
      <c r="AB25">
        <v>27.66</v>
      </c>
      <c r="AC25">
        <v>11.6</v>
      </c>
      <c r="AD25">
        <v>0</v>
      </c>
      <c r="AE25">
        <v>0</v>
      </c>
      <c r="AF25">
        <v>27.66</v>
      </c>
      <c r="AG25">
        <v>11.6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4</v>
      </c>
      <c r="AT25">
        <v>0.02</v>
      </c>
      <c r="AU25" t="s">
        <v>41</v>
      </c>
      <c r="AV25">
        <v>0</v>
      </c>
      <c r="AW25">
        <v>2</v>
      </c>
      <c r="AX25">
        <v>16501133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4.9875000000000003E-2</v>
      </c>
      <c r="CY25">
        <f>AB25</f>
        <v>27.66</v>
      </c>
      <c r="CZ25">
        <f>AF25</f>
        <v>27.66</v>
      </c>
      <c r="DA25">
        <f>AJ25</f>
        <v>1</v>
      </c>
      <c r="DB25">
        <v>0</v>
      </c>
    </row>
    <row r="26" spans="1:106" x14ac:dyDescent="0.2">
      <c r="A26">
        <f>ROW(Source!A30)</f>
        <v>30</v>
      </c>
      <c r="B26">
        <v>16500983</v>
      </c>
      <c r="C26">
        <v>16501130</v>
      </c>
      <c r="D26">
        <v>15249073</v>
      </c>
      <c r="E26">
        <v>1</v>
      </c>
      <c r="F26">
        <v>1</v>
      </c>
      <c r="G26">
        <v>1</v>
      </c>
      <c r="H26">
        <v>2</v>
      </c>
      <c r="I26" t="s">
        <v>261</v>
      </c>
      <c r="J26" t="s">
        <v>262</v>
      </c>
      <c r="K26" t="s">
        <v>263</v>
      </c>
      <c r="L26">
        <v>1368</v>
      </c>
      <c r="N26">
        <v>1011</v>
      </c>
      <c r="O26" t="s">
        <v>255</v>
      </c>
      <c r="P26" t="s">
        <v>255</v>
      </c>
      <c r="Q26">
        <v>1</v>
      </c>
      <c r="W26">
        <v>0</v>
      </c>
      <c r="X26">
        <v>1372534845</v>
      </c>
      <c r="Y26">
        <v>6.25E-2</v>
      </c>
      <c r="AA26">
        <v>0</v>
      </c>
      <c r="AB26">
        <v>65.709999999999994</v>
      </c>
      <c r="AC26">
        <v>11.6</v>
      </c>
      <c r="AD26">
        <v>0</v>
      </c>
      <c r="AE26">
        <v>0</v>
      </c>
      <c r="AF26">
        <v>65.709999999999994</v>
      </c>
      <c r="AG26">
        <v>11.6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4</v>
      </c>
      <c r="AT26">
        <v>0.01</v>
      </c>
      <c r="AU26" t="s">
        <v>41</v>
      </c>
      <c r="AV26">
        <v>0</v>
      </c>
      <c r="AW26">
        <v>2</v>
      </c>
      <c r="AX26">
        <v>16501134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2.4937500000000001E-2</v>
      </c>
      <c r="CY26">
        <f>AB26</f>
        <v>65.709999999999994</v>
      </c>
      <c r="CZ26">
        <f>AF26</f>
        <v>65.709999999999994</v>
      </c>
      <c r="DA26">
        <f>AJ26</f>
        <v>1</v>
      </c>
      <c r="DB26">
        <v>0</v>
      </c>
    </row>
    <row r="27" spans="1:106" x14ac:dyDescent="0.2">
      <c r="A27">
        <f>ROW(Source!A30)</f>
        <v>30</v>
      </c>
      <c r="B27">
        <v>16500983</v>
      </c>
      <c r="C27">
        <v>16501130</v>
      </c>
      <c r="D27">
        <v>15167286</v>
      </c>
      <c r="E27">
        <v>1</v>
      </c>
      <c r="F27">
        <v>1</v>
      </c>
      <c r="G27">
        <v>1</v>
      </c>
      <c r="H27">
        <v>3</v>
      </c>
      <c r="I27" t="s">
        <v>264</v>
      </c>
      <c r="J27" t="s">
        <v>265</v>
      </c>
      <c r="K27" t="s">
        <v>266</v>
      </c>
      <c r="L27">
        <v>1339</v>
      </c>
      <c r="N27">
        <v>1007</v>
      </c>
      <c r="O27" t="s">
        <v>267</v>
      </c>
      <c r="P27" t="s">
        <v>267</v>
      </c>
      <c r="Q27">
        <v>1</v>
      </c>
      <c r="W27">
        <v>0</v>
      </c>
      <c r="X27">
        <v>-1660354250</v>
      </c>
      <c r="Y27">
        <v>0.15</v>
      </c>
      <c r="AA27">
        <v>2.44</v>
      </c>
      <c r="AB27">
        <v>0</v>
      </c>
      <c r="AC27">
        <v>0</v>
      </c>
      <c r="AD27">
        <v>0</v>
      </c>
      <c r="AE27">
        <v>2.44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4</v>
      </c>
      <c r="AT27">
        <v>0.03</v>
      </c>
      <c r="AU27" t="s">
        <v>40</v>
      </c>
      <c r="AV27">
        <v>0</v>
      </c>
      <c r="AW27">
        <v>2</v>
      </c>
      <c r="AX27">
        <v>16501135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5.985E-2</v>
      </c>
      <c r="CY27">
        <f>AA27</f>
        <v>2.44</v>
      </c>
      <c r="CZ27">
        <f>AE27</f>
        <v>2.44</v>
      </c>
      <c r="DA27">
        <f>AI27</f>
        <v>1</v>
      </c>
      <c r="DB27">
        <v>0</v>
      </c>
    </row>
    <row r="28" spans="1:106" x14ac:dyDescent="0.2">
      <c r="A28">
        <f>ROW(Source!A30)</f>
        <v>30</v>
      </c>
      <c r="B28">
        <v>16500983</v>
      </c>
      <c r="C28">
        <v>16501130</v>
      </c>
      <c r="D28">
        <v>15172906</v>
      </c>
      <c r="E28">
        <v>1</v>
      </c>
      <c r="F28">
        <v>1</v>
      </c>
      <c r="G28">
        <v>1</v>
      </c>
      <c r="H28">
        <v>3</v>
      </c>
      <c r="I28" t="s">
        <v>268</v>
      </c>
      <c r="J28" t="s">
        <v>269</v>
      </c>
      <c r="K28" t="s">
        <v>270</v>
      </c>
      <c r="L28">
        <v>1348</v>
      </c>
      <c r="N28">
        <v>1009</v>
      </c>
      <c r="O28" t="s">
        <v>58</v>
      </c>
      <c r="P28" t="s">
        <v>58</v>
      </c>
      <c r="Q28">
        <v>1000</v>
      </c>
      <c r="W28">
        <v>0</v>
      </c>
      <c r="X28">
        <v>-2114578287</v>
      </c>
      <c r="Y28">
        <v>0.89999999999999991</v>
      </c>
      <c r="AA28">
        <v>11381.57</v>
      </c>
      <c r="AB28">
        <v>0</v>
      </c>
      <c r="AC28">
        <v>0</v>
      </c>
      <c r="AD28">
        <v>0</v>
      </c>
      <c r="AE28">
        <v>11381.57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4</v>
      </c>
      <c r="AT28">
        <v>0.18</v>
      </c>
      <c r="AU28" t="s">
        <v>40</v>
      </c>
      <c r="AV28">
        <v>0</v>
      </c>
      <c r="AW28">
        <v>2</v>
      </c>
      <c r="AX28">
        <v>16501136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0.35909999999999997</v>
      </c>
      <c r="CY28">
        <f>AA28</f>
        <v>11381.57</v>
      </c>
      <c r="CZ28">
        <f>AE28</f>
        <v>11381.57</v>
      </c>
      <c r="DA28">
        <f>AI28</f>
        <v>1</v>
      </c>
      <c r="DB28">
        <v>0</v>
      </c>
    </row>
    <row r="29" spans="1:106" x14ac:dyDescent="0.2">
      <c r="A29">
        <f>ROW(Source!A31)</f>
        <v>31</v>
      </c>
      <c r="B29">
        <v>16500997</v>
      </c>
      <c r="C29">
        <v>16501130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256</v>
      </c>
      <c r="J29" t="s">
        <v>4</v>
      </c>
      <c r="K29" t="s">
        <v>257</v>
      </c>
      <c r="L29">
        <v>1191</v>
      </c>
      <c r="N29">
        <v>1013</v>
      </c>
      <c r="O29" t="s">
        <v>249</v>
      </c>
      <c r="P29" t="s">
        <v>249</v>
      </c>
      <c r="Q29">
        <v>1</v>
      </c>
      <c r="W29">
        <v>0</v>
      </c>
      <c r="X29">
        <v>-400197608</v>
      </c>
      <c r="Y29">
        <v>13.914999999999999</v>
      </c>
      <c r="AA29">
        <v>0</v>
      </c>
      <c r="AB29">
        <v>0</v>
      </c>
      <c r="AC29">
        <v>0</v>
      </c>
      <c r="AD29">
        <v>51.86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6.08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4</v>
      </c>
      <c r="AT29">
        <v>2.42</v>
      </c>
      <c r="AU29" t="s">
        <v>42</v>
      </c>
      <c r="AV29">
        <v>1</v>
      </c>
      <c r="AW29">
        <v>2</v>
      </c>
      <c r="AX29">
        <v>16501131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Y29*Source!I31</f>
        <v>5.5520849999999999</v>
      </c>
      <c r="CY29">
        <f>AD29</f>
        <v>51.86</v>
      </c>
      <c r="CZ29">
        <f>AH29</f>
        <v>8.5299999999999994</v>
      </c>
      <c r="DA29">
        <f>AL29</f>
        <v>6.08</v>
      </c>
      <c r="DB29">
        <v>0</v>
      </c>
    </row>
    <row r="30" spans="1:106" x14ac:dyDescent="0.2">
      <c r="A30">
        <f>ROW(Source!A31)</f>
        <v>31</v>
      </c>
      <c r="B30">
        <v>16500997</v>
      </c>
      <c r="C30">
        <v>16501130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250</v>
      </c>
      <c r="J30" t="s">
        <v>4</v>
      </c>
      <c r="K30" t="s">
        <v>251</v>
      </c>
      <c r="L30">
        <v>1191</v>
      </c>
      <c r="N30">
        <v>1013</v>
      </c>
      <c r="O30" t="s">
        <v>249</v>
      </c>
      <c r="P30" t="s">
        <v>249</v>
      </c>
      <c r="Q30">
        <v>1</v>
      </c>
      <c r="W30">
        <v>0</v>
      </c>
      <c r="X30">
        <v>-1417349443</v>
      </c>
      <c r="Y30">
        <v>0.03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6.08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4</v>
      </c>
      <c r="AT30">
        <v>0.03</v>
      </c>
      <c r="AU30" t="s">
        <v>4</v>
      </c>
      <c r="AV30">
        <v>2</v>
      </c>
      <c r="AW30">
        <v>2</v>
      </c>
      <c r="AX30">
        <v>16501132</v>
      </c>
      <c r="AY30">
        <v>1</v>
      </c>
      <c r="AZ30">
        <v>2048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Y30*Source!I31</f>
        <v>1.197E-2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">
      <c r="A31">
        <f>ROW(Source!A31)</f>
        <v>31</v>
      </c>
      <c r="B31">
        <v>16500997</v>
      </c>
      <c r="C31">
        <v>16501130</v>
      </c>
      <c r="D31">
        <v>15247970</v>
      </c>
      <c r="E31">
        <v>1</v>
      </c>
      <c r="F31">
        <v>1</v>
      </c>
      <c r="G31">
        <v>1</v>
      </c>
      <c r="H31">
        <v>2</v>
      </c>
      <c r="I31" t="s">
        <v>258</v>
      </c>
      <c r="J31" t="s">
        <v>259</v>
      </c>
      <c r="K31" t="s">
        <v>260</v>
      </c>
      <c r="L31">
        <v>1368</v>
      </c>
      <c r="N31">
        <v>1011</v>
      </c>
      <c r="O31" t="s">
        <v>255</v>
      </c>
      <c r="P31" t="s">
        <v>255</v>
      </c>
      <c r="Q31">
        <v>1</v>
      </c>
      <c r="W31">
        <v>0</v>
      </c>
      <c r="X31">
        <v>368031958</v>
      </c>
      <c r="Y31">
        <v>0.125</v>
      </c>
      <c r="AA31">
        <v>0</v>
      </c>
      <c r="AB31">
        <v>168.17</v>
      </c>
      <c r="AC31">
        <v>11.6</v>
      </c>
      <c r="AD31">
        <v>0</v>
      </c>
      <c r="AE31">
        <v>0</v>
      </c>
      <c r="AF31">
        <v>27.66</v>
      </c>
      <c r="AG31">
        <v>11.6</v>
      </c>
      <c r="AH31">
        <v>0</v>
      </c>
      <c r="AI31">
        <v>1</v>
      </c>
      <c r="AJ31">
        <v>6.08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4</v>
      </c>
      <c r="AT31">
        <v>0.02</v>
      </c>
      <c r="AU31" t="s">
        <v>41</v>
      </c>
      <c r="AV31">
        <v>0</v>
      </c>
      <c r="AW31">
        <v>2</v>
      </c>
      <c r="AX31">
        <v>16501133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Y31*Source!I31</f>
        <v>4.9875000000000003E-2</v>
      </c>
      <c r="CY31">
        <f>AB31</f>
        <v>168.17</v>
      </c>
      <c r="CZ31">
        <f>AF31</f>
        <v>27.66</v>
      </c>
      <c r="DA31">
        <f>AJ31</f>
        <v>6.08</v>
      </c>
      <c r="DB31">
        <v>0</v>
      </c>
    </row>
    <row r="32" spans="1:106" x14ac:dyDescent="0.2">
      <c r="A32">
        <f>ROW(Source!A31)</f>
        <v>31</v>
      </c>
      <c r="B32">
        <v>16500997</v>
      </c>
      <c r="C32">
        <v>16501130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261</v>
      </c>
      <c r="J32" t="s">
        <v>262</v>
      </c>
      <c r="K32" t="s">
        <v>263</v>
      </c>
      <c r="L32">
        <v>1368</v>
      </c>
      <c r="N32">
        <v>1011</v>
      </c>
      <c r="O32" t="s">
        <v>255</v>
      </c>
      <c r="P32" t="s">
        <v>255</v>
      </c>
      <c r="Q32">
        <v>1</v>
      </c>
      <c r="W32">
        <v>0</v>
      </c>
      <c r="X32">
        <v>1372534845</v>
      </c>
      <c r="Y32">
        <v>6.25E-2</v>
      </c>
      <c r="AA32">
        <v>0</v>
      </c>
      <c r="AB32">
        <v>399.52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6.08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4</v>
      </c>
      <c r="AT32">
        <v>0.01</v>
      </c>
      <c r="AU32" t="s">
        <v>41</v>
      </c>
      <c r="AV32">
        <v>0</v>
      </c>
      <c r="AW32">
        <v>2</v>
      </c>
      <c r="AX32">
        <v>16501134</v>
      </c>
      <c r="AY32">
        <v>1</v>
      </c>
      <c r="AZ32">
        <v>0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2.4937500000000001E-2</v>
      </c>
      <c r="CY32">
        <f>AB32</f>
        <v>399.52</v>
      </c>
      <c r="CZ32">
        <f>AF32</f>
        <v>65.709999999999994</v>
      </c>
      <c r="DA32">
        <f>AJ32</f>
        <v>6.08</v>
      </c>
      <c r="DB32">
        <v>0</v>
      </c>
    </row>
    <row r="33" spans="1:106" x14ac:dyDescent="0.2">
      <c r="A33">
        <f>ROW(Source!A31)</f>
        <v>31</v>
      </c>
      <c r="B33">
        <v>16500997</v>
      </c>
      <c r="C33">
        <v>16501130</v>
      </c>
      <c r="D33">
        <v>15167286</v>
      </c>
      <c r="E33">
        <v>1</v>
      </c>
      <c r="F33">
        <v>1</v>
      </c>
      <c r="G33">
        <v>1</v>
      </c>
      <c r="H33">
        <v>3</v>
      </c>
      <c r="I33" t="s">
        <v>264</v>
      </c>
      <c r="J33" t="s">
        <v>265</v>
      </c>
      <c r="K33" t="s">
        <v>266</v>
      </c>
      <c r="L33">
        <v>1339</v>
      </c>
      <c r="N33">
        <v>1007</v>
      </c>
      <c r="O33" t="s">
        <v>267</v>
      </c>
      <c r="P33" t="s">
        <v>267</v>
      </c>
      <c r="Q33">
        <v>1</v>
      </c>
      <c r="W33">
        <v>0</v>
      </c>
      <c r="X33">
        <v>-1660354250</v>
      </c>
      <c r="Y33">
        <v>0.15</v>
      </c>
      <c r="AA33">
        <v>14.84</v>
      </c>
      <c r="AB33">
        <v>0</v>
      </c>
      <c r="AC33">
        <v>0</v>
      </c>
      <c r="AD33">
        <v>0</v>
      </c>
      <c r="AE33">
        <v>2.44</v>
      </c>
      <c r="AF33">
        <v>0</v>
      </c>
      <c r="AG33">
        <v>0</v>
      </c>
      <c r="AH33">
        <v>0</v>
      </c>
      <c r="AI33">
        <v>6.08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4</v>
      </c>
      <c r="AT33">
        <v>0.03</v>
      </c>
      <c r="AU33" t="s">
        <v>40</v>
      </c>
      <c r="AV33">
        <v>0</v>
      </c>
      <c r="AW33">
        <v>2</v>
      </c>
      <c r="AX33">
        <v>16501135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5.985E-2</v>
      </c>
      <c r="CY33">
        <f>AA33</f>
        <v>14.84</v>
      </c>
      <c r="CZ33">
        <f>AE33</f>
        <v>2.44</v>
      </c>
      <c r="DA33">
        <f>AI33</f>
        <v>6.08</v>
      </c>
      <c r="DB33">
        <v>0</v>
      </c>
    </row>
    <row r="34" spans="1:106" x14ac:dyDescent="0.2">
      <c r="A34">
        <f>ROW(Source!A31)</f>
        <v>31</v>
      </c>
      <c r="B34">
        <v>16500997</v>
      </c>
      <c r="C34">
        <v>16501130</v>
      </c>
      <c r="D34">
        <v>15172906</v>
      </c>
      <c r="E34">
        <v>1</v>
      </c>
      <c r="F34">
        <v>1</v>
      </c>
      <c r="G34">
        <v>1</v>
      </c>
      <c r="H34">
        <v>3</v>
      </c>
      <c r="I34" t="s">
        <v>268</v>
      </c>
      <c r="J34" t="s">
        <v>269</v>
      </c>
      <c r="K34" t="s">
        <v>270</v>
      </c>
      <c r="L34">
        <v>1348</v>
      </c>
      <c r="N34">
        <v>1009</v>
      </c>
      <c r="O34" t="s">
        <v>58</v>
      </c>
      <c r="P34" t="s">
        <v>58</v>
      </c>
      <c r="Q34">
        <v>1000</v>
      </c>
      <c r="W34">
        <v>0</v>
      </c>
      <c r="X34">
        <v>-2114578287</v>
      </c>
      <c r="Y34">
        <v>0.89999999999999991</v>
      </c>
      <c r="AA34">
        <v>69199.95</v>
      </c>
      <c r="AB34">
        <v>0</v>
      </c>
      <c r="AC34">
        <v>0</v>
      </c>
      <c r="AD34">
        <v>0</v>
      </c>
      <c r="AE34">
        <v>11381.57</v>
      </c>
      <c r="AF34">
        <v>0</v>
      </c>
      <c r="AG34">
        <v>0</v>
      </c>
      <c r="AH34">
        <v>0</v>
      </c>
      <c r="AI34">
        <v>6.08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4</v>
      </c>
      <c r="AT34">
        <v>0.18</v>
      </c>
      <c r="AU34" t="s">
        <v>40</v>
      </c>
      <c r="AV34">
        <v>0</v>
      </c>
      <c r="AW34">
        <v>2</v>
      </c>
      <c r="AX34">
        <v>16501136</v>
      </c>
      <c r="AY34">
        <v>1</v>
      </c>
      <c r="AZ34">
        <v>0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0.35909999999999997</v>
      </c>
      <c r="CY34">
        <f>AA34</f>
        <v>69199.95</v>
      </c>
      <c r="CZ34">
        <f>AE34</f>
        <v>11381.57</v>
      </c>
      <c r="DA34">
        <f>AI34</f>
        <v>6.08</v>
      </c>
      <c r="DB34">
        <v>0</v>
      </c>
    </row>
    <row r="35" spans="1:106" x14ac:dyDescent="0.2">
      <c r="A35">
        <f>ROW(Source!A32)</f>
        <v>32</v>
      </c>
      <c r="B35">
        <v>16500983</v>
      </c>
      <c r="C35">
        <v>16501048</v>
      </c>
      <c r="D35">
        <v>15432356</v>
      </c>
      <c r="E35">
        <v>1</v>
      </c>
      <c r="F35">
        <v>1</v>
      </c>
      <c r="G35">
        <v>1</v>
      </c>
      <c r="H35">
        <v>1</v>
      </c>
      <c r="I35" t="s">
        <v>275</v>
      </c>
      <c r="J35" t="s">
        <v>4</v>
      </c>
      <c r="K35" t="s">
        <v>276</v>
      </c>
      <c r="L35">
        <v>1191</v>
      </c>
      <c r="N35">
        <v>1013</v>
      </c>
      <c r="O35" t="s">
        <v>249</v>
      </c>
      <c r="P35" t="s">
        <v>249</v>
      </c>
      <c r="Q35">
        <v>1</v>
      </c>
      <c r="W35">
        <v>0</v>
      </c>
      <c r="X35">
        <v>1850719656</v>
      </c>
      <c r="Y35">
        <v>48.76</v>
      </c>
      <c r="AA35">
        <v>0</v>
      </c>
      <c r="AB35">
        <v>0</v>
      </c>
      <c r="AC35">
        <v>0</v>
      </c>
      <c r="AD35">
        <v>8.31</v>
      </c>
      <c r="AE35">
        <v>0</v>
      </c>
      <c r="AF35">
        <v>0</v>
      </c>
      <c r="AG35">
        <v>0</v>
      </c>
      <c r="AH35">
        <v>8.31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4</v>
      </c>
      <c r="AT35">
        <v>42.4</v>
      </c>
      <c r="AU35" t="s">
        <v>30</v>
      </c>
      <c r="AV35">
        <v>1</v>
      </c>
      <c r="AW35">
        <v>2</v>
      </c>
      <c r="AX35">
        <v>16501049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Y35*Source!I32</f>
        <v>19.45524</v>
      </c>
      <c r="CY35">
        <f>AD35</f>
        <v>8.31</v>
      </c>
      <c r="CZ35">
        <f>AH35</f>
        <v>8.31</v>
      </c>
      <c r="DA35">
        <f>AL35</f>
        <v>1</v>
      </c>
      <c r="DB35">
        <v>0</v>
      </c>
    </row>
    <row r="36" spans="1:106" x14ac:dyDescent="0.2">
      <c r="A36">
        <f>ROW(Source!A32)</f>
        <v>32</v>
      </c>
      <c r="B36">
        <v>16500983</v>
      </c>
      <c r="C36">
        <v>16501048</v>
      </c>
      <c r="D36">
        <v>15430395</v>
      </c>
      <c r="E36">
        <v>1</v>
      </c>
      <c r="F36">
        <v>1</v>
      </c>
      <c r="G36">
        <v>1</v>
      </c>
      <c r="H36">
        <v>1</v>
      </c>
      <c r="I36" t="s">
        <v>250</v>
      </c>
      <c r="J36" t="s">
        <v>4</v>
      </c>
      <c r="K36" t="s">
        <v>251</v>
      </c>
      <c r="L36">
        <v>1191</v>
      </c>
      <c r="N36">
        <v>1013</v>
      </c>
      <c r="O36" t="s">
        <v>249</v>
      </c>
      <c r="P36" t="s">
        <v>249</v>
      </c>
      <c r="Q36">
        <v>1</v>
      </c>
      <c r="W36">
        <v>0</v>
      </c>
      <c r="X36">
        <v>-1417349443</v>
      </c>
      <c r="Y36">
        <v>0.85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4</v>
      </c>
      <c r="AT36">
        <v>0.85</v>
      </c>
      <c r="AU36" t="s">
        <v>4</v>
      </c>
      <c r="AV36">
        <v>2</v>
      </c>
      <c r="AW36">
        <v>2</v>
      </c>
      <c r="AX36">
        <v>16501050</v>
      </c>
      <c r="AY36">
        <v>1</v>
      </c>
      <c r="AZ36">
        <v>2048</v>
      </c>
      <c r="BA36">
        <v>40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0.33915000000000001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ROW(Source!A32)</f>
        <v>32</v>
      </c>
      <c r="B37">
        <v>16500983</v>
      </c>
      <c r="C37">
        <v>16501048</v>
      </c>
      <c r="D37">
        <v>15247974</v>
      </c>
      <c r="E37">
        <v>1</v>
      </c>
      <c r="F37">
        <v>1</v>
      </c>
      <c r="G37">
        <v>1</v>
      </c>
      <c r="H37">
        <v>2</v>
      </c>
      <c r="I37" t="s">
        <v>252</v>
      </c>
      <c r="J37" t="s">
        <v>253</v>
      </c>
      <c r="K37" t="s">
        <v>254</v>
      </c>
      <c r="L37">
        <v>1368</v>
      </c>
      <c r="N37">
        <v>1011</v>
      </c>
      <c r="O37" t="s">
        <v>255</v>
      </c>
      <c r="P37" t="s">
        <v>255</v>
      </c>
      <c r="Q37">
        <v>1</v>
      </c>
      <c r="W37">
        <v>0</v>
      </c>
      <c r="X37">
        <v>1188625873</v>
      </c>
      <c r="Y37">
        <v>0.4375</v>
      </c>
      <c r="AA37">
        <v>0</v>
      </c>
      <c r="AB37">
        <v>31.26</v>
      </c>
      <c r="AC37">
        <v>13.5</v>
      </c>
      <c r="AD37">
        <v>0</v>
      </c>
      <c r="AE37">
        <v>0</v>
      </c>
      <c r="AF37">
        <v>31.26</v>
      </c>
      <c r="AG37">
        <v>13.5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4</v>
      </c>
      <c r="AT37">
        <v>0.35</v>
      </c>
      <c r="AU37" t="s">
        <v>29</v>
      </c>
      <c r="AV37">
        <v>0</v>
      </c>
      <c r="AW37">
        <v>2</v>
      </c>
      <c r="AX37">
        <v>16501051</v>
      </c>
      <c r="AY37">
        <v>1</v>
      </c>
      <c r="AZ37">
        <v>0</v>
      </c>
      <c r="BA37">
        <v>41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0.17456250000000001</v>
      </c>
      <c r="CY37">
        <f>AB37</f>
        <v>31.26</v>
      </c>
      <c r="CZ37">
        <f>AF37</f>
        <v>31.26</v>
      </c>
      <c r="DA37">
        <f>AJ37</f>
        <v>1</v>
      </c>
      <c r="DB37">
        <v>0</v>
      </c>
    </row>
    <row r="38" spans="1:106" x14ac:dyDescent="0.2">
      <c r="A38">
        <f>ROW(Source!A32)</f>
        <v>32</v>
      </c>
      <c r="B38">
        <v>16500983</v>
      </c>
      <c r="C38">
        <v>16501048</v>
      </c>
      <c r="D38">
        <v>15249073</v>
      </c>
      <c r="E38">
        <v>1</v>
      </c>
      <c r="F38">
        <v>1</v>
      </c>
      <c r="G38">
        <v>1</v>
      </c>
      <c r="H38">
        <v>2</v>
      </c>
      <c r="I38" t="s">
        <v>261</v>
      </c>
      <c r="J38" t="s">
        <v>262</v>
      </c>
      <c r="K38" t="s">
        <v>263</v>
      </c>
      <c r="L38">
        <v>1368</v>
      </c>
      <c r="N38">
        <v>1011</v>
      </c>
      <c r="O38" t="s">
        <v>255</v>
      </c>
      <c r="P38" t="s">
        <v>255</v>
      </c>
      <c r="Q38">
        <v>1</v>
      </c>
      <c r="W38">
        <v>0</v>
      </c>
      <c r="X38">
        <v>1372534845</v>
      </c>
      <c r="Y38">
        <v>0.625</v>
      </c>
      <c r="AA38">
        <v>0</v>
      </c>
      <c r="AB38">
        <v>65.709999999999994</v>
      </c>
      <c r="AC38">
        <v>11.6</v>
      </c>
      <c r="AD38">
        <v>0</v>
      </c>
      <c r="AE38">
        <v>0</v>
      </c>
      <c r="AF38">
        <v>65.709999999999994</v>
      </c>
      <c r="AG38">
        <v>11.6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4</v>
      </c>
      <c r="AT38">
        <v>0.5</v>
      </c>
      <c r="AU38" t="s">
        <v>29</v>
      </c>
      <c r="AV38">
        <v>0</v>
      </c>
      <c r="AW38">
        <v>2</v>
      </c>
      <c r="AX38">
        <v>16501052</v>
      </c>
      <c r="AY38">
        <v>1</v>
      </c>
      <c r="AZ38">
        <v>0</v>
      </c>
      <c r="BA38">
        <v>42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Y38*Source!I32</f>
        <v>0.24937500000000001</v>
      </c>
      <c r="CY38">
        <f>AB38</f>
        <v>65.709999999999994</v>
      </c>
      <c r="CZ38">
        <f>AF38</f>
        <v>65.709999999999994</v>
      </c>
      <c r="DA38">
        <f>AJ38</f>
        <v>1</v>
      </c>
      <c r="DB38">
        <v>0</v>
      </c>
    </row>
    <row r="39" spans="1:106" x14ac:dyDescent="0.2">
      <c r="A39">
        <f>ROW(Source!A32)</f>
        <v>32</v>
      </c>
      <c r="B39">
        <v>16500983</v>
      </c>
      <c r="C39">
        <v>16501048</v>
      </c>
      <c r="D39">
        <v>15162736</v>
      </c>
      <c r="E39">
        <v>17</v>
      </c>
      <c r="F39">
        <v>1</v>
      </c>
      <c r="G39">
        <v>1</v>
      </c>
      <c r="H39">
        <v>3</v>
      </c>
      <c r="I39" t="s">
        <v>48</v>
      </c>
      <c r="J39" t="s">
        <v>4</v>
      </c>
      <c r="K39" t="s">
        <v>49</v>
      </c>
      <c r="L39">
        <v>1327</v>
      </c>
      <c r="N39">
        <v>1005</v>
      </c>
      <c r="O39" t="s">
        <v>50</v>
      </c>
      <c r="P39" t="s">
        <v>50</v>
      </c>
      <c r="Q39">
        <v>1</v>
      </c>
      <c r="W39">
        <v>0</v>
      </c>
      <c r="X39">
        <v>-919469713</v>
      </c>
      <c r="Y39">
        <v>102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4</v>
      </c>
      <c r="AT39">
        <v>102</v>
      </c>
      <c r="AU39" t="s">
        <v>4</v>
      </c>
      <c r="AV39">
        <v>0</v>
      </c>
      <c r="AW39">
        <v>2</v>
      </c>
      <c r="AX39">
        <v>16501053</v>
      </c>
      <c r="AY39">
        <v>1</v>
      </c>
      <c r="AZ39">
        <v>0</v>
      </c>
      <c r="BA39">
        <v>43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Y39*Source!I32</f>
        <v>40.698</v>
      </c>
      <c r="CY39">
        <f>AA39</f>
        <v>0</v>
      </c>
      <c r="CZ39">
        <f>AE39</f>
        <v>0</v>
      </c>
      <c r="DA39">
        <f>AI39</f>
        <v>1</v>
      </c>
      <c r="DB39">
        <v>0</v>
      </c>
    </row>
    <row r="40" spans="1:106" x14ac:dyDescent="0.2">
      <c r="A40">
        <f>ROW(Source!A32)</f>
        <v>32</v>
      </c>
      <c r="B40">
        <v>16500983</v>
      </c>
      <c r="C40">
        <v>16501048</v>
      </c>
      <c r="D40">
        <v>15167020</v>
      </c>
      <c r="E40">
        <v>1</v>
      </c>
      <c r="F40">
        <v>1</v>
      </c>
      <c r="G40">
        <v>1</v>
      </c>
      <c r="H40">
        <v>3</v>
      </c>
      <c r="I40" t="s">
        <v>52</v>
      </c>
      <c r="J40" t="s">
        <v>54</v>
      </c>
      <c r="K40" t="s">
        <v>53</v>
      </c>
      <c r="L40">
        <v>1327</v>
      </c>
      <c r="N40">
        <v>1005</v>
      </c>
      <c r="O40" t="s">
        <v>50</v>
      </c>
      <c r="P40" t="s">
        <v>50</v>
      </c>
      <c r="Q40">
        <v>1</v>
      </c>
      <c r="W40">
        <v>0</v>
      </c>
      <c r="X40">
        <v>630556909</v>
      </c>
      <c r="Y40">
        <v>102</v>
      </c>
      <c r="AA40">
        <v>71.47</v>
      </c>
      <c r="AB40">
        <v>0</v>
      </c>
      <c r="AC40">
        <v>0</v>
      </c>
      <c r="AD40">
        <v>0</v>
      </c>
      <c r="AE40">
        <v>71.47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4</v>
      </c>
      <c r="AT40">
        <v>102</v>
      </c>
      <c r="AU40" t="s">
        <v>4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4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Y40*Source!I32</f>
        <v>40.698</v>
      </c>
      <c r="CY40">
        <f>AA40</f>
        <v>71.47</v>
      </c>
      <c r="CZ40">
        <f>AE40</f>
        <v>71.47</v>
      </c>
      <c r="DA40">
        <f>AI40</f>
        <v>1</v>
      </c>
      <c r="DB40">
        <v>0</v>
      </c>
    </row>
    <row r="41" spans="1:106" x14ac:dyDescent="0.2">
      <c r="A41">
        <f>ROW(Source!A32)</f>
        <v>32</v>
      </c>
      <c r="B41">
        <v>16500983</v>
      </c>
      <c r="C41">
        <v>16501048</v>
      </c>
      <c r="D41">
        <v>15171018</v>
      </c>
      <c r="E41">
        <v>1</v>
      </c>
      <c r="F41">
        <v>1</v>
      </c>
      <c r="G41">
        <v>1</v>
      </c>
      <c r="H41">
        <v>3</v>
      </c>
      <c r="I41" t="s">
        <v>277</v>
      </c>
      <c r="J41" t="s">
        <v>278</v>
      </c>
      <c r="K41" t="s">
        <v>279</v>
      </c>
      <c r="L41">
        <v>1346</v>
      </c>
      <c r="N41">
        <v>1009</v>
      </c>
      <c r="O41" t="s">
        <v>274</v>
      </c>
      <c r="P41" t="s">
        <v>274</v>
      </c>
      <c r="Q41">
        <v>1</v>
      </c>
      <c r="W41">
        <v>0</v>
      </c>
      <c r="X41">
        <v>813963326</v>
      </c>
      <c r="Y41">
        <v>0.5</v>
      </c>
      <c r="AA41">
        <v>1.82</v>
      </c>
      <c r="AB41">
        <v>0</v>
      </c>
      <c r="AC41">
        <v>0</v>
      </c>
      <c r="AD41">
        <v>0</v>
      </c>
      <c r="AE41">
        <v>1.82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4</v>
      </c>
      <c r="AT41">
        <v>0.5</v>
      </c>
      <c r="AU41" t="s">
        <v>4</v>
      </c>
      <c r="AV41">
        <v>0</v>
      </c>
      <c r="AW41">
        <v>2</v>
      </c>
      <c r="AX41">
        <v>16501054</v>
      </c>
      <c r="AY41">
        <v>1</v>
      </c>
      <c r="AZ41">
        <v>0</v>
      </c>
      <c r="BA41">
        <v>44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Y41*Source!I32</f>
        <v>0.19950000000000001</v>
      </c>
      <c r="CY41">
        <f>AA41</f>
        <v>1.82</v>
      </c>
      <c r="CZ41">
        <f>AE41</f>
        <v>1.82</v>
      </c>
      <c r="DA41">
        <f>AI41</f>
        <v>1</v>
      </c>
      <c r="DB41">
        <v>0</v>
      </c>
    </row>
    <row r="42" spans="1:106" x14ac:dyDescent="0.2">
      <c r="A42">
        <f>ROW(Source!A32)</f>
        <v>32</v>
      </c>
      <c r="B42">
        <v>16500983</v>
      </c>
      <c r="C42">
        <v>16501048</v>
      </c>
      <c r="D42">
        <v>15202462</v>
      </c>
      <c r="E42">
        <v>1</v>
      </c>
      <c r="F42">
        <v>1</v>
      </c>
      <c r="G42">
        <v>1</v>
      </c>
      <c r="H42">
        <v>3</v>
      </c>
      <c r="I42" t="s">
        <v>56</v>
      </c>
      <c r="J42" t="s">
        <v>59</v>
      </c>
      <c r="K42" t="s">
        <v>57</v>
      </c>
      <c r="L42">
        <v>1348</v>
      </c>
      <c r="N42">
        <v>1009</v>
      </c>
      <c r="O42" t="s">
        <v>58</v>
      </c>
      <c r="P42" t="s">
        <v>58</v>
      </c>
      <c r="Q42">
        <v>1000</v>
      </c>
      <c r="W42">
        <v>0</v>
      </c>
      <c r="X42">
        <v>486476101</v>
      </c>
      <c r="Y42">
        <v>0.05</v>
      </c>
      <c r="AA42">
        <v>11300</v>
      </c>
      <c r="AB42">
        <v>0</v>
      </c>
      <c r="AC42">
        <v>0</v>
      </c>
      <c r="AD42">
        <v>0</v>
      </c>
      <c r="AE42">
        <v>11300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4</v>
      </c>
      <c r="AT42">
        <v>0.05</v>
      </c>
      <c r="AU42" t="s">
        <v>4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Y42*Source!I32</f>
        <v>1.9950000000000002E-2</v>
      </c>
      <c r="CY42">
        <f>AA42</f>
        <v>11300</v>
      </c>
      <c r="CZ42">
        <f>AE42</f>
        <v>11300</v>
      </c>
      <c r="DA42">
        <f>AI42</f>
        <v>1</v>
      </c>
      <c r="DB42">
        <v>0</v>
      </c>
    </row>
    <row r="43" spans="1:106" x14ac:dyDescent="0.2">
      <c r="A43">
        <f>ROW(Source!A33)</f>
        <v>33</v>
      </c>
      <c r="B43">
        <v>16500997</v>
      </c>
      <c r="C43">
        <v>16501048</v>
      </c>
      <c r="D43">
        <v>15432356</v>
      </c>
      <c r="E43">
        <v>1</v>
      </c>
      <c r="F43">
        <v>1</v>
      </c>
      <c r="G43">
        <v>1</v>
      </c>
      <c r="H43">
        <v>1</v>
      </c>
      <c r="I43" t="s">
        <v>275</v>
      </c>
      <c r="J43" t="s">
        <v>4</v>
      </c>
      <c r="K43" t="s">
        <v>276</v>
      </c>
      <c r="L43">
        <v>1191</v>
      </c>
      <c r="N43">
        <v>1013</v>
      </c>
      <c r="O43" t="s">
        <v>249</v>
      </c>
      <c r="P43" t="s">
        <v>249</v>
      </c>
      <c r="Q43">
        <v>1</v>
      </c>
      <c r="W43">
        <v>0</v>
      </c>
      <c r="X43">
        <v>1850719656</v>
      </c>
      <c r="Y43">
        <v>48.76</v>
      </c>
      <c r="AA43">
        <v>0</v>
      </c>
      <c r="AB43">
        <v>0</v>
      </c>
      <c r="AC43">
        <v>0</v>
      </c>
      <c r="AD43">
        <v>50.52</v>
      </c>
      <c r="AE43">
        <v>0</v>
      </c>
      <c r="AF43">
        <v>0</v>
      </c>
      <c r="AG43">
        <v>0</v>
      </c>
      <c r="AH43">
        <v>8.31</v>
      </c>
      <c r="AI43">
        <v>1</v>
      </c>
      <c r="AJ43">
        <v>1</v>
      </c>
      <c r="AK43">
        <v>1</v>
      </c>
      <c r="AL43">
        <v>6.08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4</v>
      </c>
      <c r="AT43">
        <v>42.4</v>
      </c>
      <c r="AU43" t="s">
        <v>30</v>
      </c>
      <c r="AV43">
        <v>1</v>
      </c>
      <c r="AW43">
        <v>2</v>
      </c>
      <c r="AX43">
        <v>16501049</v>
      </c>
      <c r="AY43">
        <v>1</v>
      </c>
      <c r="AZ43">
        <v>0</v>
      </c>
      <c r="BA43">
        <v>46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Y43*Source!I33</f>
        <v>19.45524</v>
      </c>
      <c r="CY43">
        <f>AD43</f>
        <v>50.52</v>
      </c>
      <c r="CZ43">
        <f>AH43</f>
        <v>8.31</v>
      </c>
      <c r="DA43">
        <f>AL43</f>
        <v>6.08</v>
      </c>
      <c r="DB43">
        <v>0</v>
      </c>
    </row>
    <row r="44" spans="1:106" x14ac:dyDescent="0.2">
      <c r="A44">
        <f>ROW(Source!A33)</f>
        <v>33</v>
      </c>
      <c r="B44">
        <v>16500997</v>
      </c>
      <c r="C44">
        <v>16501048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250</v>
      </c>
      <c r="J44" t="s">
        <v>4</v>
      </c>
      <c r="K44" t="s">
        <v>251</v>
      </c>
      <c r="L44">
        <v>1191</v>
      </c>
      <c r="N44">
        <v>1013</v>
      </c>
      <c r="O44" t="s">
        <v>249</v>
      </c>
      <c r="P44" t="s">
        <v>249</v>
      </c>
      <c r="Q44">
        <v>1</v>
      </c>
      <c r="W44">
        <v>0</v>
      </c>
      <c r="X44">
        <v>-1417349443</v>
      </c>
      <c r="Y44">
        <v>0.85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6.08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4</v>
      </c>
      <c r="AT44">
        <v>0.85</v>
      </c>
      <c r="AU44" t="s">
        <v>4</v>
      </c>
      <c r="AV44">
        <v>2</v>
      </c>
      <c r="AW44">
        <v>2</v>
      </c>
      <c r="AX44">
        <v>16501050</v>
      </c>
      <c r="AY44">
        <v>1</v>
      </c>
      <c r="AZ44">
        <v>2048</v>
      </c>
      <c r="BA44">
        <v>47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Y44*Source!I33</f>
        <v>0.33915000000000001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ROW(Source!A33)</f>
        <v>33</v>
      </c>
      <c r="B45">
        <v>16500997</v>
      </c>
      <c r="C45">
        <v>16501048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252</v>
      </c>
      <c r="J45" t="s">
        <v>253</v>
      </c>
      <c r="K45" t="s">
        <v>254</v>
      </c>
      <c r="L45">
        <v>1368</v>
      </c>
      <c r="N45">
        <v>1011</v>
      </c>
      <c r="O45" t="s">
        <v>255</v>
      </c>
      <c r="P45" t="s">
        <v>255</v>
      </c>
      <c r="Q45">
        <v>1</v>
      </c>
      <c r="W45">
        <v>0</v>
      </c>
      <c r="X45">
        <v>1188625873</v>
      </c>
      <c r="Y45">
        <v>0.4375</v>
      </c>
      <c r="AA45">
        <v>0</v>
      </c>
      <c r="AB45">
        <v>190.06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6.08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4</v>
      </c>
      <c r="AT45">
        <v>0.35</v>
      </c>
      <c r="AU45" t="s">
        <v>29</v>
      </c>
      <c r="AV45">
        <v>0</v>
      </c>
      <c r="AW45">
        <v>2</v>
      </c>
      <c r="AX45">
        <v>16501051</v>
      </c>
      <c r="AY45">
        <v>1</v>
      </c>
      <c r="AZ45">
        <v>0</v>
      </c>
      <c r="BA45">
        <v>48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Y45*Source!I33</f>
        <v>0.17456250000000001</v>
      </c>
      <c r="CY45">
        <f>AB45</f>
        <v>190.06</v>
      </c>
      <c r="CZ45">
        <f>AF45</f>
        <v>31.26</v>
      </c>
      <c r="DA45">
        <f>AJ45</f>
        <v>6.08</v>
      </c>
      <c r="DB45">
        <v>0</v>
      </c>
    </row>
    <row r="46" spans="1:106" x14ac:dyDescent="0.2">
      <c r="A46">
        <f>ROW(Source!A33)</f>
        <v>33</v>
      </c>
      <c r="B46">
        <v>16500997</v>
      </c>
      <c r="C46">
        <v>16501048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261</v>
      </c>
      <c r="J46" t="s">
        <v>262</v>
      </c>
      <c r="K46" t="s">
        <v>263</v>
      </c>
      <c r="L46">
        <v>1368</v>
      </c>
      <c r="N46">
        <v>1011</v>
      </c>
      <c r="O46" t="s">
        <v>255</v>
      </c>
      <c r="P46" t="s">
        <v>255</v>
      </c>
      <c r="Q46">
        <v>1</v>
      </c>
      <c r="W46">
        <v>0</v>
      </c>
      <c r="X46">
        <v>1372534845</v>
      </c>
      <c r="Y46">
        <v>0.625</v>
      </c>
      <c r="AA46">
        <v>0</v>
      </c>
      <c r="AB46">
        <v>399.52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6.08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4</v>
      </c>
      <c r="AT46">
        <v>0.5</v>
      </c>
      <c r="AU46" t="s">
        <v>29</v>
      </c>
      <c r="AV46">
        <v>0</v>
      </c>
      <c r="AW46">
        <v>2</v>
      </c>
      <c r="AX46">
        <v>16501052</v>
      </c>
      <c r="AY46">
        <v>1</v>
      </c>
      <c r="AZ46">
        <v>0</v>
      </c>
      <c r="BA46">
        <v>49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Y46*Source!I33</f>
        <v>0.24937500000000001</v>
      </c>
      <c r="CY46">
        <f>AB46</f>
        <v>399.52</v>
      </c>
      <c r="CZ46">
        <f>AF46</f>
        <v>65.709999999999994</v>
      </c>
      <c r="DA46">
        <f>AJ46</f>
        <v>6.08</v>
      </c>
      <c r="DB46">
        <v>0</v>
      </c>
    </row>
    <row r="47" spans="1:106" x14ac:dyDescent="0.2">
      <c r="A47">
        <f>ROW(Source!A33)</f>
        <v>33</v>
      </c>
      <c r="B47">
        <v>16500997</v>
      </c>
      <c r="C47">
        <v>16501048</v>
      </c>
      <c r="D47">
        <v>15162736</v>
      </c>
      <c r="E47">
        <v>17</v>
      </c>
      <c r="F47">
        <v>1</v>
      </c>
      <c r="G47">
        <v>1</v>
      </c>
      <c r="H47">
        <v>3</v>
      </c>
      <c r="I47" t="s">
        <v>48</v>
      </c>
      <c r="J47" t="s">
        <v>4</v>
      </c>
      <c r="K47" t="s">
        <v>49</v>
      </c>
      <c r="L47">
        <v>1327</v>
      </c>
      <c r="N47">
        <v>1005</v>
      </c>
      <c r="O47" t="s">
        <v>50</v>
      </c>
      <c r="P47" t="s">
        <v>50</v>
      </c>
      <c r="Q47">
        <v>1</v>
      </c>
      <c r="W47">
        <v>0</v>
      </c>
      <c r="X47">
        <v>-919469713</v>
      </c>
      <c r="Y47">
        <v>102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4</v>
      </c>
      <c r="AT47">
        <v>102</v>
      </c>
      <c r="AU47" t="s">
        <v>4</v>
      </c>
      <c r="AV47">
        <v>0</v>
      </c>
      <c r="AW47">
        <v>2</v>
      </c>
      <c r="AX47">
        <v>16501053</v>
      </c>
      <c r="AY47">
        <v>1</v>
      </c>
      <c r="AZ47">
        <v>0</v>
      </c>
      <c r="BA47">
        <v>50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Y47*Source!I33</f>
        <v>40.698</v>
      </c>
      <c r="CY47">
        <f>AA47</f>
        <v>0</v>
      </c>
      <c r="CZ47">
        <f>AE47</f>
        <v>0</v>
      </c>
      <c r="DA47">
        <f>AI47</f>
        <v>6.08</v>
      </c>
      <c r="DB47">
        <v>0</v>
      </c>
    </row>
    <row r="48" spans="1:106" x14ac:dyDescent="0.2">
      <c r="A48">
        <f>ROW(Source!A33)</f>
        <v>33</v>
      </c>
      <c r="B48">
        <v>16500997</v>
      </c>
      <c r="C48">
        <v>16501048</v>
      </c>
      <c r="D48">
        <v>15167020</v>
      </c>
      <c r="E48">
        <v>1</v>
      </c>
      <c r="F48">
        <v>1</v>
      </c>
      <c r="G48">
        <v>1</v>
      </c>
      <c r="H48">
        <v>3</v>
      </c>
      <c r="I48" t="s">
        <v>52</v>
      </c>
      <c r="J48" t="s">
        <v>54</v>
      </c>
      <c r="K48" t="s">
        <v>53</v>
      </c>
      <c r="L48">
        <v>1327</v>
      </c>
      <c r="N48">
        <v>1005</v>
      </c>
      <c r="O48" t="s">
        <v>50</v>
      </c>
      <c r="P48" t="s">
        <v>50</v>
      </c>
      <c r="Q48">
        <v>1</v>
      </c>
      <c r="W48">
        <v>0</v>
      </c>
      <c r="X48">
        <v>630556909</v>
      </c>
      <c r="Y48">
        <v>102</v>
      </c>
      <c r="AA48">
        <v>434.54</v>
      </c>
      <c r="AB48">
        <v>0</v>
      </c>
      <c r="AC48">
        <v>0</v>
      </c>
      <c r="AD48">
        <v>0</v>
      </c>
      <c r="AE48">
        <v>71.47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4</v>
      </c>
      <c r="AT48">
        <v>102</v>
      </c>
      <c r="AU48" t="s">
        <v>4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Y48*Source!I33</f>
        <v>40.698</v>
      </c>
      <c r="CY48">
        <f>AA48</f>
        <v>434.54</v>
      </c>
      <c r="CZ48">
        <f>AE48</f>
        <v>71.47</v>
      </c>
      <c r="DA48">
        <f>AI48</f>
        <v>6.08</v>
      </c>
      <c r="DB48">
        <v>0</v>
      </c>
    </row>
    <row r="49" spans="1:106" x14ac:dyDescent="0.2">
      <c r="A49">
        <f>ROW(Source!A33)</f>
        <v>33</v>
      </c>
      <c r="B49">
        <v>16500997</v>
      </c>
      <c r="C49">
        <v>16501048</v>
      </c>
      <c r="D49">
        <v>15171018</v>
      </c>
      <c r="E49">
        <v>1</v>
      </c>
      <c r="F49">
        <v>1</v>
      </c>
      <c r="G49">
        <v>1</v>
      </c>
      <c r="H49">
        <v>3</v>
      </c>
      <c r="I49" t="s">
        <v>277</v>
      </c>
      <c r="J49" t="s">
        <v>278</v>
      </c>
      <c r="K49" t="s">
        <v>279</v>
      </c>
      <c r="L49">
        <v>1346</v>
      </c>
      <c r="N49">
        <v>1009</v>
      </c>
      <c r="O49" t="s">
        <v>274</v>
      </c>
      <c r="P49" t="s">
        <v>274</v>
      </c>
      <c r="Q49">
        <v>1</v>
      </c>
      <c r="W49">
        <v>0</v>
      </c>
      <c r="X49">
        <v>813963326</v>
      </c>
      <c r="Y49">
        <v>0.5</v>
      </c>
      <c r="AA49">
        <v>11.07</v>
      </c>
      <c r="AB49">
        <v>0</v>
      </c>
      <c r="AC49">
        <v>0</v>
      </c>
      <c r="AD49">
        <v>0</v>
      </c>
      <c r="AE49">
        <v>1.82</v>
      </c>
      <c r="AF49">
        <v>0</v>
      </c>
      <c r="AG49">
        <v>0</v>
      </c>
      <c r="AH49">
        <v>0</v>
      </c>
      <c r="AI49">
        <v>6.08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4</v>
      </c>
      <c r="AT49">
        <v>0.5</v>
      </c>
      <c r="AU49" t="s">
        <v>4</v>
      </c>
      <c r="AV49">
        <v>0</v>
      </c>
      <c r="AW49">
        <v>2</v>
      </c>
      <c r="AX49">
        <v>16501054</v>
      </c>
      <c r="AY49">
        <v>1</v>
      </c>
      <c r="AZ49">
        <v>0</v>
      </c>
      <c r="BA49">
        <v>51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Y49*Source!I33</f>
        <v>0.19950000000000001</v>
      </c>
      <c r="CY49">
        <f>AA49</f>
        <v>11.07</v>
      </c>
      <c r="CZ49">
        <f>AE49</f>
        <v>1.82</v>
      </c>
      <c r="DA49">
        <f>AI49</f>
        <v>6.08</v>
      </c>
      <c r="DB49">
        <v>0</v>
      </c>
    </row>
    <row r="50" spans="1:106" x14ac:dyDescent="0.2">
      <c r="A50">
        <f>ROW(Source!A33)</f>
        <v>33</v>
      </c>
      <c r="B50">
        <v>16500997</v>
      </c>
      <c r="C50">
        <v>16501048</v>
      </c>
      <c r="D50">
        <v>15202462</v>
      </c>
      <c r="E50">
        <v>1</v>
      </c>
      <c r="F50">
        <v>1</v>
      </c>
      <c r="G50">
        <v>1</v>
      </c>
      <c r="H50">
        <v>3</v>
      </c>
      <c r="I50" t="s">
        <v>56</v>
      </c>
      <c r="J50" t="s">
        <v>59</v>
      </c>
      <c r="K50" t="s">
        <v>57</v>
      </c>
      <c r="L50">
        <v>1348</v>
      </c>
      <c r="N50">
        <v>1009</v>
      </c>
      <c r="O50" t="s">
        <v>58</v>
      </c>
      <c r="P50" t="s">
        <v>58</v>
      </c>
      <c r="Q50">
        <v>1000</v>
      </c>
      <c r="W50">
        <v>0</v>
      </c>
      <c r="X50">
        <v>486476101</v>
      </c>
      <c r="Y50">
        <v>0.05</v>
      </c>
      <c r="AA50">
        <v>68704</v>
      </c>
      <c r="AB50">
        <v>0</v>
      </c>
      <c r="AC50">
        <v>0</v>
      </c>
      <c r="AD50">
        <v>0</v>
      </c>
      <c r="AE50">
        <v>11300</v>
      </c>
      <c r="AF50">
        <v>0</v>
      </c>
      <c r="AG50">
        <v>0</v>
      </c>
      <c r="AH50">
        <v>0</v>
      </c>
      <c r="AI50">
        <v>6.08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4</v>
      </c>
      <c r="AT50">
        <v>0.05</v>
      </c>
      <c r="AU50" t="s">
        <v>4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Y50*Source!I33</f>
        <v>1.9950000000000002E-2</v>
      </c>
      <c r="CY50">
        <f>AA50</f>
        <v>68704</v>
      </c>
      <c r="CZ50">
        <f>AE50</f>
        <v>11300</v>
      </c>
      <c r="DA50">
        <f>AI50</f>
        <v>6.08</v>
      </c>
      <c r="DB50">
        <v>0</v>
      </c>
    </row>
    <row r="51" spans="1:106" x14ac:dyDescent="0.2">
      <c r="A51">
        <f>ROW(Source!A40)</f>
        <v>40</v>
      </c>
      <c r="B51">
        <v>16500983</v>
      </c>
      <c r="C51">
        <v>16501058</v>
      </c>
      <c r="D51">
        <v>15438286</v>
      </c>
      <c r="E51">
        <v>1</v>
      </c>
      <c r="F51">
        <v>1</v>
      </c>
      <c r="G51">
        <v>1</v>
      </c>
      <c r="H51">
        <v>1</v>
      </c>
      <c r="I51" t="s">
        <v>280</v>
      </c>
      <c r="J51" t="s">
        <v>4</v>
      </c>
      <c r="K51" t="s">
        <v>281</v>
      </c>
      <c r="L51">
        <v>1191</v>
      </c>
      <c r="N51">
        <v>1013</v>
      </c>
      <c r="O51" t="s">
        <v>249</v>
      </c>
      <c r="P51" t="s">
        <v>249</v>
      </c>
      <c r="Q51">
        <v>1</v>
      </c>
      <c r="W51">
        <v>0</v>
      </c>
      <c r="X51">
        <v>-1027537862</v>
      </c>
      <c r="Y51">
        <v>7.6819999999999995</v>
      </c>
      <c r="AA51">
        <v>0</v>
      </c>
      <c r="AB51">
        <v>0</v>
      </c>
      <c r="AC51">
        <v>0</v>
      </c>
      <c r="AD51">
        <v>9.18</v>
      </c>
      <c r="AE51">
        <v>0</v>
      </c>
      <c r="AF51">
        <v>0</v>
      </c>
      <c r="AG51">
        <v>0</v>
      </c>
      <c r="AH51">
        <v>9.18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4</v>
      </c>
      <c r="AT51">
        <v>6.68</v>
      </c>
      <c r="AU51" t="s">
        <v>30</v>
      </c>
      <c r="AV51">
        <v>1</v>
      </c>
      <c r="AW51">
        <v>2</v>
      </c>
      <c r="AX51">
        <v>16501059</v>
      </c>
      <c r="AY51">
        <v>1</v>
      </c>
      <c r="AZ51">
        <v>0</v>
      </c>
      <c r="BA51">
        <v>53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Y51*Source!I40</f>
        <v>1.8436799999999998</v>
      </c>
      <c r="CY51">
        <f>AD51</f>
        <v>9.18</v>
      </c>
      <c r="CZ51">
        <f>AH51</f>
        <v>9.18</v>
      </c>
      <c r="DA51">
        <f>AL51</f>
        <v>1</v>
      </c>
      <c r="DB51">
        <v>0</v>
      </c>
    </row>
    <row r="52" spans="1:106" x14ac:dyDescent="0.2">
      <c r="A52">
        <f>ROW(Source!A40)</f>
        <v>40</v>
      </c>
      <c r="B52">
        <v>16500983</v>
      </c>
      <c r="C52">
        <v>16501058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250</v>
      </c>
      <c r="J52" t="s">
        <v>4</v>
      </c>
      <c r="K52" t="s">
        <v>251</v>
      </c>
      <c r="L52">
        <v>1191</v>
      </c>
      <c r="N52">
        <v>1013</v>
      </c>
      <c r="O52" t="s">
        <v>249</v>
      </c>
      <c r="P52" t="s">
        <v>249</v>
      </c>
      <c r="Q52">
        <v>1</v>
      </c>
      <c r="W52">
        <v>0</v>
      </c>
      <c r="X52">
        <v>-1417349443</v>
      </c>
      <c r="Y52">
        <v>0.04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4</v>
      </c>
      <c r="AT52">
        <v>0.04</v>
      </c>
      <c r="AU52" t="s">
        <v>4</v>
      </c>
      <c r="AV52">
        <v>2</v>
      </c>
      <c r="AW52">
        <v>2</v>
      </c>
      <c r="AX52">
        <v>16501060</v>
      </c>
      <c r="AY52">
        <v>1</v>
      </c>
      <c r="AZ52">
        <v>2048</v>
      </c>
      <c r="BA52">
        <v>54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Y52*Source!I40</f>
        <v>9.5999999999999992E-3</v>
      </c>
      <c r="CY52">
        <f>AD52</f>
        <v>0</v>
      </c>
      <c r="CZ52">
        <f>AH52</f>
        <v>0</v>
      </c>
      <c r="DA52">
        <f>AL52</f>
        <v>1</v>
      </c>
      <c r="DB52">
        <v>0</v>
      </c>
    </row>
    <row r="53" spans="1:106" x14ac:dyDescent="0.2">
      <c r="A53">
        <f>ROW(Source!A40)</f>
        <v>40</v>
      </c>
      <c r="B53">
        <v>16500983</v>
      </c>
      <c r="C53">
        <v>16501058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252</v>
      </c>
      <c r="J53" t="s">
        <v>253</v>
      </c>
      <c r="K53" t="s">
        <v>254</v>
      </c>
      <c r="L53">
        <v>1368</v>
      </c>
      <c r="N53">
        <v>1011</v>
      </c>
      <c r="O53" t="s">
        <v>255</v>
      </c>
      <c r="P53" t="s">
        <v>255</v>
      </c>
      <c r="Q53">
        <v>1</v>
      </c>
      <c r="W53">
        <v>0</v>
      </c>
      <c r="X53">
        <v>1188625873</v>
      </c>
      <c r="Y53">
        <v>6.2500000000000003E-3</v>
      </c>
      <c r="AA53">
        <v>0</v>
      </c>
      <c r="AB53">
        <v>31.26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4</v>
      </c>
      <c r="AT53">
        <v>5.0000000000000001E-3</v>
      </c>
      <c r="AU53" t="s">
        <v>29</v>
      </c>
      <c r="AV53">
        <v>0</v>
      </c>
      <c r="AW53">
        <v>2</v>
      </c>
      <c r="AX53">
        <v>16501061</v>
      </c>
      <c r="AY53">
        <v>1</v>
      </c>
      <c r="AZ53">
        <v>0</v>
      </c>
      <c r="BA53">
        <v>55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Y53*Source!I40</f>
        <v>1.5E-3</v>
      </c>
      <c r="CY53">
        <f>AB53</f>
        <v>31.26</v>
      </c>
      <c r="CZ53">
        <f>AF53</f>
        <v>31.26</v>
      </c>
      <c r="DA53">
        <f>AJ53</f>
        <v>1</v>
      </c>
      <c r="DB53">
        <v>0</v>
      </c>
    </row>
    <row r="54" spans="1:106" x14ac:dyDescent="0.2">
      <c r="A54">
        <f>ROW(Source!A40)</f>
        <v>40</v>
      </c>
      <c r="B54">
        <v>16500983</v>
      </c>
      <c r="C54">
        <v>16501058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261</v>
      </c>
      <c r="J54" t="s">
        <v>262</v>
      </c>
      <c r="K54" t="s">
        <v>263</v>
      </c>
      <c r="L54">
        <v>1368</v>
      </c>
      <c r="N54">
        <v>1011</v>
      </c>
      <c r="O54" t="s">
        <v>255</v>
      </c>
      <c r="P54" t="s">
        <v>255</v>
      </c>
      <c r="Q54">
        <v>1</v>
      </c>
      <c r="W54">
        <v>0</v>
      </c>
      <c r="X54">
        <v>1372534845</v>
      </c>
      <c r="Y54">
        <v>3.7499999999999999E-2</v>
      </c>
      <c r="AA54">
        <v>0</v>
      </c>
      <c r="AB54">
        <v>65.709999999999994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4</v>
      </c>
      <c r="AT54">
        <v>0.03</v>
      </c>
      <c r="AU54" t="s">
        <v>29</v>
      </c>
      <c r="AV54">
        <v>0</v>
      </c>
      <c r="AW54">
        <v>2</v>
      </c>
      <c r="AX54">
        <v>16501062</v>
      </c>
      <c r="AY54">
        <v>1</v>
      </c>
      <c r="AZ54">
        <v>0</v>
      </c>
      <c r="BA54">
        <v>56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Y54*Source!I40</f>
        <v>8.9999999999999993E-3</v>
      </c>
      <c r="CY54">
        <f>AB54</f>
        <v>65.709999999999994</v>
      </c>
      <c r="CZ54">
        <f>AF54</f>
        <v>65.709999999999994</v>
      </c>
      <c r="DA54">
        <f>AJ54</f>
        <v>1</v>
      </c>
      <c r="DB54">
        <v>0</v>
      </c>
    </row>
    <row r="55" spans="1:106" x14ac:dyDescent="0.2">
      <c r="A55">
        <f>ROW(Source!A40)</f>
        <v>40</v>
      </c>
      <c r="B55">
        <v>16500983</v>
      </c>
      <c r="C55">
        <v>16501058</v>
      </c>
      <c r="D55">
        <v>15169972</v>
      </c>
      <c r="E55">
        <v>1</v>
      </c>
      <c r="F55">
        <v>1</v>
      </c>
      <c r="G55">
        <v>1</v>
      </c>
      <c r="H55">
        <v>3</v>
      </c>
      <c r="I55" t="s">
        <v>282</v>
      </c>
      <c r="J55" t="s">
        <v>283</v>
      </c>
      <c r="K55" t="s">
        <v>284</v>
      </c>
      <c r="L55">
        <v>1355</v>
      </c>
      <c r="N55">
        <v>1010</v>
      </c>
      <c r="O55" t="s">
        <v>67</v>
      </c>
      <c r="P55" t="s">
        <v>67</v>
      </c>
      <c r="Q55">
        <v>100</v>
      </c>
      <c r="W55">
        <v>0</v>
      </c>
      <c r="X55">
        <v>-725528132</v>
      </c>
      <c r="Y55">
        <v>2.63</v>
      </c>
      <c r="AA55">
        <v>12</v>
      </c>
      <c r="AB55">
        <v>0</v>
      </c>
      <c r="AC55">
        <v>0</v>
      </c>
      <c r="AD55">
        <v>0</v>
      </c>
      <c r="AE55">
        <v>12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4</v>
      </c>
      <c r="AT55">
        <v>2.63</v>
      </c>
      <c r="AU55" t="s">
        <v>4</v>
      </c>
      <c r="AV55">
        <v>0</v>
      </c>
      <c r="AW55">
        <v>2</v>
      </c>
      <c r="AX55">
        <v>16501063</v>
      </c>
      <c r="AY55">
        <v>1</v>
      </c>
      <c r="AZ55">
        <v>0</v>
      </c>
      <c r="BA55">
        <v>57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0.63119999999999998</v>
      </c>
      <c r="CY55">
        <f t="shared" ref="CY55:CY62" si="0">AA55</f>
        <v>12</v>
      </c>
      <c r="CZ55">
        <f t="shared" ref="CZ55:CZ62" si="1">AE55</f>
        <v>12</v>
      </c>
      <c r="DA55">
        <f t="shared" ref="DA55:DA62" si="2">AI55</f>
        <v>1</v>
      </c>
      <c r="DB55">
        <v>0</v>
      </c>
    </row>
    <row r="56" spans="1:106" x14ac:dyDescent="0.2">
      <c r="A56">
        <f>ROW(Source!A40)</f>
        <v>40</v>
      </c>
      <c r="B56">
        <v>16500983</v>
      </c>
      <c r="C56">
        <v>16501058</v>
      </c>
      <c r="D56">
        <v>15170075</v>
      </c>
      <c r="E56">
        <v>1</v>
      </c>
      <c r="F56">
        <v>1</v>
      </c>
      <c r="G56">
        <v>1</v>
      </c>
      <c r="H56">
        <v>3</v>
      </c>
      <c r="I56" t="s">
        <v>285</v>
      </c>
      <c r="J56" t="s">
        <v>286</v>
      </c>
      <c r="K56" t="s">
        <v>287</v>
      </c>
      <c r="L56">
        <v>1356</v>
      </c>
      <c r="N56">
        <v>1010</v>
      </c>
      <c r="O56" t="s">
        <v>288</v>
      </c>
      <c r="P56" t="s">
        <v>288</v>
      </c>
      <c r="Q56">
        <v>1000</v>
      </c>
      <c r="W56">
        <v>0</v>
      </c>
      <c r="X56">
        <v>1130533903</v>
      </c>
      <c r="Y56">
        <v>0.26300000000000001</v>
      </c>
      <c r="AA56">
        <v>160</v>
      </c>
      <c r="AB56">
        <v>0</v>
      </c>
      <c r="AC56">
        <v>0</v>
      </c>
      <c r="AD56">
        <v>0</v>
      </c>
      <c r="AE56">
        <v>160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4</v>
      </c>
      <c r="AT56">
        <v>0.26300000000000001</v>
      </c>
      <c r="AU56" t="s">
        <v>4</v>
      </c>
      <c r="AV56">
        <v>0</v>
      </c>
      <c r="AW56">
        <v>2</v>
      </c>
      <c r="AX56">
        <v>16501064</v>
      </c>
      <c r="AY56">
        <v>1</v>
      </c>
      <c r="AZ56">
        <v>0</v>
      </c>
      <c r="BA56">
        <v>58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Y56*Source!I40</f>
        <v>6.3119999999999996E-2</v>
      </c>
      <c r="CY56">
        <f t="shared" si="0"/>
        <v>160</v>
      </c>
      <c r="CZ56">
        <f t="shared" si="1"/>
        <v>160</v>
      </c>
      <c r="DA56">
        <f t="shared" si="2"/>
        <v>1</v>
      </c>
      <c r="DB56">
        <v>0</v>
      </c>
    </row>
    <row r="57" spans="1:106" x14ac:dyDescent="0.2">
      <c r="A57">
        <f>ROW(Source!A40)</f>
        <v>40</v>
      </c>
      <c r="B57">
        <v>16500983</v>
      </c>
      <c r="C57">
        <v>16501058</v>
      </c>
      <c r="D57">
        <v>15197682</v>
      </c>
      <c r="E57">
        <v>1</v>
      </c>
      <c r="F57">
        <v>1</v>
      </c>
      <c r="G57">
        <v>1</v>
      </c>
      <c r="H57">
        <v>3</v>
      </c>
      <c r="I57" t="s">
        <v>70</v>
      </c>
      <c r="J57" t="s">
        <v>73</v>
      </c>
      <c r="K57" t="s">
        <v>71</v>
      </c>
      <c r="L57">
        <v>1301</v>
      </c>
      <c r="N57">
        <v>1003</v>
      </c>
      <c r="O57" t="s">
        <v>72</v>
      </c>
      <c r="P57" t="s">
        <v>72</v>
      </c>
      <c r="Q57">
        <v>1</v>
      </c>
      <c r="W57">
        <v>0</v>
      </c>
      <c r="X57">
        <v>26470480</v>
      </c>
      <c r="Y57">
        <v>101</v>
      </c>
      <c r="AA57">
        <v>12.3</v>
      </c>
      <c r="AB57">
        <v>0</v>
      </c>
      <c r="AC57">
        <v>0</v>
      </c>
      <c r="AD57">
        <v>0</v>
      </c>
      <c r="AE57">
        <v>12.3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4</v>
      </c>
      <c r="AT57">
        <v>101</v>
      </c>
      <c r="AU57" t="s">
        <v>4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Y57*Source!I40</f>
        <v>24.24</v>
      </c>
      <c r="CY57">
        <f t="shared" si="0"/>
        <v>12.3</v>
      </c>
      <c r="CZ57">
        <f t="shared" si="1"/>
        <v>12.3</v>
      </c>
      <c r="DA57">
        <f t="shared" si="2"/>
        <v>1</v>
      </c>
      <c r="DB57">
        <v>0</v>
      </c>
    </row>
    <row r="58" spans="1:106" x14ac:dyDescent="0.2">
      <c r="A58">
        <f>ROW(Source!A40)</f>
        <v>40</v>
      </c>
      <c r="B58">
        <v>16500983</v>
      </c>
      <c r="C58">
        <v>16501058</v>
      </c>
      <c r="D58">
        <v>15197769</v>
      </c>
      <c r="E58">
        <v>1</v>
      </c>
      <c r="F58">
        <v>1</v>
      </c>
      <c r="G58">
        <v>1</v>
      </c>
      <c r="H58">
        <v>3</v>
      </c>
      <c r="I58" t="s">
        <v>65</v>
      </c>
      <c r="J58" t="s">
        <v>68</v>
      </c>
      <c r="K58" t="s">
        <v>66</v>
      </c>
      <c r="L58">
        <v>1355</v>
      </c>
      <c r="N58">
        <v>1010</v>
      </c>
      <c r="O58" t="s">
        <v>67</v>
      </c>
      <c r="P58" t="s">
        <v>67</v>
      </c>
      <c r="Q58">
        <v>100</v>
      </c>
      <c r="W58">
        <v>0</v>
      </c>
      <c r="X58">
        <v>766681708</v>
      </c>
      <c r="Y58">
        <v>8.3333000000000004E-2</v>
      </c>
      <c r="AA58">
        <v>101</v>
      </c>
      <c r="AB58">
        <v>0</v>
      </c>
      <c r="AC58">
        <v>0</v>
      </c>
      <c r="AD58">
        <v>0</v>
      </c>
      <c r="AE58">
        <v>101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4</v>
      </c>
      <c r="AT58">
        <v>8.3333000000000004E-2</v>
      </c>
      <c r="AU58" t="s">
        <v>4</v>
      </c>
      <c r="AV58">
        <v>0</v>
      </c>
      <c r="AW58">
        <v>1</v>
      </c>
      <c r="AX58">
        <v>-1</v>
      </c>
      <c r="AY58">
        <v>0</v>
      </c>
      <c r="AZ58">
        <v>0</v>
      </c>
      <c r="BA58" t="s">
        <v>4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Y58*Source!I40</f>
        <v>1.9999920000000001E-2</v>
      </c>
      <c r="CY58">
        <f t="shared" si="0"/>
        <v>101</v>
      </c>
      <c r="CZ58">
        <f t="shared" si="1"/>
        <v>101</v>
      </c>
      <c r="DA58">
        <f t="shared" si="2"/>
        <v>1</v>
      </c>
      <c r="DB58">
        <v>0</v>
      </c>
    </row>
    <row r="59" spans="1:106" x14ac:dyDescent="0.2">
      <c r="A59">
        <f>ROW(Source!A40)</f>
        <v>40</v>
      </c>
      <c r="B59">
        <v>16500983</v>
      </c>
      <c r="C59">
        <v>16501058</v>
      </c>
      <c r="D59">
        <v>15197771</v>
      </c>
      <c r="E59">
        <v>1</v>
      </c>
      <c r="F59">
        <v>1</v>
      </c>
      <c r="G59">
        <v>1</v>
      </c>
      <c r="H59">
        <v>3</v>
      </c>
      <c r="I59" t="s">
        <v>75</v>
      </c>
      <c r="J59" t="s">
        <v>77</v>
      </c>
      <c r="K59" t="s">
        <v>76</v>
      </c>
      <c r="L59">
        <v>1355</v>
      </c>
      <c r="N59">
        <v>1010</v>
      </c>
      <c r="O59" t="s">
        <v>67</v>
      </c>
      <c r="P59" t="s">
        <v>67</v>
      </c>
      <c r="Q59">
        <v>100</v>
      </c>
      <c r="W59">
        <v>0</v>
      </c>
      <c r="X59">
        <v>191136453</v>
      </c>
      <c r="Y59">
        <v>8.3333000000000004E-2</v>
      </c>
      <c r="AA59">
        <v>101</v>
      </c>
      <c r="AB59">
        <v>0</v>
      </c>
      <c r="AC59">
        <v>0</v>
      </c>
      <c r="AD59">
        <v>0</v>
      </c>
      <c r="AE59">
        <v>101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4</v>
      </c>
      <c r="AT59">
        <v>8.3333000000000004E-2</v>
      </c>
      <c r="AU59" t="s">
        <v>4</v>
      </c>
      <c r="AV59">
        <v>0</v>
      </c>
      <c r="AW59">
        <v>1</v>
      </c>
      <c r="AX59">
        <v>-1</v>
      </c>
      <c r="AY59">
        <v>0</v>
      </c>
      <c r="AZ59">
        <v>0</v>
      </c>
      <c r="BA59" t="s">
        <v>4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Y59*Source!I40</f>
        <v>1.9999920000000001E-2</v>
      </c>
      <c r="CY59">
        <f t="shared" si="0"/>
        <v>101</v>
      </c>
      <c r="CZ59">
        <f t="shared" si="1"/>
        <v>101</v>
      </c>
      <c r="DA59">
        <f t="shared" si="2"/>
        <v>1</v>
      </c>
      <c r="DB59">
        <v>0</v>
      </c>
    </row>
    <row r="60" spans="1:106" x14ac:dyDescent="0.2">
      <c r="A60">
        <f>ROW(Source!A40)</f>
        <v>40</v>
      </c>
      <c r="B60">
        <v>16500983</v>
      </c>
      <c r="C60">
        <v>16501058</v>
      </c>
      <c r="D60">
        <v>15197773</v>
      </c>
      <c r="E60">
        <v>1</v>
      </c>
      <c r="F60">
        <v>1</v>
      </c>
      <c r="G60">
        <v>1</v>
      </c>
      <c r="H60">
        <v>3</v>
      </c>
      <c r="I60" t="s">
        <v>79</v>
      </c>
      <c r="J60" t="s">
        <v>81</v>
      </c>
      <c r="K60" t="s">
        <v>80</v>
      </c>
      <c r="L60">
        <v>1355</v>
      </c>
      <c r="N60">
        <v>1010</v>
      </c>
      <c r="O60" t="s">
        <v>67</v>
      </c>
      <c r="P60" t="s">
        <v>67</v>
      </c>
      <c r="Q60">
        <v>100</v>
      </c>
      <c r="W60">
        <v>0</v>
      </c>
      <c r="X60">
        <v>1073883569</v>
      </c>
      <c r="Y60">
        <v>0.41666700000000001</v>
      </c>
      <c r="AA60">
        <v>128</v>
      </c>
      <c r="AB60">
        <v>0</v>
      </c>
      <c r="AC60">
        <v>0</v>
      </c>
      <c r="AD60">
        <v>0</v>
      </c>
      <c r="AE60">
        <v>128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4</v>
      </c>
      <c r="AT60">
        <v>0.41666700000000001</v>
      </c>
      <c r="AU60" t="s">
        <v>4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Y60*Source!I40</f>
        <v>0.10000008000000001</v>
      </c>
      <c r="CY60">
        <f t="shared" si="0"/>
        <v>128</v>
      </c>
      <c r="CZ60">
        <f t="shared" si="1"/>
        <v>128</v>
      </c>
      <c r="DA60">
        <f t="shared" si="2"/>
        <v>1</v>
      </c>
      <c r="DB60">
        <v>0</v>
      </c>
    </row>
    <row r="61" spans="1:106" x14ac:dyDescent="0.2">
      <c r="A61">
        <f>ROW(Source!A40)</f>
        <v>40</v>
      </c>
      <c r="B61">
        <v>16500983</v>
      </c>
      <c r="C61">
        <v>16501058</v>
      </c>
      <c r="D61">
        <v>15197775</v>
      </c>
      <c r="E61">
        <v>1</v>
      </c>
      <c r="F61">
        <v>1</v>
      </c>
      <c r="G61">
        <v>1</v>
      </c>
      <c r="H61">
        <v>3</v>
      </c>
      <c r="I61" t="s">
        <v>83</v>
      </c>
      <c r="J61" t="s">
        <v>85</v>
      </c>
      <c r="K61" t="s">
        <v>84</v>
      </c>
      <c r="L61">
        <v>1355</v>
      </c>
      <c r="N61">
        <v>1010</v>
      </c>
      <c r="O61" t="s">
        <v>67</v>
      </c>
      <c r="P61" t="s">
        <v>67</v>
      </c>
      <c r="Q61">
        <v>100</v>
      </c>
      <c r="W61">
        <v>0</v>
      </c>
      <c r="X61">
        <v>1800897042</v>
      </c>
      <c r="Y61">
        <v>8.3333000000000004E-2</v>
      </c>
      <c r="AA61">
        <v>128</v>
      </c>
      <c r="AB61">
        <v>0</v>
      </c>
      <c r="AC61">
        <v>0</v>
      </c>
      <c r="AD61">
        <v>0</v>
      </c>
      <c r="AE61">
        <v>128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4</v>
      </c>
      <c r="AT61">
        <v>8.3333000000000004E-2</v>
      </c>
      <c r="AU61" t="s">
        <v>4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4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Y61*Source!I40</f>
        <v>1.9999920000000001E-2</v>
      </c>
      <c r="CY61">
        <f t="shared" si="0"/>
        <v>128</v>
      </c>
      <c r="CZ61">
        <f t="shared" si="1"/>
        <v>128</v>
      </c>
      <c r="DA61">
        <f t="shared" si="2"/>
        <v>1</v>
      </c>
      <c r="DB61">
        <v>0</v>
      </c>
    </row>
    <row r="62" spans="1:106" x14ac:dyDescent="0.2">
      <c r="A62">
        <f>ROW(Source!A40)</f>
        <v>40</v>
      </c>
      <c r="B62">
        <v>16500983</v>
      </c>
      <c r="C62">
        <v>16501058</v>
      </c>
      <c r="D62">
        <v>15197777</v>
      </c>
      <c r="E62">
        <v>1</v>
      </c>
      <c r="F62">
        <v>1</v>
      </c>
      <c r="G62">
        <v>1</v>
      </c>
      <c r="H62">
        <v>3</v>
      </c>
      <c r="I62" t="s">
        <v>87</v>
      </c>
      <c r="J62" t="s">
        <v>89</v>
      </c>
      <c r="K62" t="s">
        <v>88</v>
      </c>
      <c r="L62">
        <v>1355</v>
      </c>
      <c r="N62">
        <v>1010</v>
      </c>
      <c r="O62" t="s">
        <v>67</v>
      </c>
      <c r="P62" t="s">
        <v>67</v>
      </c>
      <c r="Q62">
        <v>100</v>
      </c>
      <c r="W62">
        <v>0</v>
      </c>
      <c r="X62">
        <v>952646044</v>
      </c>
      <c r="Y62">
        <v>8.3333000000000004E-2</v>
      </c>
      <c r="AA62">
        <v>128</v>
      </c>
      <c r="AB62">
        <v>0</v>
      </c>
      <c r="AC62">
        <v>0</v>
      </c>
      <c r="AD62">
        <v>0</v>
      </c>
      <c r="AE62">
        <v>128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4</v>
      </c>
      <c r="AT62">
        <v>8.3333000000000004E-2</v>
      </c>
      <c r="AU62" t="s">
        <v>4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Y62*Source!I40</f>
        <v>1.9999920000000001E-2</v>
      </c>
      <c r="CY62">
        <f t="shared" si="0"/>
        <v>128</v>
      </c>
      <c r="CZ62">
        <f t="shared" si="1"/>
        <v>128</v>
      </c>
      <c r="DA62">
        <f t="shared" si="2"/>
        <v>1</v>
      </c>
      <c r="DB62">
        <v>0</v>
      </c>
    </row>
    <row r="63" spans="1:106" x14ac:dyDescent="0.2">
      <c r="A63">
        <f>ROW(Source!A41)</f>
        <v>41</v>
      </c>
      <c r="B63">
        <v>16500997</v>
      </c>
      <c r="C63">
        <v>16501058</v>
      </c>
      <c r="D63">
        <v>15438286</v>
      </c>
      <c r="E63">
        <v>1</v>
      </c>
      <c r="F63">
        <v>1</v>
      </c>
      <c r="G63">
        <v>1</v>
      </c>
      <c r="H63">
        <v>1</v>
      </c>
      <c r="I63" t="s">
        <v>280</v>
      </c>
      <c r="J63" t="s">
        <v>4</v>
      </c>
      <c r="K63" t="s">
        <v>281</v>
      </c>
      <c r="L63">
        <v>1191</v>
      </c>
      <c r="N63">
        <v>1013</v>
      </c>
      <c r="O63" t="s">
        <v>249</v>
      </c>
      <c r="P63" t="s">
        <v>249</v>
      </c>
      <c r="Q63">
        <v>1</v>
      </c>
      <c r="W63">
        <v>0</v>
      </c>
      <c r="X63">
        <v>-1027537862</v>
      </c>
      <c r="Y63">
        <v>7.6819999999999995</v>
      </c>
      <c r="AA63">
        <v>0</v>
      </c>
      <c r="AB63">
        <v>0</v>
      </c>
      <c r="AC63">
        <v>0</v>
      </c>
      <c r="AD63">
        <v>55.81</v>
      </c>
      <c r="AE63">
        <v>0</v>
      </c>
      <c r="AF63">
        <v>0</v>
      </c>
      <c r="AG63">
        <v>0</v>
      </c>
      <c r="AH63">
        <v>9.18</v>
      </c>
      <c r="AI63">
        <v>1</v>
      </c>
      <c r="AJ63">
        <v>1</v>
      </c>
      <c r="AK63">
        <v>1</v>
      </c>
      <c r="AL63">
        <v>6.08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4</v>
      </c>
      <c r="AT63">
        <v>6.68</v>
      </c>
      <c r="AU63" t="s">
        <v>30</v>
      </c>
      <c r="AV63">
        <v>1</v>
      </c>
      <c r="AW63">
        <v>2</v>
      </c>
      <c r="AX63">
        <v>16501059</v>
      </c>
      <c r="AY63">
        <v>1</v>
      </c>
      <c r="AZ63">
        <v>0</v>
      </c>
      <c r="BA63">
        <v>65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Y63*Source!I41</f>
        <v>1.8436799999999998</v>
      </c>
      <c r="CY63">
        <f>AD63</f>
        <v>55.81</v>
      </c>
      <c r="CZ63">
        <f>AH63</f>
        <v>9.18</v>
      </c>
      <c r="DA63">
        <f>AL63</f>
        <v>6.08</v>
      </c>
      <c r="DB63">
        <v>0</v>
      </c>
    </row>
    <row r="64" spans="1:106" x14ac:dyDescent="0.2">
      <c r="A64">
        <f>ROW(Source!A41)</f>
        <v>41</v>
      </c>
      <c r="B64">
        <v>16500997</v>
      </c>
      <c r="C64">
        <v>16501058</v>
      </c>
      <c r="D64">
        <v>15430395</v>
      </c>
      <c r="E64">
        <v>1</v>
      </c>
      <c r="F64">
        <v>1</v>
      </c>
      <c r="G64">
        <v>1</v>
      </c>
      <c r="H64">
        <v>1</v>
      </c>
      <c r="I64" t="s">
        <v>250</v>
      </c>
      <c r="J64" t="s">
        <v>4</v>
      </c>
      <c r="K64" t="s">
        <v>251</v>
      </c>
      <c r="L64">
        <v>1191</v>
      </c>
      <c r="N64">
        <v>1013</v>
      </c>
      <c r="O64" t="s">
        <v>249</v>
      </c>
      <c r="P64" t="s">
        <v>249</v>
      </c>
      <c r="Q64">
        <v>1</v>
      </c>
      <c r="W64">
        <v>0</v>
      </c>
      <c r="X64">
        <v>-1417349443</v>
      </c>
      <c r="Y64">
        <v>0.04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6.08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4</v>
      </c>
      <c r="AT64">
        <v>0.04</v>
      </c>
      <c r="AU64" t="s">
        <v>4</v>
      </c>
      <c r="AV64">
        <v>2</v>
      </c>
      <c r="AW64">
        <v>2</v>
      </c>
      <c r="AX64">
        <v>16501060</v>
      </c>
      <c r="AY64">
        <v>1</v>
      </c>
      <c r="AZ64">
        <v>2048</v>
      </c>
      <c r="BA64">
        <v>66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Y64*Source!I41</f>
        <v>9.5999999999999992E-3</v>
      </c>
      <c r="CY64">
        <f>AD64</f>
        <v>0</v>
      </c>
      <c r="CZ64">
        <f>AH64</f>
        <v>0</v>
      </c>
      <c r="DA64">
        <f>AL64</f>
        <v>1</v>
      </c>
      <c r="DB64">
        <v>0</v>
      </c>
    </row>
    <row r="65" spans="1:106" x14ac:dyDescent="0.2">
      <c r="A65">
        <f>ROW(Source!A41)</f>
        <v>41</v>
      </c>
      <c r="B65">
        <v>16500997</v>
      </c>
      <c r="C65">
        <v>16501058</v>
      </c>
      <c r="D65">
        <v>15247974</v>
      </c>
      <c r="E65">
        <v>1</v>
      </c>
      <c r="F65">
        <v>1</v>
      </c>
      <c r="G65">
        <v>1</v>
      </c>
      <c r="H65">
        <v>2</v>
      </c>
      <c r="I65" t="s">
        <v>252</v>
      </c>
      <c r="J65" t="s">
        <v>253</v>
      </c>
      <c r="K65" t="s">
        <v>254</v>
      </c>
      <c r="L65">
        <v>1368</v>
      </c>
      <c r="N65">
        <v>1011</v>
      </c>
      <c r="O65" t="s">
        <v>255</v>
      </c>
      <c r="P65" t="s">
        <v>255</v>
      </c>
      <c r="Q65">
        <v>1</v>
      </c>
      <c r="W65">
        <v>0</v>
      </c>
      <c r="X65">
        <v>1188625873</v>
      </c>
      <c r="Y65">
        <v>6.2500000000000003E-3</v>
      </c>
      <c r="AA65">
        <v>0</v>
      </c>
      <c r="AB65">
        <v>190.06</v>
      </c>
      <c r="AC65">
        <v>13.5</v>
      </c>
      <c r="AD65">
        <v>0</v>
      </c>
      <c r="AE65">
        <v>0</v>
      </c>
      <c r="AF65">
        <v>31.26</v>
      </c>
      <c r="AG65">
        <v>13.5</v>
      </c>
      <c r="AH65">
        <v>0</v>
      </c>
      <c r="AI65">
        <v>1</v>
      </c>
      <c r="AJ65">
        <v>6.08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4</v>
      </c>
      <c r="AT65">
        <v>5.0000000000000001E-3</v>
      </c>
      <c r="AU65" t="s">
        <v>29</v>
      </c>
      <c r="AV65">
        <v>0</v>
      </c>
      <c r="AW65">
        <v>2</v>
      </c>
      <c r="AX65">
        <v>16501061</v>
      </c>
      <c r="AY65">
        <v>1</v>
      </c>
      <c r="AZ65">
        <v>0</v>
      </c>
      <c r="BA65">
        <v>67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Y65*Source!I41</f>
        <v>1.5E-3</v>
      </c>
      <c r="CY65">
        <f>AB65</f>
        <v>190.06</v>
      </c>
      <c r="CZ65">
        <f>AF65</f>
        <v>31.26</v>
      </c>
      <c r="DA65">
        <f>AJ65</f>
        <v>6.08</v>
      </c>
      <c r="DB65">
        <v>0</v>
      </c>
    </row>
    <row r="66" spans="1:106" x14ac:dyDescent="0.2">
      <c r="A66">
        <f>ROW(Source!A41)</f>
        <v>41</v>
      </c>
      <c r="B66">
        <v>16500997</v>
      </c>
      <c r="C66">
        <v>16501058</v>
      </c>
      <c r="D66">
        <v>15249073</v>
      </c>
      <c r="E66">
        <v>1</v>
      </c>
      <c r="F66">
        <v>1</v>
      </c>
      <c r="G66">
        <v>1</v>
      </c>
      <c r="H66">
        <v>2</v>
      </c>
      <c r="I66" t="s">
        <v>261</v>
      </c>
      <c r="J66" t="s">
        <v>262</v>
      </c>
      <c r="K66" t="s">
        <v>263</v>
      </c>
      <c r="L66">
        <v>1368</v>
      </c>
      <c r="N66">
        <v>1011</v>
      </c>
      <c r="O66" t="s">
        <v>255</v>
      </c>
      <c r="P66" t="s">
        <v>255</v>
      </c>
      <c r="Q66">
        <v>1</v>
      </c>
      <c r="W66">
        <v>0</v>
      </c>
      <c r="X66">
        <v>1372534845</v>
      </c>
      <c r="Y66">
        <v>3.7499999999999999E-2</v>
      </c>
      <c r="AA66">
        <v>0</v>
      </c>
      <c r="AB66">
        <v>399.52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6.08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4</v>
      </c>
      <c r="AT66">
        <v>0.03</v>
      </c>
      <c r="AU66" t="s">
        <v>29</v>
      </c>
      <c r="AV66">
        <v>0</v>
      </c>
      <c r="AW66">
        <v>2</v>
      </c>
      <c r="AX66">
        <v>16501062</v>
      </c>
      <c r="AY66">
        <v>1</v>
      </c>
      <c r="AZ66">
        <v>0</v>
      </c>
      <c r="BA66">
        <v>68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Y66*Source!I41</f>
        <v>8.9999999999999993E-3</v>
      </c>
      <c r="CY66">
        <f>AB66</f>
        <v>399.52</v>
      </c>
      <c r="CZ66">
        <f>AF66</f>
        <v>65.709999999999994</v>
      </c>
      <c r="DA66">
        <f>AJ66</f>
        <v>6.08</v>
      </c>
      <c r="DB66">
        <v>0</v>
      </c>
    </row>
    <row r="67" spans="1:106" x14ac:dyDescent="0.2">
      <c r="A67">
        <f>ROW(Source!A41)</f>
        <v>41</v>
      </c>
      <c r="B67">
        <v>16500997</v>
      </c>
      <c r="C67">
        <v>16501058</v>
      </c>
      <c r="D67">
        <v>15169972</v>
      </c>
      <c r="E67">
        <v>1</v>
      </c>
      <c r="F67">
        <v>1</v>
      </c>
      <c r="G67">
        <v>1</v>
      </c>
      <c r="H67">
        <v>3</v>
      </c>
      <c r="I67" t="s">
        <v>282</v>
      </c>
      <c r="J67" t="s">
        <v>283</v>
      </c>
      <c r="K67" t="s">
        <v>284</v>
      </c>
      <c r="L67">
        <v>1355</v>
      </c>
      <c r="N67">
        <v>1010</v>
      </c>
      <c r="O67" t="s">
        <v>67</v>
      </c>
      <c r="P67" t="s">
        <v>67</v>
      </c>
      <c r="Q67">
        <v>100</v>
      </c>
      <c r="W67">
        <v>0</v>
      </c>
      <c r="X67">
        <v>-725528132</v>
      </c>
      <c r="Y67">
        <v>2.63</v>
      </c>
      <c r="AA67">
        <v>72.959999999999994</v>
      </c>
      <c r="AB67">
        <v>0</v>
      </c>
      <c r="AC67">
        <v>0</v>
      </c>
      <c r="AD67">
        <v>0</v>
      </c>
      <c r="AE67">
        <v>12</v>
      </c>
      <c r="AF67">
        <v>0</v>
      </c>
      <c r="AG67">
        <v>0</v>
      </c>
      <c r="AH67">
        <v>0</v>
      </c>
      <c r="AI67">
        <v>6.08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4</v>
      </c>
      <c r="AT67">
        <v>2.63</v>
      </c>
      <c r="AU67" t="s">
        <v>4</v>
      </c>
      <c r="AV67">
        <v>0</v>
      </c>
      <c r="AW67">
        <v>2</v>
      </c>
      <c r="AX67">
        <v>16501063</v>
      </c>
      <c r="AY67">
        <v>1</v>
      </c>
      <c r="AZ67">
        <v>0</v>
      </c>
      <c r="BA67">
        <v>69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Y67*Source!I41</f>
        <v>0.63119999999999998</v>
      </c>
      <c r="CY67">
        <f t="shared" ref="CY67:CY74" si="3">AA67</f>
        <v>72.959999999999994</v>
      </c>
      <c r="CZ67">
        <f t="shared" ref="CZ67:CZ74" si="4">AE67</f>
        <v>12</v>
      </c>
      <c r="DA67">
        <f t="shared" ref="DA67:DA74" si="5">AI67</f>
        <v>6.08</v>
      </c>
      <c r="DB67">
        <v>0</v>
      </c>
    </row>
    <row r="68" spans="1:106" x14ac:dyDescent="0.2">
      <c r="A68">
        <f>ROW(Source!A41)</f>
        <v>41</v>
      </c>
      <c r="B68">
        <v>16500997</v>
      </c>
      <c r="C68">
        <v>16501058</v>
      </c>
      <c r="D68">
        <v>15170075</v>
      </c>
      <c r="E68">
        <v>1</v>
      </c>
      <c r="F68">
        <v>1</v>
      </c>
      <c r="G68">
        <v>1</v>
      </c>
      <c r="H68">
        <v>3</v>
      </c>
      <c r="I68" t="s">
        <v>285</v>
      </c>
      <c r="J68" t="s">
        <v>286</v>
      </c>
      <c r="K68" t="s">
        <v>287</v>
      </c>
      <c r="L68">
        <v>1356</v>
      </c>
      <c r="N68">
        <v>1010</v>
      </c>
      <c r="O68" t="s">
        <v>288</v>
      </c>
      <c r="P68" t="s">
        <v>288</v>
      </c>
      <c r="Q68">
        <v>1000</v>
      </c>
      <c r="W68">
        <v>0</v>
      </c>
      <c r="X68">
        <v>1130533903</v>
      </c>
      <c r="Y68">
        <v>0.26300000000000001</v>
      </c>
      <c r="AA68">
        <v>972.8</v>
      </c>
      <c r="AB68">
        <v>0</v>
      </c>
      <c r="AC68">
        <v>0</v>
      </c>
      <c r="AD68">
        <v>0</v>
      </c>
      <c r="AE68">
        <v>160</v>
      </c>
      <c r="AF68">
        <v>0</v>
      </c>
      <c r="AG68">
        <v>0</v>
      </c>
      <c r="AH68">
        <v>0</v>
      </c>
      <c r="AI68">
        <v>6.08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4</v>
      </c>
      <c r="AT68">
        <v>0.26300000000000001</v>
      </c>
      <c r="AU68" t="s">
        <v>4</v>
      </c>
      <c r="AV68">
        <v>0</v>
      </c>
      <c r="AW68">
        <v>2</v>
      </c>
      <c r="AX68">
        <v>16501064</v>
      </c>
      <c r="AY68">
        <v>1</v>
      </c>
      <c r="AZ68">
        <v>0</v>
      </c>
      <c r="BA68">
        <v>70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Y68*Source!I41</f>
        <v>6.3119999999999996E-2</v>
      </c>
      <c r="CY68">
        <f t="shared" si="3"/>
        <v>972.8</v>
      </c>
      <c r="CZ68">
        <f t="shared" si="4"/>
        <v>160</v>
      </c>
      <c r="DA68">
        <f t="shared" si="5"/>
        <v>6.08</v>
      </c>
      <c r="DB68">
        <v>0</v>
      </c>
    </row>
    <row r="69" spans="1:106" x14ac:dyDescent="0.2">
      <c r="A69">
        <f>ROW(Source!A41)</f>
        <v>41</v>
      </c>
      <c r="B69">
        <v>16500997</v>
      </c>
      <c r="C69">
        <v>16501058</v>
      </c>
      <c r="D69">
        <v>15197682</v>
      </c>
      <c r="E69">
        <v>1</v>
      </c>
      <c r="F69">
        <v>1</v>
      </c>
      <c r="G69">
        <v>1</v>
      </c>
      <c r="H69">
        <v>3</v>
      </c>
      <c r="I69" t="s">
        <v>70</v>
      </c>
      <c r="J69" t="s">
        <v>73</v>
      </c>
      <c r="K69" t="s">
        <v>71</v>
      </c>
      <c r="L69">
        <v>1301</v>
      </c>
      <c r="N69">
        <v>1003</v>
      </c>
      <c r="O69" t="s">
        <v>72</v>
      </c>
      <c r="P69" t="s">
        <v>72</v>
      </c>
      <c r="Q69">
        <v>1</v>
      </c>
      <c r="W69">
        <v>0</v>
      </c>
      <c r="X69">
        <v>26470480</v>
      </c>
      <c r="Y69">
        <v>101</v>
      </c>
      <c r="AA69">
        <v>74.78</v>
      </c>
      <c r="AB69">
        <v>0</v>
      </c>
      <c r="AC69">
        <v>0</v>
      </c>
      <c r="AD69">
        <v>0</v>
      </c>
      <c r="AE69">
        <v>12.3</v>
      </c>
      <c r="AF69">
        <v>0</v>
      </c>
      <c r="AG69">
        <v>0</v>
      </c>
      <c r="AH69">
        <v>0</v>
      </c>
      <c r="AI69">
        <v>6.08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4</v>
      </c>
      <c r="AT69">
        <v>101</v>
      </c>
      <c r="AU69" t="s">
        <v>4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4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Y69*Source!I41</f>
        <v>24.24</v>
      </c>
      <c r="CY69">
        <f t="shared" si="3"/>
        <v>74.78</v>
      </c>
      <c r="CZ69">
        <f t="shared" si="4"/>
        <v>12.3</v>
      </c>
      <c r="DA69">
        <f t="shared" si="5"/>
        <v>6.08</v>
      </c>
      <c r="DB69">
        <v>0</v>
      </c>
    </row>
    <row r="70" spans="1:106" x14ac:dyDescent="0.2">
      <c r="A70">
        <f>ROW(Source!A41)</f>
        <v>41</v>
      </c>
      <c r="B70">
        <v>16500997</v>
      </c>
      <c r="C70">
        <v>16501058</v>
      </c>
      <c r="D70">
        <v>15197769</v>
      </c>
      <c r="E70">
        <v>1</v>
      </c>
      <c r="F70">
        <v>1</v>
      </c>
      <c r="G70">
        <v>1</v>
      </c>
      <c r="H70">
        <v>3</v>
      </c>
      <c r="I70" t="s">
        <v>65</v>
      </c>
      <c r="J70" t="s">
        <v>68</v>
      </c>
      <c r="K70" t="s">
        <v>66</v>
      </c>
      <c r="L70">
        <v>1355</v>
      </c>
      <c r="N70">
        <v>1010</v>
      </c>
      <c r="O70" t="s">
        <v>67</v>
      </c>
      <c r="P70" t="s">
        <v>67</v>
      </c>
      <c r="Q70">
        <v>100</v>
      </c>
      <c r="W70">
        <v>0</v>
      </c>
      <c r="X70">
        <v>766681708</v>
      </c>
      <c r="Y70">
        <v>8.3333000000000004E-2</v>
      </c>
      <c r="AA70">
        <v>614.08000000000004</v>
      </c>
      <c r="AB70">
        <v>0</v>
      </c>
      <c r="AC70">
        <v>0</v>
      </c>
      <c r="AD70">
        <v>0</v>
      </c>
      <c r="AE70">
        <v>101</v>
      </c>
      <c r="AF70">
        <v>0</v>
      </c>
      <c r="AG70">
        <v>0</v>
      </c>
      <c r="AH70">
        <v>0</v>
      </c>
      <c r="AI70">
        <v>6.08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4</v>
      </c>
      <c r="AT70">
        <v>8.3333000000000004E-2</v>
      </c>
      <c r="AU70" t="s">
        <v>4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Y70*Source!I41</f>
        <v>1.9999920000000001E-2</v>
      </c>
      <c r="CY70">
        <f t="shared" si="3"/>
        <v>614.08000000000004</v>
      </c>
      <c r="CZ70">
        <f t="shared" si="4"/>
        <v>101</v>
      </c>
      <c r="DA70">
        <f t="shared" si="5"/>
        <v>6.08</v>
      </c>
      <c r="DB70">
        <v>0</v>
      </c>
    </row>
    <row r="71" spans="1:106" x14ac:dyDescent="0.2">
      <c r="A71">
        <f>ROW(Source!A41)</f>
        <v>41</v>
      </c>
      <c r="B71">
        <v>16500997</v>
      </c>
      <c r="C71">
        <v>16501058</v>
      </c>
      <c r="D71">
        <v>15197771</v>
      </c>
      <c r="E71">
        <v>1</v>
      </c>
      <c r="F71">
        <v>1</v>
      </c>
      <c r="G71">
        <v>1</v>
      </c>
      <c r="H71">
        <v>3</v>
      </c>
      <c r="I71" t="s">
        <v>75</v>
      </c>
      <c r="J71" t="s">
        <v>77</v>
      </c>
      <c r="K71" t="s">
        <v>76</v>
      </c>
      <c r="L71">
        <v>1355</v>
      </c>
      <c r="N71">
        <v>1010</v>
      </c>
      <c r="O71" t="s">
        <v>67</v>
      </c>
      <c r="P71" t="s">
        <v>67</v>
      </c>
      <c r="Q71">
        <v>100</v>
      </c>
      <c r="W71">
        <v>0</v>
      </c>
      <c r="X71">
        <v>191136453</v>
      </c>
      <c r="Y71">
        <v>8.3333000000000004E-2</v>
      </c>
      <c r="AA71">
        <v>614.08000000000004</v>
      </c>
      <c r="AB71">
        <v>0</v>
      </c>
      <c r="AC71">
        <v>0</v>
      </c>
      <c r="AD71">
        <v>0</v>
      </c>
      <c r="AE71">
        <v>101</v>
      </c>
      <c r="AF71">
        <v>0</v>
      </c>
      <c r="AG71">
        <v>0</v>
      </c>
      <c r="AH71">
        <v>0</v>
      </c>
      <c r="AI71">
        <v>6.08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4</v>
      </c>
      <c r="AT71">
        <v>8.3333000000000004E-2</v>
      </c>
      <c r="AU71" t="s">
        <v>4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4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Y71*Source!I41</f>
        <v>1.9999920000000001E-2</v>
      </c>
      <c r="CY71">
        <f t="shared" si="3"/>
        <v>614.08000000000004</v>
      </c>
      <c r="CZ71">
        <f t="shared" si="4"/>
        <v>101</v>
      </c>
      <c r="DA71">
        <f t="shared" si="5"/>
        <v>6.08</v>
      </c>
      <c r="DB71">
        <v>0</v>
      </c>
    </row>
    <row r="72" spans="1:106" x14ac:dyDescent="0.2">
      <c r="A72">
        <f>ROW(Source!A41)</f>
        <v>41</v>
      </c>
      <c r="B72">
        <v>16500997</v>
      </c>
      <c r="C72">
        <v>16501058</v>
      </c>
      <c r="D72">
        <v>15197773</v>
      </c>
      <c r="E72">
        <v>1</v>
      </c>
      <c r="F72">
        <v>1</v>
      </c>
      <c r="G72">
        <v>1</v>
      </c>
      <c r="H72">
        <v>3</v>
      </c>
      <c r="I72" t="s">
        <v>79</v>
      </c>
      <c r="J72" t="s">
        <v>81</v>
      </c>
      <c r="K72" t="s">
        <v>80</v>
      </c>
      <c r="L72">
        <v>1355</v>
      </c>
      <c r="N72">
        <v>1010</v>
      </c>
      <c r="O72" t="s">
        <v>67</v>
      </c>
      <c r="P72" t="s">
        <v>67</v>
      </c>
      <c r="Q72">
        <v>100</v>
      </c>
      <c r="W72">
        <v>0</v>
      </c>
      <c r="X72">
        <v>1073883569</v>
      </c>
      <c r="Y72">
        <v>0.41666700000000001</v>
      </c>
      <c r="AA72">
        <v>778.24</v>
      </c>
      <c r="AB72">
        <v>0</v>
      </c>
      <c r="AC72">
        <v>0</v>
      </c>
      <c r="AD72">
        <v>0</v>
      </c>
      <c r="AE72">
        <v>128</v>
      </c>
      <c r="AF72">
        <v>0</v>
      </c>
      <c r="AG72">
        <v>0</v>
      </c>
      <c r="AH72">
        <v>0</v>
      </c>
      <c r="AI72">
        <v>6.08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4</v>
      </c>
      <c r="AT72">
        <v>0.41666700000000001</v>
      </c>
      <c r="AU72" t="s">
        <v>4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4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Y72*Source!I41</f>
        <v>0.10000008000000001</v>
      </c>
      <c r="CY72">
        <f t="shared" si="3"/>
        <v>778.24</v>
      </c>
      <c r="CZ72">
        <f t="shared" si="4"/>
        <v>128</v>
      </c>
      <c r="DA72">
        <f t="shared" si="5"/>
        <v>6.08</v>
      </c>
      <c r="DB72">
        <v>0</v>
      </c>
    </row>
    <row r="73" spans="1:106" x14ac:dyDescent="0.2">
      <c r="A73">
        <f>ROW(Source!A41)</f>
        <v>41</v>
      </c>
      <c r="B73">
        <v>16500997</v>
      </c>
      <c r="C73">
        <v>16501058</v>
      </c>
      <c r="D73">
        <v>15197775</v>
      </c>
      <c r="E73">
        <v>1</v>
      </c>
      <c r="F73">
        <v>1</v>
      </c>
      <c r="G73">
        <v>1</v>
      </c>
      <c r="H73">
        <v>3</v>
      </c>
      <c r="I73" t="s">
        <v>83</v>
      </c>
      <c r="J73" t="s">
        <v>85</v>
      </c>
      <c r="K73" t="s">
        <v>84</v>
      </c>
      <c r="L73">
        <v>1355</v>
      </c>
      <c r="N73">
        <v>1010</v>
      </c>
      <c r="O73" t="s">
        <v>67</v>
      </c>
      <c r="P73" t="s">
        <v>67</v>
      </c>
      <c r="Q73">
        <v>100</v>
      </c>
      <c r="W73">
        <v>0</v>
      </c>
      <c r="X73">
        <v>1800897042</v>
      </c>
      <c r="Y73">
        <v>8.3333000000000004E-2</v>
      </c>
      <c r="AA73">
        <v>778.24</v>
      </c>
      <c r="AB73">
        <v>0</v>
      </c>
      <c r="AC73">
        <v>0</v>
      </c>
      <c r="AD73">
        <v>0</v>
      </c>
      <c r="AE73">
        <v>128</v>
      </c>
      <c r="AF73">
        <v>0</v>
      </c>
      <c r="AG73">
        <v>0</v>
      </c>
      <c r="AH73">
        <v>0</v>
      </c>
      <c r="AI73">
        <v>6.08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4</v>
      </c>
      <c r="AT73">
        <v>8.3333000000000004E-2</v>
      </c>
      <c r="AU73" t="s">
        <v>4</v>
      </c>
      <c r="AV73">
        <v>0</v>
      </c>
      <c r="AW73">
        <v>1</v>
      </c>
      <c r="AX73">
        <v>-1</v>
      </c>
      <c r="AY73">
        <v>0</v>
      </c>
      <c r="AZ73">
        <v>0</v>
      </c>
      <c r="BA73" t="s">
        <v>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Y73*Source!I41</f>
        <v>1.9999920000000001E-2</v>
      </c>
      <c r="CY73">
        <f t="shared" si="3"/>
        <v>778.24</v>
      </c>
      <c r="CZ73">
        <f t="shared" si="4"/>
        <v>128</v>
      </c>
      <c r="DA73">
        <f t="shared" si="5"/>
        <v>6.08</v>
      </c>
      <c r="DB73">
        <v>0</v>
      </c>
    </row>
    <row r="74" spans="1:106" x14ac:dyDescent="0.2">
      <c r="A74">
        <f>ROW(Source!A41)</f>
        <v>41</v>
      </c>
      <c r="B74">
        <v>16500997</v>
      </c>
      <c r="C74">
        <v>16501058</v>
      </c>
      <c r="D74">
        <v>15197777</v>
      </c>
      <c r="E74">
        <v>1</v>
      </c>
      <c r="F74">
        <v>1</v>
      </c>
      <c r="G74">
        <v>1</v>
      </c>
      <c r="H74">
        <v>3</v>
      </c>
      <c r="I74" t="s">
        <v>87</v>
      </c>
      <c r="J74" t="s">
        <v>89</v>
      </c>
      <c r="K74" t="s">
        <v>88</v>
      </c>
      <c r="L74">
        <v>1355</v>
      </c>
      <c r="N74">
        <v>1010</v>
      </c>
      <c r="O74" t="s">
        <v>67</v>
      </c>
      <c r="P74" t="s">
        <v>67</v>
      </c>
      <c r="Q74">
        <v>100</v>
      </c>
      <c r="W74">
        <v>0</v>
      </c>
      <c r="X74">
        <v>952646044</v>
      </c>
      <c r="Y74">
        <v>8.3333000000000004E-2</v>
      </c>
      <c r="AA74">
        <v>778.24</v>
      </c>
      <c r="AB74">
        <v>0</v>
      </c>
      <c r="AC74">
        <v>0</v>
      </c>
      <c r="AD74">
        <v>0</v>
      </c>
      <c r="AE74">
        <v>128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4</v>
      </c>
      <c r="AT74">
        <v>8.3333000000000004E-2</v>
      </c>
      <c r="AU74" t="s">
        <v>4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Y74*Source!I41</f>
        <v>1.9999920000000001E-2</v>
      </c>
      <c r="CY74">
        <f t="shared" si="3"/>
        <v>778.24</v>
      </c>
      <c r="CZ74">
        <f t="shared" si="4"/>
        <v>128</v>
      </c>
      <c r="DA74">
        <f t="shared" si="5"/>
        <v>6.08</v>
      </c>
      <c r="DB74">
        <v>0</v>
      </c>
    </row>
    <row r="75" spans="1:106" x14ac:dyDescent="0.2">
      <c r="A75">
        <f>ROW(Source!A54)</f>
        <v>54</v>
      </c>
      <c r="B75">
        <v>16500983</v>
      </c>
      <c r="C75">
        <v>16501077</v>
      </c>
      <c r="D75">
        <v>15430767</v>
      </c>
      <c r="E75">
        <v>1</v>
      </c>
      <c r="F75">
        <v>1</v>
      </c>
      <c r="G75">
        <v>1</v>
      </c>
      <c r="H75">
        <v>1</v>
      </c>
      <c r="I75" t="s">
        <v>256</v>
      </c>
      <c r="J75" t="s">
        <v>4</v>
      </c>
      <c r="K75" t="s">
        <v>257</v>
      </c>
      <c r="L75">
        <v>1191</v>
      </c>
      <c r="N75">
        <v>1013</v>
      </c>
      <c r="O75" t="s">
        <v>249</v>
      </c>
      <c r="P75" t="s">
        <v>249</v>
      </c>
      <c r="Q75">
        <v>1</v>
      </c>
      <c r="W75">
        <v>0</v>
      </c>
      <c r="X75">
        <v>-400197608</v>
      </c>
      <c r="Y75">
        <v>1.0349999999999999</v>
      </c>
      <c r="AA75">
        <v>0</v>
      </c>
      <c r="AB75">
        <v>0</v>
      </c>
      <c r="AC75">
        <v>0</v>
      </c>
      <c r="AD75">
        <v>8.5299999999999994</v>
      </c>
      <c r="AE75">
        <v>0</v>
      </c>
      <c r="AF75">
        <v>0</v>
      </c>
      <c r="AG75">
        <v>0</v>
      </c>
      <c r="AH75">
        <v>8.5299999999999994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4</v>
      </c>
      <c r="AT75">
        <v>0.9</v>
      </c>
      <c r="AU75" t="s">
        <v>30</v>
      </c>
      <c r="AV75">
        <v>1</v>
      </c>
      <c r="AW75">
        <v>2</v>
      </c>
      <c r="AX75">
        <v>16501094</v>
      </c>
      <c r="AY75">
        <v>1</v>
      </c>
      <c r="AZ75">
        <v>0</v>
      </c>
      <c r="BA75">
        <v>77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Y75*Source!I54</f>
        <v>125.54549999999999</v>
      </c>
      <c r="CY75">
        <f>AD75</f>
        <v>8.5299999999999994</v>
      </c>
      <c r="CZ75">
        <f>AH75</f>
        <v>8.5299999999999994</v>
      </c>
      <c r="DA75">
        <f>AL75</f>
        <v>1</v>
      </c>
      <c r="DB75">
        <v>0</v>
      </c>
    </row>
    <row r="76" spans="1:106" x14ac:dyDescent="0.2">
      <c r="A76">
        <f>ROW(Source!A55)</f>
        <v>55</v>
      </c>
      <c r="B76">
        <v>16500997</v>
      </c>
      <c r="C76">
        <v>16501077</v>
      </c>
      <c r="D76">
        <v>15430767</v>
      </c>
      <c r="E76">
        <v>1</v>
      </c>
      <c r="F76">
        <v>1</v>
      </c>
      <c r="G76">
        <v>1</v>
      </c>
      <c r="H76">
        <v>1</v>
      </c>
      <c r="I76" t="s">
        <v>256</v>
      </c>
      <c r="J76" t="s">
        <v>4</v>
      </c>
      <c r="K76" t="s">
        <v>257</v>
      </c>
      <c r="L76">
        <v>1191</v>
      </c>
      <c r="N76">
        <v>1013</v>
      </c>
      <c r="O76" t="s">
        <v>249</v>
      </c>
      <c r="P76" t="s">
        <v>249</v>
      </c>
      <c r="Q76">
        <v>1</v>
      </c>
      <c r="W76">
        <v>0</v>
      </c>
      <c r="X76">
        <v>-400197608</v>
      </c>
      <c r="Y76">
        <v>1.0349999999999999</v>
      </c>
      <c r="AA76">
        <v>0</v>
      </c>
      <c r="AB76">
        <v>0</v>
      </c>
      <c r="AC76">
        <v>0</v>
      </c>
      <c r="AD76">
        <v>51.86</v>
      </c>
      <c r="AE76">
        <v>0</v>
      </c>
      <c r="AF76">
        <v>0</v>
      </c>
      <c r="AG76">
        <v>0</v>
      </c>
      <c r="AH76">
        <v>8.5299999999999994</v>
      </c>
      <c r="AI76">
        <v>1</v>
      </c>
      <c r="AJ76">
        <v>1</v>
      </c>
      <c r="AK76">
        <v>1</v>
      </c>
      <c r="AL76">
        <v>6.08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4</v>
      </c>
      <c r="AT76">
        <v>0.9</v>
      </c>
      <c r="AU76" t="s">
        <v>30</v>
      </c>
      <c r="AV76">
        <v>1</v>
      </c>
      <c r="AW76">
        <v>2</v>
      </c>
      <c r="AX76">
        <v>16501094</v>
      </c>
      <c r="AY76">
        <v>1</v>
      </c>
      <c r="AZ76">
        <v>0</v>
      </c>
      <c r="BA76">
        <v>78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Y76*Source!I55</f>
        <v>125.54549999999999</v>
      </c>
      <c r="CY76">
        <f>AD76</f>
        <v>51.86</v>
      </c>
      <c r="CZ76">
        <f>AH76</f>
        <v>8.5299999999999994</v>
      </c>
      <c r="DA76">
        <f>AL76</f>
        <v>6.08</v>
      </c>
      <c r="DB76">
        <v>0</v>
      </c>
    </row>
    <row r="77" spans="1:106" x14ac:dyDescent="0.2">
      <c r="A77">
        <f>ROW(Source!A56)</f>
        <v>56</v>
      </c>
      <c r="B77">
        <v>16500983</v>
      </c>
      <c r="C77">
        <v>16501095</v>
      </c>
      <c r="D77">
        <v>15430767</v>
      </c>
      <c r="E77">
        <v>1</v>
      </c>
      <c r="F77">
        <v>1</v>
      </c>
      <c r="G77">
        <v>1</v>
      </c>
      <c r="H77">
        <v>1</v>
      </c>
      <c r="I77" t="s">
        <v>256</v>
      </c>
      <c r="J77" t="s">
        <v>4</v>
      </c>
      <c r="K77" t="s">
        <v>257</v>
      </c>
      <c r="L77">
        <v>1191</v>
      </c>
      <c r="N77">
        <v>1013</v>
      </c>
      <c r="O77" t="s">
        <v>249</v>
      </c>
      <c r="P77" t="s">
        <v>249</v>
      </c>
      <c r="Q77">
        <v>1</v>
      </c>
      <c r="W77">
        <v>0</v>
      </c>
      <c r="X77">
        <v>-400197608</v>
      </c>
      <c r="Y77">
        <v>37.363500000000002</v>
      </c>
      <c r="AA77">
        <v>0</v>
      </c>
      <c r="AB77">
        <v>0</v>
      </c>
      <c r="AC77">
        <v>0</v>
      </c>
      <c r="AD77">
        <v>8.5299999999999994</v>
      </c>
      <c r="AE77">
        <v>0</v>
      </c>
      <c r="AF77">
        <v>0</v>
      </c>
      <c r="AG77">
        <v>0</v>
      </c>
      <c r="AH77">
        <v>8.5299999999999994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4</v>
      </c>
      <c r="AT77">
        <v>32.49</v>
      </c>
      <c r="AU77" t="s">
        <v>30</v>
      </c>
      <c r="AV77">
        <v>1</v>
      </c>
      <c r="AW77">
        <v>2</v>
      </c>
      <c r="AX77">
        <v>16501096</v>
      </c>
      <c r="AY77">
        <v>1</v>
      </c>
      <c r="AZ77">
        <v>0</v>
      </c>
      <c r="BA77">
        <v>79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Y77*Source!I56</f>
        <v>30.413889000000001</v>
      </c>
      <c r="CY77">
        <f>AD77</f>
        <v>8.5299999999999994</v>
      </c>
      <c r="CZ77">
        <f>AH77</f>
        <v>8.5299999999999994</v>
      </c>
      <c r="DA77">
        <f>AL77</f>
        <v>1</v>
      </c>
      <c r="DB77">
        <v>0</v>
      </c>
    </row>
    <row r="78" spans="1:106" x14ac:dyDescent="0.2">
      <c r="A78">
        <f>ROW(Source!A56)</f>
        <v>56</v>
      </c>
      <c r="B78">
        <v>16500983</v>
      </c>
      <c r="C78">
        <v>16501095</v>
      </c>
      <c r="D78">
        <v>15430395</v>
      </c>
      <c r="E78">
        <v>1</v>
      </c>
      <c r="F78">
        <v>1</v>
      </c>
      <c r="G78">
        <v>1</v>
      </c>
      <c r="H78">
        <v>1</v>
      </c>
      <c r="I78" t="s">
        <v>250</v>
      </c>
      <c r="J78" t="s">
        <v>4</v>
      </c>
      <c r="K78" t="s">
        <v>251</v>
      </c>
      <c r="L78">
        <v>1191</v>
      </c>
      <c r="N78">
        <v>1013</v>
      </c>
      <c r="O78" t="s">
        <v>249</v>
      </c>
      <c r="P78" t="s">
        <v>249</v>
      </c>
      <c r="Q78">
        <v>1</v>
      </c>
      <c r="W78">
        <v>0</v>
      </c>
      <c r="X78">
        <v>-1417349443</v>
      </c>
      <c r="Y78">
        <v>0.93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4</v>
      </c>
      <c r="AT78">
        <v>0.93</v>
      </c>
      <c r="AU78" t="s">
        <v>4</v>
      </c>
      <c r="AV78">
        <v>2</v>
      </c>
      <c r="AW78">
        <v>2</v>
      </c>
      <c r="AX78">
        <v>16501097</v>
      </c>
      <c r="AY78">
        <v>1</v>
      </c>
      <c r="AZ78">
        <v>2048</v>
      </c>
      <c r="BA78">
        <v>80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Y78*Source!I56</f>
        <v>0.75702000000000003</v>
      </c>
      <c r="CY78">
        <f>AD78</f>
        <v>0</v>
      </c>
      <c r="CZ78">
        <f>AH78</f>
        <v>0</v>
      </c>
      <c r="DA78">
        <f>AL78</f>
        <v>1</v>
      </c>
      <c r="DB78">
        <v>0</v>
      </c>
    </row>
    <row r="79" spans="1:106" x14ac:dyDescent="0.2">
      <c r="A79">
        <f>ROW(Source!A56)</f>
        <v>56</v>
      </c>
      <c r="B79">
        <v>16500983</v>
      </c>
      <c r="C79">
        <v>16501095</v>
      </c>
      <c r="D79">
        <v>15247905</v>
      </c>
      <c r="E79">
        <v>1</v>
      </c>
      <c r="F79">
        <v>1</v>
      </c>
      <c r="G79">
        <v>1</v>
      </c>
      <c r="H79">
        <v>2</v>
      </c>
      <c r="I79" t="s">
        <v>289</v>
      </c>
      <c r="J79" t="s">
        <v>290</v>
      </c>
      <c r="K79" t="s">
        <v>291</v>
      </c>
      <c r="L79">
        <v>1368</v>
      </c>
      <c r="N79">
        <v>1011</v>
      </c>
      <c r="O79" t="s">
        <v>255</v>
      </c>
      <c r="P79" t="s">
        <v>255</v>
      </c>
      <c r="Q79">
        <v>1</v>
      </c>
      <c r="W79">
        <v>0</v>
      </c>
      <c r="X79">
        <v>1225731627</v>
      </c>
      <c r="Y79">
        <v>2.5000000000000001E-2</v>
      </c>
      <c r="AA79">
        <v>0</v>
      </c>
      <c r="AB79">
        <v>89.99</v>
      </c>
      <c r="AC79">
        <v>10.06</v>
      </c>
      <c r="AD79">
        <v>0</v>
      </c>
      <c r="AE79">
        <v>0</v>
      </c>
      <c r="AF79">
        <v>89.99</v>
      </c>
      <c r="AG79">
        <v>10.06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4</v>
      </c>
      <c r="AT79">
        <v>0.02</v>
      </c>
      <c r="AU79" t="s">
        <v>29</v>
      </c>
      <c r="AV79">
        <v>0</v>
      </c>
      <c r="AW79">
        <v>2</v>
      </c>
      <c r="AX79">
        <v>16501098</v>
      </c>
      <c r="AY79">
        <v>1</v>
      </c>
      <c r="AZ79">
        <v>0</v>
      </c>
      <c r="BA79">
        <v>81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Y79*Source!I56</f>
        <v>2.035E-2</v>
      </c>
      <c r="CY79">
        <f>AB79</f>
        <v>89.99</v>
      </c>
      <c r="CZ79">
        <f>AF79</f>
        <v>89.99</v>
      </c>
      <c r="DA79">
        <f>AJ79</f>
        <v>1</v>
      </c>
      <c r="DB79">
        <v>0</v>
      </c>
    </row>
    <row r="80" spans="1:106" x14ac:dyDescent="0.2">
      <c r="A80">
        <f>ROW(Source!A56)</f>
        <v>56</v>
      </c>
      <c r="B80">
        <v>16500983</v>
      </c>
      <c r="C80">
        <v>16501095</v>
      </c>
      <c r="D80">
        <v>15247974</v>
      </c>
      <c r="E80">
        <v>1</v>
      </c>
      <c r="F80">
        <v>1</v>
      </c>
      <c r="G80">
        <v>1</v>
      </c>
      <c r="H80">
        <v>2</v>
      </c>
      <c r="I80" t="s">
        <v>252</v>
      </c>
      <c r="J80" t="s">
        <v>253</v>
      </c>
      <c r="K80" t="s">
        <v>254</v>
      </c>
      <c r="L80">
        <v>1368</v>
      </c>
      <c r="N80">
        <v>1011</v>
      </c>
      <c r="O80" t="s">
        <v>255</v>
      </c>
      <c r="P80" t="s">
        <v>255</v>
      </c>
      <c r="Q80">
        <v>1</v>
      </c>
      <c r="W80">
        <v>0</v>
      </c>
      <c r="X80">
        <v>1188625873</v>
      </c>
      <c r="Y80">
        <v>0.26250000000000001</v>
      </c>
      <c r="AA80">
        <v>0</v>
      </c>
      <c r="AB80">
        <v>31.26</v>
      </c>
      <c r="AC80">
        <v>13.5</v>
      </c>
      <c r="AD80">
        <v>0</v>
      </c>
      <c r="AE80">
        <v>0</v>
      </c>
      <c r="AF80">
        <v>31.26</v>
      </c>
      <c r="AG80">
        <v>13.5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4</v>
      </c>
      <c r="AT80">
        <v>0.21</v>
      </c>
      <c r="AU80" t="s">
        <v>29</v>
      </c>
      <c r="AV80">
        <v>0</v>
      </c>
      <c r="AW80">
        <v>2</v>
      </c>
      <c r="AX80">
        <v>16501099</v>
      </c>
      <c r="AY80">
        <v>1</v>
      </c>
      <c r="AZ80">
        <v>0</v>
      </c>
      <c r="BA80">
        <v>82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Y80*Source!I56</f>
        <v>0.213675</v>
      </c>
      <c r="CY80">
        <f>AB80</f>
        <v>31.26</v>
      </c>
      <c r="CZ80">
        <f>AF80</f>
        <v>31.26</v>
      </c>
      <c r="DA80">
        <f>AJ80</f>
        <v>1</v>
      </c>
      <c r="DB80">
        <v>0</v>
      </c>
    </row>
    <row r="81" spans="1:106" x14ac:dyDescent="0.2">
      <c r="A81">
        <f>ROW(Source!A56)</f>
        <v>56</v>
      </c>
      <c r="B81">
        <v>16500983</v>
      </c>
      <c r="C81">
        <v>16501095</v>
      </c>
      <c r="D81">
        <v>15248143</v>
      </c>
      <c r="E81">
        <v>1</v>
      </c>
      <c r="F81">
        <v>1</v>
      </c>
      <c r="G81">
        <v>1</v>
      </c>
      <c r="H81">
        <v>2</v>
      </c>
      <c r="I81" t="s">
        <v>292</v>
      </c>
      <c r="J81" t="s">
        <v>293</v>
      </c>
      <c r="K81" t="s">
        <v>294</v>
      </c>
      <c r="L81">
        <v>1368</v>
      </c>
      <c r="N81">
        <v>1011</v>
      </c>
      <c r="O81" t="s">
        <v>255</v>
      </c>
      <c r="P81" t="s">
        <v>255</v>
      </c>
      <c r="Q81">
        <v>1</v>
      </c>
      <c r="W81">
        <v>0</v>
      </c>
      <c r="X81">
        <v>983187852</v>
      </c>
      <c r="Y81">
        <v>0.875</v>
      </c>
      <c r="AA81">
        <v>0</v>
      </c>
      <c r="AB81">
        <v>12.39</v>
      </c>
      <c r="AC81">
        <v>10.06</v>
      </c>
      <c r="AD81">
        <v>0</v>
      </c>
      <c r="AE81">
        <v>0</v>
      </c>
      <c r="AF81">
        <v>12.39</v>
      </c>
      <c r="AG81">
        <v>10.06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4</v>
      </c>
      <c r="AT81">
        <v>0.7</v>
      </c>
      <c r="AU81" t="s">
        <v>29</v>
      </c>
      <c r="AV81">
        <v>0</v>
      </c>
      <c r="AW81">
        <v>2</v>
      </c>
      <c r="AX81">
        <v>16501100</v>
      </c>
      <c r="AY81">
        <v>1</v>
      </c>
      <c r="AZ81">
        <v>0</v>
      </c>
      <c r="BA81">
        <v>83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Y81*Source!I56</f>
        <v>0.71224999999999994</v>
      </c>
      <c r="CY81">
        <f>AB81</f>
        <v>12.39</v>
      </c>
      <c r="CZ81">
        <f>AF81</f>
        <v>12.39</v>
      </c>
      <c r="DA81">
        <f>AJ81</f>
        <v>1</v>
      </c>
      <c r="DB81">
        <v>0</v>
      </c>
    </row>
    <row r="82" spans="1:106" x14ac:dyDescent="0.2">
      <c r="A82">
        <f>ROW(Source!A56)</f>
        <v>56</v>
      </c>
      <c r="B82">
        <v>16500983</v>
      </c>
      <c r="C82">
        <v>16501095</v>
      </c>
      <c r="D82">
        <v>15167286</v>
      </c>
      <c r="E82">
        <v>1</v>
      </c>
      <c r="F82">
        <v>1</v>
      </c>
      <c r="G82">
        <v>1</v>
      </c>
      <c r="H82">
        <v>3</v>
      </c>
      <c r="I82" t="s">
        <v>264</v>
      </c>
      <c r="J82" t="s">
        <v>265</v>
      </c>
      <c r="K82" t="s">
        <v>266</v>
      </c>
      <c r="L82">
        <v>1339</v>
      </c>
      <c r="N82">
        <v>1007</v>
      </c>
      <c r="O82" t="s">
        <v>267</v>
      </c>
      <c r="P82" t="s">
        <v>267</v>
      </c>
      <c r="Q82">
        <v>1</v>
      </c>
      <c r="W82">
        <v>0</v>
      </c>
      <c r="X82">
        <v>-1660354250</v>
      </c>
      <c r="Y82">
        <v>0.51</v>
      </c>
      <c r="AA82">
        <v>2.44</v>
      </c>
      <c r="AB82">
        <v>0</v>
      </c>
      <c r="AC82">
        <v>0</v>
      </c>
      <c r="AD82">
        <v>0</v>
      </c>
      <c r="AE82">
        <v>2.44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4</v>
      </c>
      <c r="AT82">
        <v>0.51</v>
      </c>
      <c r="AU82" t="s">
        <v>4</v>
      </c>
      <c r="AV82">
        <v>0</v>
      </c>
      <c r="AW82">
        <v>2</v>
      </c>
      <c r="AX82">
        <v>16501101</v>
      </c>
      <c r="AY82">
        <v>1</v>
      </c>
      <c r="AZ82">
        <v>0</v>
      </c>
      <c r="BA82">
        <v>84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Y82*Source!I56</f>
        <v>0.41513999999999995</v>
      </c>
      <c r="CY82">
        <f>AA82</f>
        <v>2.44</v>
      </c>
      <c r="CZ82">
        <f>AE82</f>
        <v>2.44</v>
      </c>
      <c r="DA82">
        <f>AI82</f>
        <v>1</v>
      </c>
      <c r="DB82">
        <v>0</v>
      </c>
    </row>
    <row r="83" spans="1:106" x14ac:dyDescent="0.2">
      <c r="A83">
        <f>ROW(Source!A56)</f>
        <v>56</v>
      </c>
      <c r="B83">
        <v>16500983</v>
      </c>
      <c r="C83">
        <v>16501095</v>
      </c>
      <c r="D83">
        <v>15173298</v>
      </c>
      <c r="E83">
        <v>1</v>
      </c>
      <c r="F83">
        <v>1</v>
      </c>
      <c r="G83">
        <v>1</v>
      </c>
      <c r="H83">
        <v>3</v>
      </c>
      <c r="I83" t="s">
        <v>103</v>
      </c>
      <c r="J83" t="s">
        <v>105</v>
      </c>
      <c r="K83" t="s">
        <v>104</v>
      </c>
      <c r="L83">
        <v>1348</v>
      </c>
      <c r="N83">
        <v>1009</v>
      </c>
      <c r="O83" t="s">
        <v>58</v>
      </c>
      <c r="P83" t="s">
        <v>58</v>
      </c>
      <c r="Q83">
        <v>1000</v>
      </c>
      <c r="W83">
        <v>0</v>
      </c>
      <c r="X83">
        <v>-791558573</v>
      </c>
      <c r="Y83">
        <v>0.85</v>
      </c>
      <c r="AA83">
        <v>931.37</v>
      </c>
      <c r="AB83">
        <v>0</v>
      </c>
      <c r="AC83">
        <v>0</v>
      </c>
      <c r="AD83">
        <v>0</v>
      </c>
      <c r="AE83">
        <v>931.37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4</v>
      </c>
      <c r="AT83">
        <v>0.85</v>
      </c>
      <c r="AU83" t="s">
        <v>4</v>
      </c>
      <c r="AV83">
        <v>0</v>
      </c>
      <c r="AW83">
        <v>1</v>
      </c>
      <c r="AX83">
        <v>-1</v>
      </c>
      <c r="AY83">
        <v>0</v>
      </c>
      <c r="AZ83">
        <v>0</v>
      </c>
      <c r="BA83" t="s">
        <v>4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Y83*Source!I56</f>
        <v>0.69189999999999996</v>
      </c>
      <c r="CY83">
        <f>AA83</f>
        <v>931.37</v>
      </c>
      <c r="CZ83">
        <f>AE83</f>
        <v>931.37</v>
      </c>
      <c r="DA83">
        <f>AI83</f>
        <v>1</v>
      </c>
      <c r="DB83">
        <v>0</v>
      </c>
    </row>
    <row r="84" spans="1:106" x14ac:dyDescent="0.2">
      <c r="A84">
        <f>ROW(Source!A56)</f>
        <v>56</v>
      </c>
      <c r="B84">
        <v>16500983</v>
      </c>
      <c r="C84">
        <v>16501095</v>
      </c>
      <c r="D84">
        <v>15203233</v>
      </c>
      <c r="E84">
        <v>1</v>
      </c>
      <c r="F84">
        <v>1</v>
      </c>
      <c r="G84">
        <v>1</v>
      </c>
      <c r="H84">
        <v>3</v>
      </c>
      <c r="I84" t="s">
        <v>107</v>
      </c>
      <c r="J84" t="s">
        <v>109</v>
      </c>
      <c r="K84" t="s">
        <v>108</v>
      </c>
      <c r="L84">
        <v>1348</v>
      </c>
      <c r="N84">
        <v>1009</v>
      </c>
      <c r="O84" t="s">
        <v>58</v>
      </c>
      <c r="P84" t="s">
        <v>58</v>
      </c>
      <c r="Q84">
        <v>1000</v>
      </c>
      <c r="W84">
        <v>0</v>
      </c>
      <c r="X84">
        <v>-1919714308</v>
      </c>
      <c r="Y84">
        <v>0.02</v>
      </c>
      <c r="AA84">
        <v>18390.16</v>
      </c>
      <c r="AB84">
        <v>0</v>
      </c>
      <c r="AC84">
        <v>0</v>
      </c>
      <c r="AD84">
        <v>0</v>
      </c>
      <c r="AE84">
        <v>18390.16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4</v>
      </c>
      <c r="AT84">
        <v>0.02</v>
      </c>
      <c r="AU84" t="s">
        <v>4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Y84*Source!I56</f>
        <v>1.6279999999999999E-2</v>
      </c>
      <c r="CY84">
        <f>AA84</f>
        <v>18390.16</v>
      </c>
      <c r="CZ84">
        <f>AE84</f>
        <v>18390.16</v>
      </c>
      <c r="DA84">
        <f>AI84</f>
        <v>1</v>
      </c>
      <c r="DB84">
        <v>0</v>
      </c>
    </row>
    <row r="85" spans="1:106" x14ac:dyDescent="0.2">
      <c r="A85">
        <f>ROW(Source!A57)</f>
        <v>57</v>
      </c>
      <c r="B85">
        <v>16500997</v>
      </c>
      <c r="C85">
        <v>16501095</v>
      </c>
      <c r="D85">
        <v>15430767</v>
      </c>
      <c r="E85">
        <v>1</v>
      </c>
      <c r="F85">
        <v>1</v>
      </c>
      <c r="G85">
        <v>1</v>
      </c>
      <c r="H85">
        <v>1</v>
      </c>
      <c r="I85" t="s">
        <v>256</v>
      </c>
      <c r="J85" t="s">
        <v>4</v>
      </c>
      <c r="K85" t="s">
        <v>257</v>
      </c>
      <c r="L85">
        <v>1191</v>
      </c>
      <c r="N85">
        <v>1013</v>
      </c>
      <c r="O85" t="s">
        <v>249</v>
      </c>
      <c r="P85" t="s">
        <v>249</v>
      </c>
      <c r="Q85">
        <v>1</v>
      </c>
      <c r="W85">
        <v>0</v>
      </c>
      <c r="X85">
        <v>-400197608</v>
      </c>
      <c r="Y85">
        <v>37.363500000000002</v>
      </c>
      <c r="AA85">
        <v>0</v>
      </c>
      <c r="AB85">
        <v>0</v>
      </c>
      <c r="AC85">
        <v>0</v>
      </c>
      <c r="AD85">
        <v>51.86</v>
      </c>
      <c r="AE85">
        <v>0</v>
      </c>
      <c r="AF85">
        <v>0</v>
      </c>
      <c r="AG85">
        <v>0</v>
      </c>
      <c r="AH85">
        <v>8.5299999999999994</v>
      </c>
      <c r="AI85">
        <v>1</v>
      </c>
      <c r="AJ85">
        <v>1</v>
      </c>
      <c r="AK85">
        <v>1</v>
      </c>
      <c r="AL85">
        <v>6.08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4</v>
      </c>
      <c r="AT85">
        <v>32.49</v>
      </c>
      <c r="AU85" t="s">
        <v>30</v>
      </c>
      <c r="AV85">
        <v>1</v>
      </c>
      <c r="AW85">
        <v>2</v>
      </c>
      <c r="AX85">
        <v>16501096</v>
      </c>
      <c r="AY85">
        <v>1</v>
      </c>
      <c r="AZ85">
        <v>0</v>
      </c>
      <c r="BA85">
        <v>87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Y85*Source!I57</f>
        <v>30.413889000000001</v>
      </c>
      <c r="CY85">
        <f>AD85</f>
        <v>51.86</v>
      </c>
      <c r="CZ85">
        <f>AH85</f>
        <v>8.5299999999999994</v>
      </c>
      <c r="DA85">
        <f>AL85</f>
        <v>6.08</v>
      </c>
      <c r="DB85">
        <v>0</v>
      </c>
    </row>
    <row r="86" spans="1:106" x14ac:dyDescent="0.2">
      <c r="A86">
        <f>ROW(Source!A57)</f>
        <v>57</v>
      </c>
      <c r="B86">
        <v>16500997</v>
      </c>
      <c r="C86">
        <v>16501095</v>
      </c>
      <c r="D86">
        <v>15430395</v>
      </c>
      <c r="E86">
        <v>1</v>
      </c>
      <c r="F86">
        <v>1</v>
      </c>
      <c r="G86">
        <v>1</v>
      </c>
      <c r="H86">
        <v>1</v>
      </c>
      <c r="I86" t="s">
        <v>250</v>
      </c>
      <c r="J86" t="s">
        <v>4</v>
      </c>
      <c r="K86" t="s">
        <v>251</v>
      </c>
      <c r="L86">
        <v>1191</v>
      </c>
      <c r="N86">
        <v>1013</v>
      </c>
      <c r="O86" t="s">
        <v>249</v>
      </c>
      <c r="P86" t="s">
        <v>249</v>
      </c>
      <c r="Q86">
        <v>1</v>
      </c>
      <c r="W86">
        <v>0</v>
      </c>
      <c r="X86">
        <v>-1417349443</v>
      </c>
      <c r="Y86">
        <v>0.93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6.08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4</v>
      </c>
      <c r="AT86">
        <v>0.93</v>
      </c>
      <c r="AU86" t="s">
        <v>4</v>
      </c>
      <c r="AV86">
        <v>2</v>
      </c>
      <c r="AW86">
        <v>2</v>
      </c>
      <c r="AX86">
        <v>16501097</v>
      </c>
      <c r="AY86">
        <v>1</v>
      </c>
      <c r="AZ86">
        <v>2048</v>
      </c>
      <c r="BA86">
        <v>88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Y86*Source!I57</f>
        <v>0.75702000000000003</v>
      </c>
      <c r="CY86">
        <f>AD86</f>
        <v>0</v>
      </c>
      <c r="CZ86">
        <f>AH86</f>
        <v>0</v>
      </c>
      <c r="DA86">
        <f>AL86</f>
        <v>1</v>
      </c>
      <c r="DB86">
        <v>0</v>
      </c>
    </row>
    <row r="87" spans="1:106" x14ac:dyDescent="0.2">
      <c r="A87">
        <f>ROW(Source!A57)</f>
        <v>57</v>
      </c>
      <c r="B87">
        <v>16500997</v>
      </c>
      <c r="C87">
        <v>16501095</v>
      </c>
      <c r="D87">
        <v>15247905</v>
      </c>
      <c r="E87">
        <v>1</v>
      </c>
      <c r="F87">
        <v>1</v>
      </c>
      <c r="G87">
        <v>1</v>
      </c>
      <c r="H87">
        <v>2</v>
      </c>
      <c r="I87" t="s">
        <v>289</v>
      </c>
      <c r="J87" t="s">
        <v>290</v>
      </c>
      <c r="K87" t="s">
        <v>291</v>
      </c>
      <c r="L87">
        <v>1368</v>
      </c>
      <c r="N87">
        <v>1011</v>
      </c>
      <c r="O87" t="s">
        <v>255</v>
      </c>
      <c r="P87" t="s">
        <v>255</v>
      </c>
      <c r="Q87">
        <v>1</v>
      </c>
      <c r="W87">
        <v>0</v>
      </c>
      <c r="X87">
        <v>1225731627</v>
      </c>
      <c r="Y87">
        <v>2.5000000000000001E-2</v>
      </c>
      <c r="AA87">
        <v>0</v>
      </c>
      <c r="AB87">
        <v>547.14</v>
      </c>
      <c r="AC87">
        <v>10.06</v>
      </c>
      <c r="AD87">
        <v>0</v>
      </c>
      <c r="AE87">
        <v>0</v>
      </c>
      <c r="AF87">
        <v>89.99</v>
      </c>
      <c r="AG87">
        <v>10.06</v>
      </c>
      <c r="AH87">
        <v>0</v>
      </c>
      <c r="AI87">
        <v>1</v>
      </c>
      <c r="AJ87">
        <v>6.08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4</v>
      </c>
      <c r="AT87">
        <v>0.02</v>
      </c>
      <c r="AU87" t="s">
        <v>29</v>
      </c>
      <c r="AV87">
        <v>0</v>
      </c>
      <c r="AW87">
        <v>2</v>
      </c>
      <c r="AX87">
        <v>16501098</v>
      </c>
      <c r="AY87">
        <v>1</v>
      </c>
      <c r="AZ87">
        <v>0</v>
      </c>
      <c r="BA87">
        <v>89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Y87*Source!I57</f>
        <v>2.035E-2</v>
      </c>
      <c r="CY87">
        <f>AB87</f>
        <v>547.14</v>
      </c>
      <c r="CZ87">
        <f>AF87</f>
        <v>89.99</v>
      </c>
      <c r="DA87">
        <f>AJ87</f>
        <v>6.08</v>
      </c>
      <c r="DB87">
        <v>0</v>
      </c>
    </row>
    <row r="88" spans="1:106" x14ac:dyDescent="0.2">
      <c r="A88">
        <f>ROW(Source!A57)</f>
        <v>57</v>
      </c>
      <c r="B88">
        <v>16500997</v>
      </c>
      <c r="C88">
        <v>16501095</v>
      </c>
      <c r="D88">
        <v>15247974</v>
      </c>
      <c r="E88">
        <v>1</v>
      </c>
      <c r="F88">
        <v>1</v>
      </c>
      <c r="G88">
        <v>1</v>
      </c>
      <c r="H88">
        <v>2</v>
      </c>
      <c r="I88" t="s">
        <v>252</v>
      </c>
      <c r="J88" t="s">
        <v>253</v>
      </c>
      <c r="K88" t="s">
        <v>254</v>
      </c>
      <c r="L88">
        <v>1368</v>
      </c>
      <c r="N88">
        <v>1011</v>
      </c>
      <c r="O88" t="s">
        <v>255</v>
      </c>
      <c r="P88" t="s">
        <v>255</v>
      </c>
      <c r="Q88">
        <v>1</v>
      </c>
      <c r="W88">
        <v>0</v>
      </c>
      <c r="X88">
        <v>1188625873</v>
      </c>
      <c r="Y88">
        <v>0.26250000000000001</v>
      </c>
      <c r="AA88">
        <v>0</v>
      </c>
      <c r="AB88">
        <v>190.06</v>
      </c>
      <c r="AC88">
        <v>13.5</v>
      </c>
      <c r="AD88">
        <v>0</v>
      </c>
      <c r="AE88">
        <v>0</v>
      </c>
      <c r="AF88">
        <v>31.26</v>
      </c>
      <c r="AG88">
        <v>13.5</v>
      </c>
      <c r="AH88">
        <v>0</v>
      </c>
      <c r="AI88">
        <v>1</v>
      </c>
      <c r="AJ88">
        <v>6.08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4</v>
      </c>
      <c r="AT88">
        <v>0.21</v>
      </c>
      <c r="AU88" t="s">
        <v>29</v>
      </c>
      <c r="AV88">
        <v>0</v>
      </c>
      <c r="AW88">
        <v>2</v>
      </c>
      <c r="AX88">
        <v>16501099</v>
      </c>
      <c r="AY88">
        <v>1</v>
      </c>
      <c r="AZ88">
        <v>0</v>
      </c>
      <c r="BA88">
        <v>90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Y88*Source!I57</f>
        <v>0.213675</v>
      </c>
      <c r="CY88">
        <f>AB88</f>
        <v>190.06</v>
      </c>
      <c r="CZ88">
        <f>AF88</f>
        <v>31.26</v>
      </c>
      <c r="DA88">
        <f>AJ88</f>
        <v>6.08</v>
      </c>
      <c r="DB88">
        <v>0</v>
      </c>
    </row>
    <row r="89" spans="1:106" x14ac:dyDescent="0.2">
      <c r="A89">
        <f>ROW(Source!A57)</f>
        <v>57</v>
      </c>
      <c r="B89">
        <v>16500997</v>
      </c>
      <c r="C89">
        <v>16501095</v>
      </c>
      <c r="D89">
        <v>15248143</v>
      </c>
      <c r="E89">
        <v>1</v>
      </c>
      <c r="F89">
        <v>1</v>
      </c>
      <c r="G89">
        <v>1</v>
      </c>
      <c r="H89">
        <v>2</v>
      </c>
      <c r="I89" t="s">
        <v>292</v>
      </c>
      <c r="J89" t="s">
        <v>293</v>
      </c>
      <c r="K89" t="s">
        <v>294</v>
      </c>
      <c r="L89">
        <v>1368</v>
      </c>
      <c r="N89">
        <v>1011</v>
      </c>
      <c r="O89" t="s">
        <v>255</v>
      </c>
      <c r="P89" t="s">
        <v>255</v>
      </c>
      <c r="Q89">
        <v>1</v>
      </c>
      <c r="W89">
        <v>0</v>
      </c>
      <c r="X89">
        <v>983187852</v>
      </c>
      <c r="Y89">
        <v>0.875</v>
      </c>
      <c r="AA89">
        <v>0</v>
      </c>
      <c r="AB89">
        <v>75.33</v>
      </c>
      <c r="AC89">
        <v>10.06</v>
      </c>
      <c r="AD89">
        <v>0</v>
      </c>
      <c r="AE89">
        <v>0</v>
      </c>
      <c r="AF89">
        <v>12.39</v>
      </c>
      <c r="AG89">
        <v>10.06</v>
      </c>
      <c r="AH89">
        <v>0</v>
      </c>
      <c r="AI89">
        <v>1</v>
      </c>
      <c r="AJ89">
        <v>6.08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4</v>
      </c>
      <c r="AT89">
        <v>0.7</v>
      </c>
      <c r="AU89" t="s">
        <v>29</v>
      </c>
      <c r="AV89">
        <v>0</v>
      </c>
      <c r="AW89">
        <v>2</v>
      </c>
      <c r="AX89">
        <v>16501100</v>
      </c>
      <c r="AY89">
        <v>1</v>
      </c>
      <c r="AZ89">
        <v>0</v>
      </c>
      <c r="BA89">
        <v>91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Y89*Source!I57</f>
        <v>0.71224999999999994</v>
      </c>
      <c r="CY89">
        <f>AB89</f>
        <v>75.33</v>
      </c>
      <c r="CZ89">
        <f>AF89</f>
        <v>12.39</v>
      </c>
      <c r="DA89">
        <f>AJ89</f>
        <v>6.08</v>
      </c>
      <c r="DB89">
        <v>0</v>
      </c>
    </row>
    <row r="90" spans="1:106" x14ac:dyDescent="0.2">
      <c r="A90">
        <f>ROW(Source!A57)</f>
        <v>57</v>
      </c>
      <c r="B90">
        <v>16500997</v>
      </c>
      <c r="C90">
        <v>16501095</v>
      </c>
      <c r="D90">
        <v>15167286</v>
      </c>
      <c r="E90">
        <v>1</v>
      </c>
      <c r="F90">
        <v>1</v>
      </c>
      <c r="G90">
        <v>1</v>
      </c>
      <c r="H90">
        <v>3</v>
      </c>
      <c r="I90" t="s">
        <v>264</v>
      </c>
      <c r="J90" t="s">
        <v>265</v>
      </c>
      <c r="K90" t="s">
        <v>266</v>
      </c>
      <c r="L90">
        <v>1339</v>
      </c>
      <c r="N90">
        <v>1007</v>
      </c>
      <c r="O90" t="s">
        <v>267</v>
      </c>
      <c r="P90" t="s">
        <v>267</v>
      </c>
      <c r="Q90">
        <v>1</v>
      </c>
      <c r="W90">
        <v>0</v>
      </c>
      <c r="X90">
        <v>-1660354250</v>
      </c>
      <c r="Y90">
        <v>0.51</v>
      </c>
      <c r="AA90">
        <v>14.84</v>
      </c>
      <c r="AB90">
        <v>0</v>
      </c>
      <c r="AC90">
        <v>0</v>
      </c>
      <c r="AD90">
        <v>0</v>
      </c>
      <c r="AE90">
        <v>2.44</v>
      </c>
      <c r="AF90">
        <v>0</v>
      </c>
      <c r="AG90">
        <v>0</v>
      </c>
      <c r="AH90">
        <v>0</v>
      </c>
      <c r="AI90">
        <v>6.08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4</v>
      </c>
      <c r="AT90">
        <v>0.51</v>
      </c>
      <c r="AU90" t="s">
        <v>4</v>
      </c>
      <c r="AV90">
        <v>0</v>
      </c>
      <c r="AW90">
        <v>2</v>
      </c>
      <c r="AX90">
        <v>16501101</v>
      </c>
      <c r="AY90">
        <v>1</v>
      </c>
      <c r="AZ90">
        <v>0</v>
      </c>
      <c r="BA90">
        <v>92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Y90*Source!I57</f>
        <v>0.41513999999999995</v>
      </c>
      <c r="CY90">
        <f>AA90</f>
        <v>14.84</v>
      </c>
      <c r="CZ90">
        <f>AE90</f>
        <v>2.44</v>
      </c>
      <c r="DA90">
        <f>AI90</f>
        <v>6.08</v>
      </c>
      <c r="DB90">
        <v>0</v>
      </c>
    </row>
    <row r="91" spans="1:106" x14ac:dyDescent="0.2">
      <c r="A91">
        <f>ROW(Source!A57)</f>
        <v>57</v>
      </c>
      <c r="B91">
        <v>16500997</v>
      </c>
      <c r="C91">
        <v>16501095</v>
      </c>
      <c r="D91">
        <v>15173298</v>
      </c>
      <c r="E91">
        <v>1</v>
      </c>
      <c r="F91">
        <v>1</v>
      </c>
      <c r="G91">
        <v>1</v>
      </c>
      <c r="H91">
        <v>3</v>
      </c>
      <c r="I91" t="s">
        <v>103</v>
      </c>
      <c r="J91" t="s">
        <v>105</v>
      </c>
      <c r="K91" t="s">
        <v>104</v>
      </c>
      <c r="L91">
        <v>1348</v>
      </c>
      <c r="N91">
        <v>1009</v>
      </c>
      <c r="O91" t="s">
        <v>58</v>
      </c>
      <c r="P91" t="s">
        <v>58</v>
      </c>
      <c r="Q91">
        <v>1000</v>
      </c>
      <c r="W91">
        <v>0</v>
      </c>
      <c r="X91">
        <v>-791558573</v>
      </c>
      <c r="Y91">
        <v>0.85</v>
      </c>
      <c r="AA91">
        <v>5662.73</v>
      </c>
      <c r="AB91">
        <v>0</v>
      </c>
      <c r="AC91">
        <v>0</v>
      </c>
      <c r="AD91">
        <v>0</v>
      </c>
      <c r="AE91">
        <v>931.37</v>
      </c>
      <c r="AF91">
        <v>0</v>
      </c>
      <c r="AG91">
        <v>0</v>
      </c>
      <c r="AH91">
        <v>0</v>
      </c>
      <c r="AI91">
        <v>6.08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4</v>
      </c>
      <c r="AT91">
        <v>0.85</v>
      </c>
      <c r="AU91" t="s">
        <v>4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4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Y91*Source!I57</f>
        <v>0.69189999999999996</v>
      </c>
      <c r="CY91">
        <f>AA91</f>
        <v>5662.73</v>
      </c>
      <c r="CZ91">
        <f>AE91</f>
        <v>931.37</v>
      </c>
      <c r="DA91">
        <f>AI91</f>
        <v>6.08</v>
      </c>
      <c r="DB91">
        <v>0</v>
      </c>
    </row>
    <row r="92" spans="1:106" x14ac:dyDescent="0.2">
      <c r="A92">
        <f>ROW(Source!A57)</f>
        <v>57</v>
      </c>
      <c r="B92">
        <v>16500997</v>
      </c>
      <c r="C92">
        <v>16501095</v>
      </c>
      <c r="D92">
        <v>15203233</v>
      </c>
      <c r="E92">
        <v>1</v>
      </c>
      <c r="F92">
        <v>1</v>
      </c>
      <c r="G92">
        <v>1</v>
      </c>
      <c r="H92">
        <v>3</v>
      </c>
      <c r="I92" t="s">
        <v>107</v>
      </c>
      <c r="J92" t="s">
        <v>109</v>
      </c>
      <c r="K92" t="s">
        <v>108</v>
      </c>
      <c r="L92">
        <v>1348</v>
      </c>
      <c r="N92">
        <v>1009</v>
      </c>
      <c r="O92" t="s">
        <v>58</v>
      </c>
      <c r="P92" t="s">
        <v>58</v>
      </c>
      <c r="Q92">
        <v>1000</v>
      </c>
      <c r="W92">
        <v>0</v>
      </c>
      <c r="X92">
        <v>-1919714308</v>
      </c>
      <c r="Y92">
        <v>0.02</v>
      </c>
      <c r="AA92">
        <v>111812.17</v>
      </c>
      <c r="AB92">
        <v>0</v>
      </c>
      <c r="AC92">
        <v>0</v>
      </c>
      <c r="AD92">
        <v>0</v>
      </c>
      <c r="AE92">
        <v>18390.16</v>
      </c>
      <c r="AF92">
        <v>0</v>
      </c>
      <c r="AG92">
        <v>0</v>
      </c>
      <c r="AH92">
        <v>0</v>
      </c>
      <c r="AI92">
        <v>6.08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4</v>
      </c>
      <c r="AT92">
        <v>0.02</v>
      </c>
      <c r="AU92" t="s">
        <v>4</v>
      </c>
      <c r="AV92">
        <v>0</v>
      </c>
      <c r="AW92">
        <v>1</v>
      </c>
      <c r="AX92">
        <v>-1</v>
      </c>
      <c r="AY92">
        <v>0</v>
      </c>
      <c r="AZ92">
        <v>0</v>
      </c>
      <c r="BA92" t="s">
        <v>4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Y92*Source!I57</f>
        <v>1.6279999999999999E-2</v>
      </c>
      <c r="CY92">
        <f>AA92</f>
        <v>111812.17</v>
      </c>
      <c r="CZ92">
        <f>AE92</f>
        <v>18390.16</v>
      </c>
      <c r="DA92">
        <f>AI92</f>
        <v>6.08</v>
      </c>
      <c r="DB92">
        <v>0</v>
      </c>
    </row>
    <row r="93" spans="1:106" x14ac:dyDescent="0.2">
      <c r="A93">
        <f>ROW(Source!A62)</f>
        <v>62</v>
      </c>
      <c r="B93">
        <v>16500983</v>
      </c>
      <c r="C93">
        <v>16501106</v>
      </c>
      <c r="D93">
        <v>15436014</v>
      </c>
      <c r="E93">
        <v>1</v>
      </c>
      <c r="F93">
        <v>1</v>
      </c>
      <c r="G93">
        <v>1</v>
      </c>
      <c r="H93">
        <v>1</v>
      </c>
      <c r="I93" t="s">
        <v>295</v>
      </c>
      <c r="J93" t="s">
        <v>4</v>
      </c>
      <c r="K93" t="s">
        <v>296</v>
      </c>
      <c r="L93">
        <v>1191</v>
      </c>
      <c r="N93">
        <v>1013</v>
      </c>
      <c r="O93" t="s">
        <v>249</v>
      </c>
      <c r="P93" t="s">
        <v>249</v>
      </c>
      <c r="Q93">
        <v>1</v>
      </c>
      <c r="W93">
        <v>0</v>
      </c>
      <c r="X93">
        <v>-784637506</v>
      </c>
      <c r="Y93">
        <v>50.094000000000001</v>
      </c>
      <c r="AA93">
        <v>0</v>
      </c>
      <c r="AB93">
        <v>0</v>
      </c>
      <c r="AC93">
        <v>0</v>
      </c>
      <c r="AD93">
        <v>8.74</v>
      </c>
      <c r="AE93">
        <v>0</v>
      </c>
      <c r="AF93">
        <v>0</v>
      </c>
      <c r="AG93">
        <v>0</v>
      </c>
      <c r="AH93">
        <v>8.74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4</v>
      </c>
      <c r="AT93">
        <v>43.56</v>
      </c>
      <c r="AU93" t="s">
        <v>30</v>
      </c>
      <c r="AV93">
        <v>1</v>
      </c>
      <c r="AW93">
        <v>2</v>
      </c>
      <c r="AX93">
        <v>16501107</v>
      </c>
      <c r="AY93">
        <v>1</v>
      </c>
      <c r="AZ93">
        <v>0</v>
      </c>
      <c r="BA93">
        <v>95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Y93*Source!I62</f>
        <v>40.776516000000001</v>
      </c>
      <c r="CY93">
        <f>AD93</f>
        <v>8.74</v>
      </c>
      <c r="CZ93">
        <f>AH93</f>
        <v>8.74</v>
      </c>
      <c r="DA93">
        <f>AL93</f>
        <v>1</v>
      </c>
      <c r="DB93">
        <v>0</v>
      </c>
    </row>
    <row r="94" spans="1:106" x14ac:dyDescent="0.2">
      <c r="A94">
        <f>ROW(Source!A62)</f>
        <v>62</v>
      </c>
      <c r="B94">
        <v>16500983</v>
      </c>
      <c r="C94">
        <v>16501106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250</v>
      </c>
      <c r="J94" t="s">
        <v>4</v>
      </c>
      <c r="K94" t="s">
        <v>251</v>
      </c>
      <c r="L94">
        <v>1191</v>
      </c>
      <c r="N94">
        <v>1013</v>
      </c>
      <c r="O94" t="s">
        <v>249</v>
      </c>
      <c r="P94" t="s">
        <v>249</v>
      </c>
      <c r="Q94">
        <v>1</v>
      </c>
      <c r="W94">
        <v>0</v>
      </c>
      <c r="X94">
        <v>-1417349443</v>
      </c>
      <c r="Y94">
        <v>0.17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4</v>
      </c>
      <c r="AT94">
        <v>0.17</v>
      </c>
      <c r="AU94" t="s">
        <v>4</v>
      </c>
      <c r="AV94">
        <v>2</v>
      </c>
      <c r="AW94">
        <v>2</v>
      </c>
      <c r="AX94">
        <v>16501108</v>
      </c>
      <c r="AY94">
        <v>1</v>
      </c>
      <c r="AZ94">
        <v>2048</v>
      </c>
      <c r="BA94">
        <v>96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Y94*Source!I62</f>
        <v>0.13838</v>
      </c>
      <c r="CY94">
        <f>AD94</f>
        <v>0</v>
      </c>
      <c r="CZ94">
        <f>AH94</f>
        <v>0</v>
      </c>
      <c r="DA94">
        <f>AL94</f>
        <v>1</v>
      </c>
      <c r="DB94">
        <v>0</v>
      </c>
    </row>
    <row r="95" spans="1:106" x14ac:dyDescent="0.2">
      <c r="A95">
        <f>ROW(Source!A62)</f>
        <v>62</v>
      </c>
      <c r="B95">
        <v>16500983</v>
      </c>
      <c r="C95">
        <v>16501106</v>
      </c>
      <c r="D95">
        <v>15247970</v>
      </c>
      <c r="E95">
        <v>1</v>
      </c>
      <c r="F95">
        <v>1</v>
      </c>
      <c r="G95">
        <v>1</v>
      </c>
      <c r="H95">
        <v>2</v>
      </c>
      <c r="I95" t="s">
        <v>258</v>
      </c>
      <c r="J95" t="s">
        <v>259</v>
      </c>
      <c r="K95" t="s">
        <v>260</v>
      </c>
      <c r="L95">
        <v>1368</v>
      </c>
      <c r="N95">
        <v>1011</v>
      </c>
      <c r="O95" t="s">
        <v>255</v>
      </c>
      <c r="P95" t="s">
        <v>255</v>
      </c>
      <c r="Q95">
        <v>1</v>
      </c>
      <c r="W95">
        <v>0</v>
      </c>
      <c r="X95">
        <v>368031958</v>
      </c>
      <c r="Y95">
        <v>2.5000000000000001E-2</v>
      </c>
      <c r="AA95">
        <v>0</v>
      </c>
      <c r="AB95">
        <v>27.66</v>
      </c>
      <c r="AC95">
        <v>11.6</v>
      </c>
      <c r="AD95">
        <v>0</v>
      </c>
      <c r="AE95">
        <v>0</v>
      </c>
      <c r="AF95">
        <v>27.66</v>
      </c>
      <c r="AG95">
        <v>11.6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4</v>
      </c>
      <c r="AT95">
        <v>0.02</v>
      </c>
      <c r="AU95" t="s">
        <v>29</v>
      </c>
      <c r="AV95">
        <v>0</v>
      </c>
      <c r="AW95">
        <v>2</v>
      </c>
      <c r="AX95">
        <v>16501109</v>
      </c>
      <c r="AY95">
        <v>1</v>
      </c>
      <c r="AZ95">
        <v>0</v>
      </c>
      <c r="BA95">
        <v>97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Y95*Source!I62</f>
        <v>2.035E-2</v>
      </c>
      <c r="CY95">
        <f>AB95</f>
        <v>27.66</v>
      </c>
      <c r="CZ95">
        <f>AF95</f>
        <v>27.66</v>
      </c>
      <c r="DA95">
        <f>AJ95</f>
        <v>1</v>
      </c>
      <c r="DB95">
        <v>0</v>
      </c>
    </row>
    <row r="96" spans="1:106" x14ac:dyDescent="0.2">
      <c r="A96">
        <f>ROW(Source!A62)</f>
        <v>62</v>
      </c>
      <c r="B96">
        <v>16500983</v>
      </c>
      <c r="C96">
        <v>16501106</v>
      </c>
      <c r="D96">
        <v>15249073</v>
      </c>
      <c r="E96">
        <v>1</v>
      </c>
      <c r="F96">
        <v>1</v>
      </c>
      <c r="G96">
        <v>1</v>
      </c>
      <c r="H96">
        <v>2</v>
      </c>
      <c r="I96" t="s">
        <v>261</v>
      </c>
      <c r="J96" t="s">
        <v>262</v>
      </c>
      <c r="K96" t="s">
        <v>263</v>
      </c>
      <c r="L96">
        <v>1368</v>
      </c>
      <c r="N96">
        <v>1011</v>
      </c>
      <c r="O96" t="s">
        <v>255</v>
      </c>
      <c r="P96" t="s">
        <v>255</v>
      </c>
      <c r="Q96">
        <v>1</v>
      </c>
      <c r="W96">
        <v>0</v>
      </c>
      <c r="X96">
        <v>1372534845</v>
      </c>
      <c r="Y96">
        <v>0.1875</v>
      </c>
      <c r="AA96">
        <v>0</v>
      </c>
      <c r="AB96">
        <v>65.709999999999994</v>
      </c>
      <c r="AC96">
        <v>11.6</v>
      </c>
      <c r="AD96">
        <v>0</v>
      </c>
      <c r="AE96">
        <v>0</v>
      </c>
      <c r="AF96">
        <v>65.709999999999994</v>
      </c>
      <c r="AG96">
        <v>11.6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4</v>
      </c>
      <c r="AT96">
        <v>0.15</v>
      </c>
      <c r="AU96" t="s">
        <v>29</v>
      </c>
      <c r="AV96">
        <v>0</v>
      </c>
      <c r="AW96">
        <v>2</v>
      </c>
      <c r="AX96">
        <v>16501110</v>
      </c>
      <c r="AY96">
        <v>1</v>
      </c>
      <c r="AZ96">
        <v>0</v>
      </c>
      <c r="BA96">
        <v>98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Y96*Source!I62</f>
        <v>0.15262499999999998</v>
      </c>
      <c r="CY96">
        <f>AB96</f>
        <v>65.709999999999994</v>
      </c>
      <c r="CZ96">
        <f>AF96</f>
        <v>65.709999999999994</v>
      </c>
      <c r="DA96">
        <f>AJ96</f>
        <v>1</v>
      </c>
      <c r="DB96">
        <v>0</v>
      </c>
    </row>
    <row r="97" spans="1:106" x14ac:dyDescent="0.2">
      <c r="A97">
        <f>ROW(Source!A62)</f>
        <v>62</v>
      </c>
      <c r="B97">
        <v>16500983</v>
      </c>
      <c r="C97">
        <v>16501106</v>
      </c>
      <c r="D97">
        <v>15170682</v>
      </c>
      <c r="E97">
        <v>1</v>
      </c>
      <c r="F97">
        <v>1</v>
      </c>
      <c r="G97">
        <v>1</v>
      </c>
      <c r="H97">
        <v>3</v>
      </c>
      <c r="I97" t="s">
        <v>297</v>
      </c>
      <c r="J97" t="s">
        <v>298</v>
      </c>
      <c r="K97" t="s">
        <v>299</v>
      </c>
      <c r="L97">
        <v>1327</v>
      </c>
      <c r="N97">
        <v>1005</v>
      </c>
      <c r="O97" t="s">
        <v>50</v>
      </c>
      <c r="P97" t="s">
        <v>50</v>
      </c>
      <c r="Q97">
        <v>1</v>
      </c>
      <c r="W97">
        <v>0</v>
      </c>
      <c r="X97">
        <v>-1987926685</v>
      </c>
      <c r="Y97">
        <v>0.84</v>
      </c>
      <c r="AA97">
        <v>72.319999999999993</v>
      </c>
      <c r="AB97">
        <v>0</v>
      </c>
      <c r="AC97">
        <v>0</v>
      </c>
      <c r="AD97">
        <v>0</v>
      </c>
      <c r="AE97">
        <v>72.319999999999993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4</v>
      </c>
      <c r="AT97">
        <v>0.84</v>
      </c>
      <c r="AU97" t="s">
        <v>4</v>
      </c>
      <c r="AV97">
        <v>0</v>
      </c>
      <c r="AW97">
        <v>2</v>
      </c>
      <c r="AX97">
        <v>16501111</v>
      </c>
      <c r="AY97">
        <v>1</v>
      </c>
      <c r="AZ97">
        <v>0</v>
      </c>
      <c r="BA97">
        <v>99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Y97*Source!I62</f>
        <v>0.68375999999999992</v>
      </c>
      <c r="CY97">
        <f>AA97</f>
        <v>72.319999999999993</v>
      </c>
      <c r="CZ97">
        <f>AE97</f>
        <v>72.319999999999993</v>
      </c>
      <c r="DA97">
        <f>AI97</f>
        <v>1</v>
      </c>
      <c r="DB97">
        <v>0</v>
      </c>
    </row>
    <row r="98" spans="1:106" x14ac:dyDescent="0.2">
      <c r="A98">
        <f>ROW(Source!A62)</f>
        <v>62</v>
      </c>
      <c r="B98">
        <v>16500983</v>
      </c>
      <c r="C98">
        <v>16501106</v>
      </c>
      <c r="D98">
        <v>15171018</v>
      </c>
      <c r="E98">
        <v>1</v>
      </c>
      <c r="F98">
        <v>1</v>
      </c>
      <c r="G98">
        <v>1</v>
      </c>
      <c r="H98">
        <v>3</v>
      </c>
      <c r="I98" t="s">
        <v>277</v>
      </c>
      <c r="J98" t="s">
        <v>278</v>
      </c>
      <c r="K98" t="s">
        <v>279</v>
      </c>
      <c r="L98">
        <v>1346</v>
      </c>
      <c r="N98">
        <v>1009</v>
      </c>
      <c r="O98" t="s">
        <v>274</v>
      </c>
      <c r="P98" t="s">
        <v>274</v>
      </c>
      <c r="Q98">
        <v>1</v>
      </c>
      <c r="W98">
        <v>0</v>
      </c>
      <c r="X98">
        <v>813963326</v>
      </c>
      <c r="Y98">
        <v>0.31</v>
      </c>
      <c r="AA98">
        <v>1.82</v>
      </c>
      <c r="AB98">
        <v>0</v>
      </c>
      <c r="AC98">
        <v>0</v>
      </c>
      <c r="AD98">
        <v>0</v>
      </c>
      <c r="AE98">
        <v>1.82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4</v>
      </c>
      <c r="AT98">
        <v>0.31</v>
      </c>
      <c r="AU98" t="s">
        <v>4</v>
      </c>
      <c r="AV98">
        <v>0</v>
      </c>
      <c r="AW98">
        <v>2</v>
      </c>
      <c r="AX98">
        <v>16501112</v>
      </c>
      <c r="AY98">
        <v>1</v>
      </c>
      <c r="AZ98">
        <v>0</v>
      </c>
      <c r="BA98">
        <v>100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Y98*Source!I62</f>
        <v>0.25234000000000001</v>
      </c>
      <c r="CY98">
        <f>AA98</f>
        <v>1.82</v>
      </c>
      <c r="CZ98">
        <f>AE98</f>
        <v>1.82</v>
      </c>
      <c r="DA98">
        <f>AI98</f>
        <v>1</v>
      </c>
      <c r="DB98">
        <v>0</v>
      </c>
    </row>
    <row r="99" spans="1:106" x14ac:dyDescent="0.2">
      <c r="A99">
        <f>ROW(Source!A62)</f>
        <v>62</v>
      </c>
      <c r="B99">
        <v>16500983</v>
      </c>
      <c r="C99">
        <v>16501106</v>
      </c>
      <c r="D99">
        <v>15203233</v>
      </c>
      <c r="E99">
        <v>1</v>
      </c>
      <c r="F99">
        <v>1</v>
      </c>
      <c r="G99">
        <v>1</v>
      </c>
      <c r="H99">
        <v>3</v>
      </c>
      <c r="I99" t="s">
        <v>107</v>
      </c>
      <c r="J99" t="s">
        <v>109</v>
      </c>
      <c r="K99" t="s">
        <v>108</v>
      </c>
      <c r="L99">
        <v>1348</v>
      </c>
      <c r="N99">
        <v>1009</v>
      </c>
      <c r="O99" t="s">
        <v>58</v>
      </c>
      <c r="P99" t="s">
        <v>58</v>
      </c>
      <c r="Q99">
        <v>1000</v>
      </c>
      <c r="W99">
        <v>0</v>
      </c>
      <c r="X99">
        <v>-1919714308</v>
      </c>
      <c r="Y99">
        <v>0.02</v>
      </c>
      <c r="AA99">
        <v>18390.16</v>
      </c>
      <c r="AB99">
        <v>0</v>
      </c>
      <c r="AC99">
        <v>0</v>
      </c>
      <c r="AD99">
        <v>0</v>
      </c>
      <c r="AE99">
        <v>18390.16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4</v>
      </c>
      <c r="AT99">
        <v>0.02</v>
      </c>
      <c r="AU99" t="s">
        <v>4</v>
      </c>
      <c r="AV99">
        <v>0</v>
      </c>
      <c r="AW99">
        <v>1</v>
      </c>
      <c r="AX99">
        <v>-1</v>
      </c>
      <c r="AY99">
        <v>0</v>
      </c>
      <c r="AZ99">
        <v>0</v>
      </c>
      <c r="BA99" t="s">
        <v>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Y99*Source!I62</f>
        <v>1.6279999999999999E-2</v>
      </c>
      <c r="CY99">
        <f>AA99</f>
        <v>18390.16</v>
      </c>
      <c r="CZ99">
        <f>AE99</f>
        <v>18390.16</v>
      </c>
      <c r="DA99">
        <f>AI99</f>
        <v>1</v>
      </c>
      <c r="DB99">
        <v>0</v>
      </c>
    </row>
    <row r="100" spans="1:106" x14ac:dyDescent="0.2">
      <c r="A100">
        <f>ROW(Source!A62)</f>
        <v>62</v>
      </c>
      <c r="B100">
        <v>16500983</v>
      </c>
      <c r="C100">
        <v>16501106</v>
      </c>
      <c r="D100">
        <v>15203251</v>
      </c>
      <c r="E100">
        <v>1</v>
      </c>
      <c r="F100">
        <v>1</v>
      </c>
      <c r="G100">
        <v>1</v>
      </c>
      <c r="H100">
        <v>3</v>
      </c>
      <c r="I100" t="s">
        <v>115</v>
      </c>
      <c r="J100" t="s">
        <v>117</v>
      </c>
      <c r="K100" t="s">
        <v>116</v>
      </c>
      <c r="L100">
        <v>1348</v>
      </c>
      <c r="N100">
        <v>1009</v>
      </c>
      <c r="O100" t="s">
        <v>58</v>
      </c>
      <c r="P100" t="s">
        <v>58</v>
      </c>
      <c r="Q100">
        <v>1000</v>
      </c>
      <c r="W100">
        <v>0</v>
      </c>
      <c r="X100">
        <v>763838732</v>
      </c>
      <c r="Y100">
        <v>0.03</v>
      </c>
      <c r="AA100">
        <v>7627.37</v>
      </c>
      <c r="AB100">
        <v>0</v>
      </c>
      <c r="AC100">
        <v>0</v>
      </c>
      <c r="AD100">
        <v>0</v>
      </c>
      <c r="AE100">
        <v>7627.37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4</v>
      </c>
      <c r="AT100">
        <v>0.03</v>
      </c>
      <c r="AU100" t="s">
        <v>4</v>
      </c>
      <c r="AV100">
        <v>0</v>
      </c>
      <c r="AW100">
        <v>1</v>
      </c>
      <c r="AX100">
        <v>-1</v>
      </c>
      <c r="AY100">
        <v>0</v>
      </c>
      <c r="AZ100">
        <v>0</v>
      </c>
      <c r="BA100" t="s">
        <v>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Y100*Source!I62</f>
        <v>2.4419999999999997E-2</v>
      </c>
      <c r="CY100">
        <f>AA100</f>
        <v>7627.37</v>
      </c>
      <c r="CZ100">
        <f>AE100</f>
        <v>7627.37</v>
      </c>
      <c r="DA100">
        <f>AI100</f>
        <v>1</v>
      </c>
      <c r="DB100">
        <v>0</v>
      </c>
    </row>
    <row r="101" spans="1:106" x14ac:dyDescent="0.2">
      <c r="A101">
        <f>ROW(Source!A62)</f>
        <v>62</v>
      </c>
      <c r="B101">
        <v>16500983</v>
      </c>
      <c r="C101">
        <v>16501106</v>
      </c>
      <c r="D101">
        <v>15204737</v>
      </c>
      <c r="E101">
        <v>1</v>
      </c>
      <c r="F101">
        <v>1</v>
      </c>
      <c r="G101">
        <v>1</v>
      </c>
      <c r="H101">
        <v>3</v>
      </c>
      <c r="I101" t="s">
        <v>300</v>
      </c>
      <c r="J101" t="s">
        <v>301</v>
      </c>
      <c r="K101" t="s">
        <v>302</v>
      </c>
      <c r="L101">
        <v>1348</v>
      </c>
      <c r="N101">
        <v>1009</v>
      </c>
      <c r="O101" t="s">
        <v>58</v>
      </c>
      <c r="P101" t="s">
        <v>58</v>
      </c>
      <c r="Q101">
        <v>1000</v>
      </c>
      <c r="W101">
        <v>0</v>
      </c>
      <c r="X101">
        <v>181729109</v>
      </c>
      <c r="Y101">
        <v>5.0999999999999997E-2</v>
      </c>
      <c r="AA101">
        <v>11397.1</v>
      </c>
      <c r="AB101">
        <v>0</v>
      </c>
      <c r="AC101">
        <v>0</v>
      </c>
      <c r="AD101">
        <v>0</v>
      </c>
      <c r="AE101">
        <v>11397.1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4</v>
      </c>
      <c r="AT101">
        <v>5.0999999999999997E-2</v>
      </c>
      <c r="AU101" t="s">
        <v>4</v>
      </c>
      <c r="AV101">
        <v>0</v>
      </c>
      <c r="AW101">
        <v>2</v>
      </c>
      <c r="AX101">
        <v>16501115</v>
      </c>
      <c r="AY101">
        <v>1</v>
      </c>
      <c r="AZ101">
        <v>0</v>
      </c>
      <c r="BA101">
        <v>103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Y101*Source!I62</f>
        <v>4.1513999999999995E-2</v>
      </c>
      <c r="CY101">
        <f>AA101</f>
        <v>11397.1</v>
      </c>
      <c r="CZ101">
        <f>AE101</f>
        <v>11397.1</v>
      </c>
      <c r="DA101">
        <f>AI101</f>
        <v>1</v>
      </c>
      <c r="DB101">
        <v>0</v>
      </c>
    </row>
    <row r="102" spans="1:106" x14ac:dyDescent="0.2">
      <c r="A102">
        <f>ROW(Source!A63)</f>
        <v>63</v>
      </c>
      <c r="B102">
        <v>16500997</v>
      </c>
      <c r="C102">
        <v>16501106</v>
      </c>
      <c r="D102">
        <v>15436014</v>
      </c>
      <c r="E102">
        <v>1</v>
      </c>
      <c r="F102">
        <v>1</v>
      </c>
      <c r="G102">
        <v>1</v>
      </c>
      <c r="H102">
        <v>1</v>
      </c>
      <c r="I102" t="s">
        <v>295</v>
      </c>
      <c r="J102" t="s">
        <v>4</v>
      </c>
      <c r="K102" t="s">
        <v>296</v>
      </c>
      <c r="L102">
        <v>1191</v>
      </c>
      <c r="N102">
        <v>1013</v>
      </c>
      <c r="O102" t="s">
        <v>249</v>
      </c>
      <c r="P102" t="s">
        <v>249</v>
      </c>
      <c r="Q102">
        <v>1</v>
      </c>
      <c r="W102">
        <v>0</v>
      </c>
      <c r="X102">
        <v>-784637506</v>
      </c>
      <c r="Y102">
        <v>50.094000000000001</v>
      </c>
      <c r="AA102">
        <v>0</v>
      </c>
      <c r="AB102">
        <v>0</v>
      </c>
      <c r="AC102">
        <v>0</v>
      </c>
      <c r="AD102">
        <v>53.14</v>
      </c>
      <c r="AE102">
        <v>0</v>
      </c>
      <c r="AF102">
        <v>0</v>
      </c>
      <c r="AG102">
        <v>0</v>
      </c>
      <c r="AH102">
        <v>8.74</v>
      </c>
      <c r="AI102">
        <v>1</v>
      </c>
      <c r="AJ102">
        <v>1</v>
      </c>
      <c r="AK102">
        <v>1</v>
      </c>
      <c r="AL102">
        <v>6.08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4</v>
      </c>
      <c r="AT102">
        <v>43.56</v>
      </c>
      <c r="AU102" t="s">
        <v>30</v>
      </c>
      <c r="AV102">
        <v>1</v>
      </c>
      <c r="AW102">
        <v>2</v>
      </c>
      <c r="AX102">
        <v>16501107</v>
      </c>
      <c r="AY102">
        <v>1</v>
      </c>
      <c r="AZ102">
        <v>0</v>
      </c>
      <c r="BA102">
        <v>104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Y102*Source!I63</f>
        <v>40.776516000000001</v>
      </c>
      <c r="CY102">
        <f>AD102</f>
        <v>53.14</v>
      </c>
      <c r="CZ102">
        <f>AH102</f>
        <v>8.74</v>
      </c>
      <c r="DA102">
        <f>AL102</f>
        <v>6.08</v>
      </c>
      <c r="DB102">
        <v>0</v>
      </c>
    </row>
    <row r="103" spans="1:106" x14ac:dyDescent="0.2">
      <c r="A103">
        <f>ROW(Source!A63)</f>
        <v>63</v>
      </c>
      <c r="B103">
        <v>16500997</v>
      </c>
      <c r="C103">
        <v>16501106</v>
      </c>
      <c r="D103">
        <v>15430395</v>
      </c>
      <c r="E103">
        <v>1</v>
      </c>
      <c r="F103">
        <v>1</v>
      </c>
      <c r="G103">
        <v>1</v>
      </c>
      <c r="H103">
        <v>1</v>
      </c>
      <c r="I103" t="s">
        <v>250</v>
      </c>
      <c r="J103" t="s">
        <v>4</v>
      </c>
      <c r="K103" t="s">
        <v>251</v>
      </c>
      <c r="L103">
        <v>1191</v>
      </c>
      <c r="N103">
        <v>1013</v>
      </c>
      <c r="O103" t="s">
        <v>249</v>
      </c>
      <c r="P103" t="s">
        <v>249</v>
      </c>
      <c r="Q103">
        <v>1</v>
      </c>
      <c r="W103">
        <v>0</v>
      </c>
      <c r="X103">
        <v>-1417349443</v>
      </c>
      <c r="Y103">
        <v>0.17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6.08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4</v>
      </c>
      <c r="AT103">
        <v>0.17</v>
      </c>
      <c r="AU103" t="s">
        <v>4</v>
      </c>
      <c r="AV103">
        <v>2</v>
      </c>
      <c r="AW103">
        <v>2</v>
      </c>
      <c r="AX103">
        <v>16501108</v>
      </c>
      <c r="AY103">
        <v>1</v>
      </c>
      <c r="AZ103">
        <v>2048</v>
      </c>
      <c r="BA103">
        <v>105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Y103*Source!I63</f>
        <v>0.13838</v>
      </c>
      <c r="CY103">
        <f>AD103</f>
        <v>0</v>
      </c>
      <c r="CZ103">
        <f>AH103</f>
        <v>0</v>
      </c>
      <c r="DA103">
        <f>AL103</f>
        <v>1</v>
      </c>
      <c r="DB103">
        <v>0</v>
      </c>
    </row>
    <row r="104" spans="1:106" x14ac:dyDescent="0.2">
      <c r="A104">
        <f>ROW(Source!A63)</f>
        <v>63</v>
      </c>
      <c r="B104">
        <v>16500997</v>
      </c>
      <c r="C104">
        <v>16501106</v>
      </c>
      <c r="D104">
        <v>15247970</v>
      </c>
      <c r="E104">
        <v>1</v>
      </c>
      <c r="F104">
        <v>1</v>
      </c>
      <c r="G104">
        <v>1</v>
      </c>
      <c r="H104">
        <v>2</v>
      </c>
      <c r="I104" t="s">
        <v>258</v>
      </c>
      <c r="J104" t="s">
        <v>259</v>
      </c>
      <c r="K104" t="s">
        <v>260</v>
      </c>
      <c r="L104">
        <v>1368</v>
      </c>
      <c r="N104">
        <v>1011</v>
      </c>
      <c r="O104" t="s">
        <v>255</v>
      </c>
      <c r="P104" t="s">
        <v>255</v>
      </c>
      <c r="Q104">
        <v>1</v>
      </c>
      <c r="W104">
        <v>0</v>
      </c>
      <c r="X104">
        <v>368031958</v>
      </c>
      <c r="Y104">
        <v>2.5000000000000001E-2</v>
      </c>
      <c r="AA104">
        <v>0</v>
      </c>
      <c r="AB104">
        <v>168.17</v>
      </c>
      <c r="AC104">
        <v>11.6</v>
      </c>
      <c r="AD104">
        <v>0</v>
      </c>
      <c r="AE104">
        <v>0</v>
      </c>
      <c r="AF104">
        <v>27.66</v>
      </c>
      <c r="AG104">
        <v>11.6</v>
      </c>
      <c r="AH104">
        <v>0</v>
      </c>
      <c r="AI104">
        <v>1</v>
      </c>
      <c r="AJ104">
        <v>6.08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4</v>
      </c>
      <c r="AT104">
        <v>0.02</v>
      </c>
      <c r="AU104" t="s">
        <v>29</v>
      </c>
      <c r="AV104">
        <v>0</v>
      </c>
      <c r="AW104">
        <v>2</v>
      </c>
      <c r="AX104">
        <v>16501109</v>
      </c>
      <c r="AY104">
        <v>1</v>
      </c>
      <c r="AZ104">
        <v>0</v>
      </c>
      <c r="BA104">
        <v>106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Y104*Source!I63</f>
        <v>2.035E-2</v>
      </c>
      <c r="CY104">
        <f>AB104</f>
        <v>168.17</v>
      </c>
      <c r="CZ104">
        <f>AF104</f>
        <v>27.66</v>
      </c>
      <c r="DA104">
        <f>AJ104</f>
        <v>6.08</v>
      </c>
      <c r="DB104">
        <v>0</v>
      </c>
    </row>
    <row r="105" spans="1:106" x14ac:dyDescent="0.2">
      <c r="A105">
        <f>ROW(Source!A63)</f>
        <v>63</v>
      </c>
      <c r="B105">
        <v>16500997</v>
      </c>
      <c r="C105">
        <v>16501106</v>
      </c>
      <c r="D105">
        <v>15249073</v>
      </c>
      <c r="E105">
        <v>1</v>
      </c>
      <c r="F105">
        <v>1</v>
      </c>
      <c r="G105">
        <v>1</v>
      </c>
      <c r="H105">
        <v>2</v>
      </c>
      <c r="I105" t="s">
        <v>261</v>
      </c>
      <c r="J105" t="s">
        <v>262</v>
      </c>
      <c r="K105" t="s">
        <v>263</v>
      </c>
      <c r="L105">
        <v>1368</v>
      </c>
      <c r="N105">
        <v>1011</v>
      </c>
      <c r="O105" t="s">
        <v>255</v>
      </c>
      <c r="P105" t="s">
        <v>255</v>
      </c>
      <c r="Q105">
        <v>1</v>
      </c>
      <c r="W105">
        <v>0</v>
      </c>
      <c r="X105">
        <v>1372534845</v>
      </c>
      <c r="Y105">
        <v>0.1875</v>
      </c>
      <c r="AA105">
        <v>0</v>
      </c>
      <c r="AB105">
        <v>399.52</v>
      </c>
      <c r="AC105">
        <v>11.6</v>
      </c>
      <c r="AD105">
        <v>0</v>
      </c>
      <c r="AE105">
        <v>0</v>
      </c>
      <c r="AF105">
        <v>65.709999999999994</v>
      </c>
      <c r="AG105">
        <v>11.6</v>
      </c>
      <c r="AH105">
        <v>0</v>
      </c>
      <c r="AI105">
        <v>1</v>
      </c>
      <c r="AJ105">
        <v>6.08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4</v>
      </c>
      <c r="AT105">
        <v>0.15</v>
      </c>
      <c r="AU105" t="s">
        <v>29</v>
      </c>
      <c r="AV105">
        <v>0</v>
      </c>
      <c r="AW105">
        <v>2</v>
      </c>
      <c r="AX105">
        <v>16501110</v>
      </c>
      <c r="AY105">
        <v>1</v>
      </c>
      <c r="AZ105">
        <v>0</v>
      </c>
      <c r="BA105">
        <v>107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Y105*Source!I63</f>
        <v>0.15262499999999998</v>
      </c>
      <c r="CY105">
        <f>AB105</f>
        <v>399.52</v>
      </c>
      <c r="CZ105">
        <f>AF105</f>
        <v>65.709999999999994</v>
      </c>
      <c r="DA105">
        <f>AJ105</f>
        <v>6.08</v>
      </c>
      <c r="DB105">
        <v>0</v>
      </c>
    </row>
    <row r="106" spans="1:106" x14ac:dyDescent="0.2">
      <c r="A106">
        <f>ROW(Source!A63)</f>
        <v>63</v>
      </c>
      <c r="B106">
        <v>16500997</v>
      </c>
      <c r="C106">
        <v>16501106</v>
      </c>
      <c r="D106">
        <v>15170682</v>
      </c>
      <c r="E106">
        <v>1</v>
      </c>
      <c r="F106">
        <v>1</v>
      </c>
      <c r="G106">
        <v>1</v>
      </c>
      <c r="H106">
        <v>3</v>
      </c>
      <c r="I106" t="s">
        <v>297</v>
      </c>
      <c r="J106" t="s">
        <v>298</v>
      </c>
      <c r="K106" t="s">
        <v>299</v>
      </c>
      <c r="L106">
        <v>1327</v>
      </c>
      <c r="N106">
        <v>1005</v>
      </c>
      <c r="O106" t="s">
        <v>50</v>
      </c>
      <c r="P106" t="s">
        <v>50</v>
      </c>
      <c r="Q106">
        <v>1</v>
      </c>
      <c r="W106">
        <v>0</v>
      </c>
      <c r="X106">
        <v>-1987926685</v>
      </c>
      <c r="Y106">
        <v>0.84</v>
      </c>
      <c r="AA106">
        <v>439.71</v>
      </c>
      <c r="AB106">
        <v>0</v>
      </c>
      <c r="AC106">
        <v>0</v>
      </c>
      <c r="AD106">
        <v>0</v>
      </c>
      <c r="AE106">
        <v>72.319999999999993</v>
      </c>
      <c r="AF106">
        <v>0</v>
      </c>
      <c r="AG106">
        <v>0</v>
      </c>
      <c r="AH106">
        <v>0</v>
      </c>
      <c r="AI106">
        <v>6.08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4</v>
      </c>
      <c r="AT106">
        <v>0.84</v>
      </c>
      <c r="AU106" t="s">
        <v>4</v>
      </c>
      <c r="AV106">
        <v>0</v>
      </c>
      <c r="AW106">
        <v>2</v>
      </c>
      <c r="AX106">
        <v>16501111</v>
      </c>
      <c r="AY106">
        <v>1</v>
      </c>
      <c r="AZ106">
        <v>0</v>
      </c>
      <c r="BA106">
        <v>108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Y106*Source!I63</f>
        <v>0.68375999999999992</v>
      </c>
      <c r="CY106">
        <f>AA106</f>
        <v>439.71</v>
      </c>
      <c r="CZ106">
        <f>AE106</f>
        <v>72.319999999999993</v>
      </c>
      <c r="DA106">
        <f>AI106</f>
        <v>6.08</v>
      </c>
      <c r="DB106">
        <v>0</v>
      </c>
    </row>
    <row r="107" spans="1:106" x14ac:dyDescent="0.2">
      <c r="A107">
        <f>ROW(Source!A63)</f>
        <v>63</v>
      </c>
      <c r="B107">
        <v>16500997</v>
      </c>
      <c r="C107">
        <v>16501106</v>
      </c>
      <c r="D107">
        <v>15171018</v>
      </c>
      <c r="E107">
        <v>1</v>
      </c>
      <c r="F107">
        <v>1</v>
      </c>
      <c r="G107">
        <v>1</v>
      </c>
      <c r="H107">
        <v>3</v>
      </c>
      <c r="I107" t="s">
        <v>277</v>
      </c>
      <c r="J107" t="s">
        <v>278</v>
      </c>
      <c r="K107" t="s">
        <v>279</v>
      </c>
      <c r="L107">
        <v>1346</v>
      </c>
      <c r="N107">
        <v>1009</v>
      </c>
      <c r="O107" t="s">
        <v>274</v>
      </c>
      <c r="P107" t="s">
        <v>274</v>
      </c>
      <c r="Q107">
        <v>1</v>
      </c>
      <c r="W107">
        <v>0</v>
      </c>
      <c r="X107">
        <v>813963326</v>
      </c>
      <c r="Y107">
        <v>0.31</v>
      </c>
      <c r="AA107">
        <v>11.07</v>
      </c>
      <c r="AB107">
        <v>0</v>
      </c>
      <c r="AC107">
        <v>0</v>
      </c>
      <c r="AD107">
        <v>0</v>
      </c>
      <c r="AE107">
        <v>1.82</v>
      </c>
      <c r="AF107">
        <v>0</v>
      </c>
      <c r="AG107">
        <v>0</v>
      </c>
      <c r="AH107">
        <v>0</v>
      </c>
      <c r="AI107">
        <v>6.08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4</v>
      </c>
      <c r="AT107">
        <v>0.31</v>
      </c>
      <c r="AU107" t="s">
        <v>4</v>
      </c>
      <c r="AV107">
        <v>0</v>
      </c>
      <c r="AW107">
        <v>2</v>
      </c>
      <c r="AX107">
        <v>16501112</v>
      </c>
      <c r="AY107">
        <v>1</v>
      </c>
      <c r="AZ107">
        <v>0</v>
      </c>
      <c r="BA107">
        <v>109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Y107*Source!I63</f>
        <v>0.25234000000000001</v>
      </c>
      <c r="CY107">
        <f>AA107</f>
        <v>11.07</v>
      </c>
      <c r="CZ107">
        <f>AE107</f>
        <v>1.82</v>
      </c>
      <c r="DA107">
        <f>AI107</f>
        <v>6.08</v>
      </c>
      <c r="DB107">
        <v>0</v>
      </c>
    </row>
    <row r="108" spans="1:106" x14ac:dyDescent="0.2">
      <c r="A108">
        <f>ROW(Source!A63)</f>
        <v>63</v>
      </c>
      <c r="B108">
        <v>16500997</v>
      </c>
      <c r="C108">
        <v>16501106</v>
      </c>
      <c r="D108">
        <v>15203233</v>
      </c>
      <c r="E108">
        <v>1</v>
      </c>
      <c r="F108">
        <v>1</v>
      </c>
      <c r="G108">
        <v>1</v>
      </c>
      <c r="H108">
        <v>3</v>
      </c>
      <c r="I108" t="s">
        <v>107</v>
      </c>
      <c r="J108" t="s">
        <v>109</v>
      </c>
      <c r="K108" t="s">
        <v>108</v>
      </c>
      <c r="L108">
        <v>1348</v>
      </c>
      <c r="N108">
        <v>1009</v>
      </c>
      <c r="O108" t="s">
        <v>58</v>
      </c>
      <c r="P108" t="s">
        <v>58</v>
      </c>
      <c r="Q108">
        <v>1000</v>
      </c>
      <c r="W108">
        <v>0</v>
      </c>
      <c r="X108">
        <v>-1919714308</v>
      </c>
      <c r="Y108">
        <v>0.02</v>
      </c>
      <c r="AA108">
        <v>111812.17</v>
      </c>
      <c r="AB108">
        <v>0</v>
      </c>
      <c r="AC108">
        <v>0</v>
      </c>
      <c r="AD108">
        <v>0</v>
      </c>
      <c r="AE108">
        <v>18390.16</v>
      </c>
      <c r="AF108">
        <v>0</v>
      </c>
      <c r="AG108">
        <v>0</v>
      </c>
      <c r="AH108">
        <v>0</v>
      </c>
      <c r="AI108">
        <v>6.08</v>
      </c>
      <c r="AJ108">
        <v>1</v>
      </c>
      <c r="AK108">
        <v>1</v>
      </c>
      <c r="AL108">
        <v>1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4</v>
      </c>
      <c r="AT108">
        <v>0.02</v>
      </c>
      <c r="AU108" t="s">
        <v>4</v>
      </c>
      <c r="AV108">
        <v>0</v>
      </c>
      <c r="AW108">
        <v>1</v>
      </c>
      <c r="AX108">
        <v>-1</v>
      </c>
      <c r="AY108">
        <v>0</v>
      </c>
      <c r="AZ108">
        <v>0</v>
      </c>
      <c r="BA108" t="s">
        <v>4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Y108*Source!I63</f>
        <v>1.6279999999999999E-2</v>
      </c>
      <c r="CY108">
        <f>AA108</f>
        <v>111812.17</v>
      </c>
      <c r="CZ108">
        <f>AE108</f>
        <v>18390.16</v>
      </c>
      <c r="DA108">
        <f>AI108</f>
        <v>6.08</v>
      </c>
      <c r="DB108">
        <v>0</v>
      </c>
    </row>
    <row r="109" spans="1:106" x14ac:dyDescent="0.2">
      <c r="A109">
        <f>ROW(Source!A63)</f>
        <v>63</v>
      </c>
      <c r="B109">
        <v>16500997</v>
      </c>
      <c r="C109">
        <v>16501106</v>
      </c>
      <c r="D109">
        <v>15203251</v>
      </c>
      <c r="E109">
        <v>1</v>
      </c>
      <c r="F109">
        <v>1</v>
      </c>
      <c r="G109">
        <v>1</v>
      </c>
      <c r="H109">
        <v>3</v>
      </c>
      <c r="I109" t="s">
        <v>115</v>
      </c>
      <c r="J109" t="s">
        <v>117</v>
      </c>
      <c r="K109" t="s">
        <v>116</v>
      </c>
      <c r="L109">
        <v>1348</v>
      </c>
      <c r="N109">
        <v>1009</v>
      </c>
      <c r="O109" t="s">
        <v>58</v>
      </c>
      <c r="P109" t="s">
        <v>58</v>
      </c>
      <c r="Q109">
        <v>1000</v>
      </c>
      <c r="W109">
        <v>0</v>
      </c>
      <c r="X109">
        <v>763838732</v>
      </c>
      <c r="Y109">
        <v>0.03</v>
      </c>
      <c r="AA109">
        <v>46374.41</v>
      </c>
      <c r="AB109">
        <v>0</v>
      </c>
      <c r="AC109">
        <v>0</v>
      </c>
      <c r="AD109">
        <v>0</v>
      </c>
      <c r="AE109">
        <v>7627.37</v>
      </c>
      <c r="AF109">
        <v>0</v>
      </c>
      <c r="AG109">
        <v>0</v>
      </c>
      <c r="AH109">
        <v>0</v>
      </c>
      <c r="AI109">
        <v>6.08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4</v>
      </c>
      <c r="AT109">
        <v>0.03</v>
      </c>
      <c r="AU109" t="s">
        <v>4</v>
      </c>
      <c r="AV109">
        <v>0</v>
      </c>
      <c r="AW109">
        <v>1</v>
      </c>
      <c r="AX109">
        <v>-1</v>
      </c>
      <c r="AY109">
        <v>0</v>
      </c>
      <c r="AZ109">
        <v>0</v>
      </c>
      <c r="BA109" t="s">
        <v>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Y109*Source!I63</f>
        <v>2.4419999999999997E-2</v>
      </c>
      <c r="CY109">
        <f>AA109</f>
        <v>46374.41</v>
      </c>
      <c r="CZ109">
        <f>AE109</f>
        <v>7627.37</v>
      </c>
      <c r="DA109">
        <f>AI109</f>
        <v>6.08</v>
      </c>
      <c r="DB109">
        <v>0</v>
      </c>
    </row>
    <row r="110" spans="1:106" x14ac:dyDescent="0.2">
      <c r="A110">
        <f>ROW(Source!A63)</f>
        <v>63</v>
      </c>
      <c r="B110">
        <v>16500997</v>
      </c>
      <c r="C110">
        <v>16501106</v>
      </c>
      <c r="D110">
        <v>15204737</v>
      </c>
      <c r="E110">
        <v>1</v>
      </c>
      <c r="F110">
        <v>1</v>
      </c>
      <c r="G110">
        <v>1</v>
      </c>
      <c r="H110">
        <v>3</v>
      </c>
      <c r="I110" t="s">
        <v>300</v>
      </c>
      <c r="J110" t="s">
        <v>301</v>
      </c>
      <c r="K110" t="s">
        <v>302</v>
      </c>
      <c r="L110">
        <v>1348</v>
      </c>
      <c r="N110">
        <v>1009</v>
      </c>
      <c r="O110" t="s">
        <v>58</v>
      </c>
      <c r="P110" t="s">
        <v>58</v>
      </c>
      <c r="Q110">
        <v>1000</v>
      </c>
      <c r="W110">
        <v>0</v>
      </c>
      <c r="X110">
        <v>181729109</v>
      </c>
      <c r="Y110">
        <v>5.0999999999999997E-2</v>
      </c>
      <c r="AA110">
        <v>69294.37</v>
      </c>
      <c r="AB110">
        <v>0</v>
      </c>
      <c r="AC110">
        <v>0</v>
      </c>
      <c r="AD110">
        <v>0</v>
      </c>
      <c r="AE110">
        <v>11397.1</v>
      </c>
      <c r="AF110">
        <v>0</v>
      </c>
      <c r="AG110">
        <v>0</v>
      </c>
      <c r="AH110">
        <v>0</v>
      </c>
      <c r="AI110">
        <v>6.08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4</v>
      </c>
      <c r="AT110">
        <v>5.0999999999999997E-2</v>
      </c>
      <c r="AU110" t="s">
        <v>4</v>
      </c>
      <c r="AV110">
        <v>0</v>
      </c>
      <c r="AW110">
        <v>2</v>
      </c>
      <c r="AX110">
        <v>16501115</v>
      </c>
      <c r="AY110">
        <v>1</v>
      </c>
      <c r="AZ110">
        <v>0</v>
      </c>
      <c r="BA110">
        <v>112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Y110*Source!I63</f>
        <v>4.1513999999999995E-2</v>
      </c>
      <c r="CY110">
        <f>AA110</f>
        <v>69294.37</v>
      </c>
      <c r="CZ110">
        <f>AE110</f>
        <v>11397.1</v>
      </c>
      <c r="DA110">
        <f>AI110</f>
        <v>6.08</v>
      </c>
      <c r="DB110">
        <v>0</v>
      </c>
    </row>
    <row r="111" spans="1:106" x14ac:dyDescent="0.2">
      <c r="A111">
        <f>ROW(Source!A68)</f>
        <v>68</v>
      </c>
      <c r="B111">
        <v>16500983</v>
      </c>
      <c r="C111">
        <v>16501118</v>
      </c>
      <c r="D111">
        <v>15436014</v>
      </c>
      <c r="E111">
        <v>1</v>
      </c>
      <c r="F111">
        <v>1</v>
      </c>
      <c r="G111">
        <v>1</v>
      </c>
      <c r="H111">
        <v>1</v>
      </c>
      <c r="I111" t="s">
        <v>295</v>
      </c>
      <c r="J111" t="s">
        <v>4</v>
      </c>
      <c r="K111" t="s">
        <v>296</v>
      </c>
      <c r="L111">
        <v>1191</v>
      </c>
      <c r="N111">
        <v>1013</v>
      </c>
      <c r="O111" t="s">
        <v>249</v>
      </c>
      <c r="P111" t="s">
        <v>249</v>
      </c>
      <c r="Q111">
        <v>1</v>
      </c>
      <c r="W111">
        <v>0</v>
      </c>
      <c r="X111">
        <v>-784637506</v>
      </c>
      <c r="Y111">
        <v>72.449999999999989</v>
      </c>
      <c r="AA111">
        <v>0</v>
      </c>
      <c r="AB111">
        <v>0</v>
      </c>
      <c r="AC111">
        <v>0</v>
      </c>
      <c r="AD111">
        <v>8.74</v>
      </c>
      <c r="AE111">
        <v>0</v>
      </c>
      <c r="AF111">
        <v>0</v>
      </c>
      <c r="AG111">
        <v>0</v>
      </c>
      <c r="AH111">
        <v>8.74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4</v>
      </c>
      <c r="AT111">
        <v>63</v>
      </c>
      <c r="AU111" t="s">
        <v>30</v>
      </c>
      <c r="AV111">
        <v>1</v>
      </c>
      <c r="AW111">
        <v>2</v>
      </c>
      <c r="AX111">
        <v>16501119</v>
      </c>
      <c r="AY111">
        <v>1</v>
      </c>
      <c r="AZ111">
        <v>0</v>
      </c>
      <c r="BA111">
        <v>113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Y111*Source!I68</f>
        <v>28.907549999999997</v>
      </c>
      <c r="CY111">
        <f>AD111</f>
        <v>8.74</v>
      </c>
      <c r="CZ111">
        <f>AH111</f>
        <v>8.74</v>
      </c>
      <c r="DA111">
        <f>AL111</f>
        <v>1</v>
      </c>
      <c r="DB111">
        <v>0</v>
      </c>
    </row>
    <row r="112" spans="1:106" x14ac:dyDescent="0.2">
      <c r="A112">
        <f>ROW(Source!A68)</f>
        <v>68</v>
      </c>
      <c r="B112">
        <v>16500983</v>
      </c>
      <c r="C112">
        <v>16501118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250</v>
      </c>
      <c r="J112" t="s">
        <v>4</v>
      </c>
      <c r="K112" t="s">
        <v>251</v>
      </c>
      <c r="L112">
        <v>1191</v>
      </c>
      <c r="N112">
        <v>1013</v>
      </c>
      <c r="O112" t="s">
        <v>249</v>
      </c>
      <c r="P112" t="s">
        <v>249</v>
      </c>
      <c r="Q112">
        <v>1</v>
      </c>
      <c r="W112">
        <v>0</v>
      </c>
      <c r="X112">
        <v>-1417349443</v>
      </c>
      <c r="Y112">
        <v>0.18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4</v>
      </c>
      <c r="AT112">
        <v>0.18</v>
      </c>
      <c r="AU112" t="s">
        <v>4</v>
      </c>
      <c r="AV112">
        <v>2</v>
      </c>
      <c r="AW112">
        <v>2</v>
      </c>
      <c r="AX112">
        <v>16501120</v>
      </c>
      <c r="AY112">
        <v>1</v>
      </c>
      <c r="AZ112">
        <v>2048</v>
      </c>
      <c r="BA112">
        <v>114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Y112*Source!I68</f>
        <v>7.1819999999999995E-2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ROW(Source!A68)</f>
        <v>68</v>
      </c>
      <c r="B113">
        <v>16500983</v>
      </c>
      <c r="C113">
        <v>16501118</v>
      </c>
      <c r="D113">
        <v>15247970</v>
      </c>
      <c r="E113">
        <v>1</v>
      </c>
      <c r="F113">
        <v>1</v>
      </c>
      <c r="G113">
        <v>1</v>
      </c>
      <c r="H113">
        <v>2</v>
      </c>
      <c r="I113" t="s">
        <v>258</v>
      </c>
      <c r="J113" t="s">
        <v>259</v>
      </c>
      <c r="K113" t="s">
        <v>260</v>
      </c>
      <c r="L113">
        <v>1368</v>
      </c>
      <c r="N113">
        <v>1011</v>
      </c>
      <c r="O113" t="s">
        <v>255</v>
      </c>
      <c r="P113" t="s">
        <v>255</v>
      </c>
      <c r="Q113">
        <v>1</v>
      </c>
      <c r="W113">
        <v>0</v>
      </c>
      <c r="X113">
        <v>368031958</v>
      </c>
      <c r="Y113">
        <v>2.5000000000000001E-2</v>
      </c>
      <c r="AA113">
        <v>0</v>
      </c>
      <c r="AB113">
        <v>27.66</v>
      </c>
      <c r="AC113">
        <v>11.6</v>
      </c>
      <c r="AD113">
        <v>0</v>
      </c>
      <c r="AE113">
        <v>0</v>
      </c>
      <c r="AF113">
        <v>27.66</v>
      </c>
      <c r="AG113">
        <v>11.6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4</v>
      </c>
      <c r="AT113">
        <v>0.02</v>
      </c>
      <c r="AU113" t="s">
        <v>29</v>
      </c>
      <c r="AV113">
        <v>0</v>
      </c>
      <c r="AW113">
        <v>2</v>
      </c>
      <c r="AX113">
        <v>16501121</v>
      </c>
      <c r="AY113">
        <v>1</v>
      </c>
      <c r="AZ113">
        <v>0</v>
      </c>
      <c r="BA113">
        <v>115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Y113*Source!I68</f>
        <v>9.9750000000000012E-3</v>
      </c>
      <c r="CY113">
        <f>AB113</f>
        <v>27.66</v>
      </c>
      <c r="CZ113">
        <f>AF113</f>
        <v>27.66</v>
      </c>
      <c r="DA113">
        <f>AJ113</f>
        <v>1</v>
      </c>
      <c r="DB113">
        <v>0</v>
      </c>
    </row>
    <row r="114" spans="1:106" x14ac:dyDescent="0.2">
      <c r="A114">
        <f>ROW(Source!A68)</f>
        <v>68</v>
      </c>
      <c r="B114">
        <v>16500983</v>
      </c>
      <c r="C114">
        <v>16501118</v>
      </c>
      <c r="D114">
        <v>15249073</v>
      </c>
      <c r="E114">
        <v>1</v>
      </c>
      <c r="F114">
        <v>1</v>
      </c>
      <c r="G114">
        <v>1</v>
      </c>
      <c r="H114">
        <v>2</v>
      </c>
      <c r="I114" t="s">
        <v>261</v>
      </c>
      <c r="J114" t="s">
        <v>262</v>
      </c>
      <c r="K114" t="s">
        <v>263</v>
      </c>
      <c r="L114">
        <v>1368</v>
      </c>
      <c r="N114">
        <v>1011</v>
      </c>
      <c r="O114" t="s">
        <v>255</v>
      </c>
      <c r="P114" t="s">
        <v>255</v>
      </c>
      <c r="Q114">
        <v>1</v>
      </c>
      <c r="W114">
        <v>0</v>
      </c>
      <c r="X114">
        <v>1372534845</v>
      </c>
      <c r="Y114">
        <v>0.2</v>
      </c>
      <c r="AA114">
        <v>0</v>
      </c>
      <c r="AB114">
        <v>65.709999999999994</v>
      </c>
      <c r="AC114">
        <v>11.6</v>
      </c>
      <c r="AD114">
        <v>0</v>
      </c>
      <c r="AE114">
        <v>0</v>
      </c>
      <c r="AF114">
        <v>65.709999999999994</v>
      </c>
      <c r="AG114">
        <v>11.6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4</v>
      </c>
      <c r="AT114">
        <v>0.16</v>
      </c>
      <c r="AU114" t="s">
        <v>29</v>
      </c>
      <c r="AV114">
        <v>0</v>
      </c>
      <c r="AW114">
        <v>2</v>
      </c>
      <c r="AX114">
        <v>16501122</v>
      </c>
      <c r="AY114">
        <v>1</v>
      </c>
      <c r="AZ114">
        <v>0</v>
      </c>
      <c r="BA114">
        <v>116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Y114*Source!I68</f>
        <v>7.980000000000001E-2</v>
      </c>
      <c r="CY114">
        <f>AB114</f>
        <v>65.709999999999994</v>
      </c>
      <c r="CZ114">
        <f>AF114</f>
        <v>65.709999999999994</v>
      </c>
      <c r="DA114">
        <f>AJ114</f>
        <v>1</v>
      </c>
      <c r="DB114">
        <v>0</v>
      </c>
    </row>
    <row r="115" spans="1:106" x14ac:dyDescent="0.2">
      <c r="A115">
        <f>ROW(Source!A68)</f>
        <v>68</v>
      </c>
      <c r="B115">
        <v>16500983</v>
      </c>
      <c r="C115">
        <v>16501118</v>
      </c>
      <c r="D115">
        <v>15170682</v>
      </c>
      <c r="E115">
        <v>1</v>
      </c>
      <c r="F115">
        <v>1</v>
      </c>
      <c r="G115">
        <v>1</v>
      </c>
      <c r="H115">
        <v>3</v>
      </c>
      <c r="I115" t="s">
        <v>297</v>
      </c>
      <c r="J115" t="s">
        <v>298</v>
      </c>
      <c r="K115" t="s">
        <v>299</v>
      </c>
      <c r="L115">
        <v>1327</v>
      </c>
      <c r="N115">
        <v>1005</v>
      </c>
      <c r="O115" t="s">
        <v>50</v>
      </c>
      <c r="P115" t="s">
        <v>50</v>
      </c>
      <c r="Q115">
        <v>1</v>
      </c>
      <c r="W115">
        <v>0</v>
      </c>
      <c r="X115">
        <v>-1987926685</v>
      </c>
      <c r="Y115">
        <v>0.84</v>
      </c>
      <c r="AA115">
        <v>72.319999999999993</v>
      </c>
      <c r="AB115">
        <v>0</v>
      </c>
      <c r="AC115">
        <v>0</v>
      </c>
      <c r="AD115">
        <v>0</v>
      </c>
      <c r="AE115">
        <v>72.319999999999993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4</v>
      </c>
      <c r="AT115">
        <v>0.84</v>
      </c>
      <c r="AU115" t="s">
        <v>4</v>
      </c>
      <c r="AV115">
        <v>0</v>
      </c>
      <c r="AW115">
        <v>2</v>
      </c>
      <c r="AX115">
        <v>16501123</v>
      </c>
      <c r="AY115">
        <v>1</v>
      </c>
      <c r="AZ115">
        <v>0</v>
      </c>
      <c r="BA115">
        <v>117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Y115*Source!I68</f>
        <v>0.33516000000000001</v>
      </c>
      <c r="CY115">
        <f>AA115</f>
        <v>72.319999999999993</v>
      </c>
      <c r="CZ115">
        <f>AE115</f>
        <v>72.319999999999993</v>
      </c>
      <c r="DA115">
        <f>AI115</f>
        <v>1</v>
      </c>
      <c r="DB115">
        <v>0</v>
      </c>
    </row>
    <row r="116" spans="1:106" x14ac:dyDescent="0.2">
      <c r="A116">
        <f>ROW(Source!A68)</f>
        <v>68</v>
      </c>
      <c r="B116">
        <v>16500983</v>
      </c>
      <c r="C116">
        <v>16501118</v>
      </c>
      <c r="D116">
        <v>15171018</v>
      </c>
      <c r="E116">
        <v>1</v>
      </c>
      <c r="F116">
        <v>1</v>
      </c>
      <c r="G116">
        <v>1</v>
      </c>
      <c r="H116">
        <v>3</v>
      </c>
      <c r="I116" t="s">
        <v>277</v>
      </c>
      <c r="J116" t="s">
        <v>278</v>
      </c>
      <c r="K116" t="s">
        <v>279</v>
      </c>
      <c r="L116">
        <v>1346</v>
      </c>
      <c r="N116">
        <v>1009</v>
      </c>
      <c r="O116" t="s">
        <v>274</v>
      </c>
      <c r="P116" t="s">
        <v>274</v>
      </c>
      <c r="Q116">
        <v>1</v>
      </c>
      <c r="W116">
        <v>0</v>
      </c>
      <c r="X116">
        <v>813963326</v>
      </c>
      <c r="Y116">
        <v>0.31</v>
      </c>
      <c r="AA116">
        <v>1.82</v>
      </c>
      <c r="AB116">
        <v>0</v>
      </c>
      <c r="AC116">
        <v>0</v>
      </c>
      <c r="AD116">
        <v>0</v>
      </c>
      <c r="AE116">
        <v>1.82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4</v>
      </c>
      <c r="AT116">
        <v>0.31</v>
      </c>
      <c r="AU116" t="s">
        <v>4</v>
      </c>
      <c r="AV116">
        <v>0</v>
      </c>
      <c r="AW116">
        <v>2</v>
      </c>
      <c r="AX116">
        <v>16501124</v>
      </c>
      <c r="AY116">
        <v>1</v>
      </c>
      <c r="AZ116">
        <v>0</v>
      </c>
      <c r="BA116">
        <v>118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Y116*Source!I68</f>
        <v>0.12369000000000001</v>
      </c>
      <c r="CY116">
        <f>AA116</f>
        <v>1.82</v>
      </c>
      <c r="CZ116">
        <f>AE116</f>
        <v>1.82</v>
      </c>
      <c r="DA116">
        <f>AI116</f>
        <v>1</v>
      </c>
      <c r="DB116">
        <v>0</v>
      </c>
    </row>
    <row r="117" spans="1:106" x14ac:dyDescent="0.2">
      <c r="A117">
        <f>ROW(Source!A68)</f>
        <v>68</v>
      </c>
      <c r="B117">
        <v>16500983</v>
      </c>
      <c r="C117">
        <v>16501118</v>
      </c>
      <c r="D117">
        <v>15203233</v>
      </c>
      <c r="E117">
        <v>1</v>
      </c>
      <c r="F117">
        <v>1</v>
      </c>
      <c r="G117">
        <v>1</v>
      </c>
      <c r="H117">
        <v>3</v>
      </c>
      <c r="I117" t="s">
        <v>107</v>
      </c>
      <c r="J117" t="s">
        <v>109</v>
      </c>
      <c r="K117" t="s">
        <v>108</v>
      </c>
      <c r="L117">
        <v>1348</v>
      </c>
      <c r="N117">
        <v>1009</v>
      </c>
      <c r="O117" t="s">
        <v>58</v>
      </c>
      <c r="P117" t="s">
        <v>58</v>
      </c>
      <c r="Q117">
        <v>1000</v>
      </c>
      <c r="W117">
        <v>0</v>
      </c>
      <c r="X117">
        <v>-1919714308</v>
      </c>
      <c r="Y117">
        <v>2.1999999999999999E-2</v>
      </c>
      <c r="AA117">
        <v>18390.16</v>
      </c>
      <c r="AB117">
        <v>0</v>
      </c>
      <c r="AC117">
        <v>0</v>
      </c>
      <c r="AD117">
        <v>0</v>
      </c>
      <c r="AE117">
        <v>18390.16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4</v>
      </c>
      <c r="AT117">
        <v>2.1999999999999999E-2</v>
      </c>
      <c r="AU117" t="s">
        <v>4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4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Y117*Source!I68</f>
        <v>8.7779999999999993E-3</v>
      </c>
      <c r="CY117">
        <f>AA117</f>
        <v>18390.16</v>
      </c>
      <c r="CZ117">
        <f>AE117</f>
        <v>18390.16</v>
      </c>
      <c r="DA117">
        <f>AI117</f>
        <v>1</v>
      </c>
      <c r="DB117">
        <v>0</v>
      </c>
    </row>
    <row r="118" spans="1:106" x14ac:dyDescent="0.2">
      <c r="A118">
        <f>ROW(Source!A68)</f>
        <v>68</v>
      </c>
      <c r="B118">
        <v>16500983</v>
      </c>
      <c r="C118">
        <v>16501118</v>
      </c>
      <c r="D118">
        <v>15203251</v>
      </c>
      <c r="E118">
        <v>1</v>
      </c>
      <c r="F118">
        <v>1</v>
      </c>
      <c r="G118">
        <v>1</v>
      </c>
      <c r="H118">
        <v>3</v>
      </c>
      <c r="I118" t="s">
        <v>115</v>
      </c>
      <c r="J118" t="s">
        <v>117</v>
      </c>
      <c r="K118" t="s">
        <v>116</v>
      </c>
      <c r="L118">
        <v>1348</v>
      </c>
      <c r="N118">
        <v>1009</v>
      </c>
      <c r="O118" t="s">
        <v>58</v>
      </c>
      <c r="P118" t="s">
        <v>58</v>
      </c>
      <c r="Q118">
        <v>1000</v>
      </c>
      <c r="W118">
        <v>0</v>
      </c>
      <c r="X118">
        <v>763838732</v>
      </c>
      <c r="Y118">
        <v>3.3000000000000002E-2</v>
      </c>
      <c r="AA118">
        <v>7627.37</v>
      </c>
      <c r="AB118">
        <v>0</v>
      </c>
      <c r="AC118">
        <v>0</v>
      </c>
      <c r="AD118">
        <v>0</v>
      </c>
      <c r="AE118">
        <v>7627.37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4</v>
      </c>
      <c r="AT118">
        <v>3.3000000000000002E-2</v>
      </c>
      <c r="AU118" t="s">
        <v>4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4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Y118*Source!I68</f>
        <v>1.3167000000000002E-2</v>
      </c>
      <c r="CY118">
        <f>AA118</f>
        <v>7627.37</v>
      </c>
      <c r="CZ118">
        <f>AE118</f>
        <v>7627.37</v>
      </c>
      <c r="DA118">
        <f>AI118</f>
        <v>1</v>
      </c>
      <c r="DB118">
        <v>0</v>
      </c>
    </row>
    <row r="119" spans="1:106" x14ac:dyDescent="0.2">
      <c r="A119">
        <f>ROW(Source!A68)</f>
        <v>68</v>
      </c>
      <c r="B119">
        <v>16500983</v>
      </c>
      <c r="C119">
        <v>16501118</v>
      </c>
      <c r="D119">
        <v>15204737</v>
      </c>
      <c r="E119">
        <v>1</v>
      </c>
      <c r="F119">
        <v>1</v>
      </c>
      <c r="G119">
        <v>1</v>
      </c>
      <c r="H119">
        <v>3</v>
      </c>
      <c r="I119" t="s">
        <v>300</v>
      </c>
      <c r="J119" t="s">
        <v>301</v>
      </c>
      <c r="K119" t="s">
        <v>302</v>
      </c>
      <c r="L119">
        <v>1348</v>
      </c>
      <c r="N119">
        <v>1009</v>
      </c>
      <c r="O119" t="s">
        <v>58</v>
      </c>
      <c r="P119" t="s">
        <v>58</v>
      </c>
      <c r="Q119">
        <v>1000</v>
      </c>
      <c r="W119">
        <v>0</v>
      </c>
      <c r="X119">
        <v>181729109</v>
      </c>
      <c r="Y119">
        <v>5.5E-2</v>
      </c>
      <c r="AA119">
        <v>11397.1</v>
      </c>
      <c r="AB119">
        <v>0</v>
      </c>
      <c r="AC119">
        <v>0</v>
      </c>
      <c r="AD119">
        <v>0</v>
      </c>
      <c r="AE119">
        <v>11397.1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4</v>
      </c>
      <c r="AT119">
        <v>5.5E-2</v>
      </c>
      <c r="AU119" t="s">
        <v>4</v>
      </c>
      <c r="AV119">
        <v>0</v>
      </c>
      <c r="AW119">
        <v>2</v>
      </c>
      <c r="AX119">
        <v>16501127</v>
      </c>
      <c r="AY119">
        <v>1</v>
      </c>
      <c r="AZ119">
        <v>0</v>
      </c>
      <c r="BA119">
        <v>121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Y119*Source!I68</f>
        <v>2.1945000000000003E-2</v>
      </c>
      <c r="CY119">
        <f>AA119</f>
        <v>11397.1</v>
      </c>
      <c r="CZ119">
        <f>AE119</f>
        <v>11397.1</v>
      </c>
      <c r="DA119">
        <f>AI119</f>
        <v>1</v>
      </c>
      <c r="DB119">
        <v>0</v>
      </c>
    </row>
    <row r="120" spans="1:106" x14ac:dyDescent="0.2">
      <c r="A120">
        <f>ROW(Source!A69)</f>
        <v>69</v>
      </c>
      <c r="B120">
        <v>16500997</v>
      </c>
      <c r="C120">
        <v>16501118</v>
      </c>
      <c r="D120">
        <v>15436014</v>
      </c>
      <c r="E120">
        <v>1</v>
      </c>
      <c r="F120">
        <v>1</v>
      </c>
      <c r="G120">
        <v>1</v>
      </c>
      <c r="H120">
        <v>1</v>
      </c>
      <c r="I120" t="s">
        <v>295</v>
      </c>
      <c r="J120" t="s">
        <v>4</v>
      </c>
      <c r="K120" t="s">
        <v>296</v>
      </c>
      <c r="L120">
        <v>1191</v>
      </c>
      <c r="N120">
        <v>1013</v>
      </c>
      <c r="O120" t="s">
        <v>249</v>
      </c>
      <c r="P120" t="s">
        <v>249</v>
      </c>
      <c r="Q120">
        <v>1</v>
      </c>
      <c r="W120">
        <v>0</v>
      </c>
      <c r="X120">
        <v>-784637506</v>
      </c>
      <c r="Y120">
        <v>72.449999999999989</v>
      </c>
      <c r="AA120">
        <v>0</v>
      </c>
      <c r="AB120">
        <v>0</v>
      </c>
      <c r="AC120">
        <v>0</v>
      </c>
      <c r="AD120">
        <v>53.14</v>
      </c>
      <c r="AE120">
        <v>0</v>
      </c>
      <c r="AF120">
        <v>0</v>
      </c>
      <c r="AG120">
        <v>0</v>
      </c>
      <c r="AH120">
        <v>8.74</v>
      </c>
      <c r="AI120">
        <v>1</v>
      </c>
      <c r="AJ120">
        <v>1</v>
      </c>
      <c r="AK120">
        <v>1</v>
      </c>
      <c r="AL120">
        <v>6.08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4</v>
      </c>
      <c r="AT120">
        <v>63</v>
      </c>
      <c r="AU120" t="s">
        <v>30</v>
      </c>
      <c r="AV120">
        <v>1</v>
      </c>
      <c r="AW120">
        <v>2</v>
      </c>
      <c r="AX120">
        <v>16501119</v>
      </c>
      <c r="AY120">
        <v>1</v>
      </c>
      <c r="AZ120">
        <v>0</v>
      </c>
      <c r="BA120">
        <v>122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Y120*Source!I69</f>
        <v>28.907549999999997</v>
      </c>
      <c r="CY120">
        <f>AD120</f>
        <v>53.14</v>
      </c>
      <c r="CZ120">
        <f>AH120</f>
        <v>8.74</v>
      </c>
      <c r="DA120">
        <f>AL120</f>
        <v>6.08</v>
      </c>
      <c r="DB120">
        <v>0</v>
      </c>
    </row>
    <row r="121" spans="1:106" x14ac:dyDescent="0.2">
      <c r="A121">
        <f>ROW(Source!A69)</f>
        <v>69</v>
      </c>
      <c r="B121">
        <v>16500997</v>
      </c>
      <c r="C121">
        <v>16501118</v>
      </c>
      <c r="D121">
        <v>15430395</v>
      </c>
      <c r="E121">
        <v>1</v>
      </c>
      <c r="F121">
        <v>1</v>
      </c>
      <c r="G121">
        <v>1</v>
      </c>
      <c r="H121">
        <v>1</v>
      </c>
      <c r="I121" t="s">
        <v>250</v>
      </c>
      <c r="J121" t="s">
        <v>4</v>
      </c>
      <c r="K121" t="s">
        <v>251</v>
      </c>
      <c r="L121">
        <v>1191</v>
      </c>
      <c r="N121">
        <v>1013</v>
      </c>
      <c r="O121" t="s">
        <v>249</v>
      </c>
      <c r="P121" t="s">
        <v>249</v>
      </c>
      <c r="Q121">
        <v>1</v>
      </c>
      <c r="W121">
        <v>0</v>
      </c>
      <c r="X121">
        <v>-1417349443</v>
      </c>
      <c r="Y121">
        <v>0.18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6.08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4</v>
      </c>
      <c r="AT121">
        <v>0.18</v>
      </c>
      <c r="AU121" t="s">
        <v>4</v>
      </c>
      <c r="AV121">
        <v>2</v>
      </c>
      <c r="AW121">
        <v>2</v>
      </c>
      <c r="AX121">
        <v>16501120</v>
      </c>
      <c r="AY121">
        <v>1</v>
      </c>
      <c r="AZ121">
        <v>2048</v>
      </c>
      <c r="BA121">
        <v>123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Y121*Source!I69</f>
        <v>7.1819999999999995E-2</v>
      </c>
      <c r="CY121">
        <f>AD121</f>
        <v>0</v>
      </c>
      <c r="CZ121">
        <f>AH121</f>
        <v>0</v>
      </c>
      <c r="DA121">
        <f>AL121</f>
        <v>1</v>
      </c>
      <c r="DB121">
        <v>0</v>
      </c>
    </row>
    <row r="122" spans="1:106" x14ac:dyDescent="0.2">
      <c r="A122">
        <f>ROW(Source!A69)</f>
        <v>69</v>
      </c>
      <c r="B122">
        <v>16500997</v>
      </c>
      <c r="C122">
        <v>16501118</v>
      </c>
      <c r="D122">
        <v>15247970</v>
      </c>
      <c r="E122">
        <v>1</v>
      </c>
      <c r="F122">
        <v>1</v>
      </c>
      <c r="G122">
        <v>1</v>
      </c>
      <c r="H122">
        <v>2</v>
      </c>
      <c r="I122" t="s">
        <v>258</v>
      </c>
      <c r="J122" t="s">
        <v>259</v>
      </c>
      <c r="K122" t="s">
        <v>260</v>
      </c>
      <c r="L122">
        <v>1368</v>
      </c>
      <c r="N122">
        <v>1011</v>
      </c>
      <c r="O122" t="s">
        <v>255</v>
      </c>
      <c r="P122" t="s">
        <v>255</v>
      </c>
      <c r="Q122">
        <v>1</v>
      </c>
      <c r="W122">
        <v>0</v>
      </c>
      <c r="X122">
        <v>368031958</v>
      </c>
      <c r="Y122">
        <v>2.5000000000000001E-2</v>
      </c>
      <c r="AA122">
        <v>0</v>
      </c>
      <c r="AB122">
        <v>168.17</v>
      </c>
      <c r="AC122">
        <v>11.6</v>
      </c>
      <c r="AD122">
        <v>0</v>
      </c>
      <c r="AE122">
        <v>0</v>
      </c>
      <c r="AF122">
        <v>27.66</v>
      </c>
      <c r="AG122">
        <v>11.6</v>
      </c>
      <c r="AH122">
        <v>0</v>
      </c>
      <c r="AI122">
        <v>1</v>
      </c>
      <c r="AJ122">
        <v>6.08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4</v>
      </c>
      <c r="AT122">
        <v>0.02</v>
      </c>
      <c r="AU122" t="s">
        <v>29</v>
      </c>
      <c r="AV122">
        <v>0</v>
      </c>
      <c r="AW122">
        <v>2</v>
      </c>
      <c r="AX122">
        <v>16501121</v>
      </c>
      <c r="AY122">
        <v>1</v>
      </c>
      <c r="AZ122">
        <v>0</v>
      </c>
      <c r="BA122">
        <v>124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Y122*Source!I69</f>
        <v>9.9750000000000012E-3</v>
      </c>
      <c r="CY122">
        <f>AB122</f>
        <v>168.17</v>
      </c>
      <c r="CZ122">
        <f>AF122</f>
        <v>27.66</v>
      </c>
      <c r="DA122">
        <f>AJ122</f>
        <v>6.08</v>
      </c>
      <c r="DB122">
        <v>0</v>
      </c>
    </row>
    <row r="123" spans="1:106" x14ac:dyDescent="0.2">
      <c r="A123">
        <f>ROW(Source!A69)</f>
        <v>69</v>
      </c>
      <c r="B123">
        <v>16500997</v>
      </c>
      <c r="C123">
        <v>16501118</v>
      </c>
      <c r="D123">
        <v>15249073</v>
      </c>
      <c r="E123">
        <v>1</v>
      </c>
      <c r="F123">
        <v>1</v>
      </c>
      <c r="G123">
        <v>1</v>
      </c>
      <c r="H123">
        <v>2</v>
      </c>
      <c r="I123" t="s">
        <v>261</v>
      </c>
      <c r="J123" t="s">
        <v>262</v>
      </c>
      <c r="K123" t="s">
        <v>263</v>
      </c>
      <c r="L123">
        <v>1368</v>
      </c>
      <c r="N123">
        <v>1011</v>
      </c>
      <c r="O123" t="s">
        <v>255</v>
      </c>
      <c r="P123" t="s">
        <v>255</v>
      </c>
      <c r="Q123">
        <v>1</v>
      </c>
      <c r="W123">
        <v>0</v>
      </c>
      <c r="X123">
        <v>1372534845</v>
      </c>
      <c r="Y123">
        <v>0.2</v>
      </c>
      <c r="AA123">
        <v>0</v>
      </c>
      <c r="AB123">
        <v>399.52</v>
      </c>
      <c r="AC123">
        <v>11.6</v>
      </c>
      <c r="AD123">
        <v>0</v>
      </c>
      <c r="AE123">
        <v>0</v>
      </c>
      <c r="AF123">
        <v>65.709999999999994</v>
      </c>
      <c r="AG123">
        <v>11.6</v>
      </c>
      <c r="AH123">
        <v>0</v>
      </c>
      <c r="AI123">
        <v>1</v>
      </c>
      <c r="AJ123">
        <v>6.08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4</v>
      </c>
      <c r="AT123">
        <v>0.16</v>
      </c>
      <c r="AU123" t="s">
        <v>29</v>
      </c>
      <c r="AV123">
        <v>0</v>
      </c>
      <c r="AW123">
        <v>2</v>
      </c>
      <c r="AX123">
        <v>16501122</v>
      </c>
      <c r="AY123">
        <v>1</v>
      </c>
      <c r="AZ123">
        <v>0</v>
      </c>
      <c r="BA123">
        <v>125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Y123*Source!I69</f>
        <v>7.980000000000001E-2</v>
      </c>
      <c r="CY123">
        <f>AB123</f>
        <v>399.52</v>
      </c>
      <c r="CZ123">
        <f>AF123</f>
        <v>65.709999999999994</v>
      </c>
      <c r="DA123">
        <f>AJ123</f>
        <v>6.08</v>
      </c>
      <c r="DB123">
        <v>0</v>
      </c>
    </row>
    <row r="124" spans="1:106" x14ac:dyDescent="0.2">
      <c r="A124">
        <f>ROW(Source!A69)</f>
        <v>69</v>
      </c>
      <c r="B124">
        <v>16500997</v>
      </c>
      <c r="C124">
        <v>16501118</v>
      </c>
      <c r="D124">
        <v>15170682</v>
      </c>
      <c r="E124">
        <v>1</v>
      </c>
      <c r="F124">
        <v>1</v>
      </c>
      <c r="G124">
        <v>1</v>
      </c>
      <c r="H124">
        <v>3</v>
      </c>
      <c r="I124" t="s">
        <v>297</v>
      </c>
      <c r="J124" t="s">
        <v>298</v>
      </c>
      <c r="K124" t="s">
        <v>299</v>
      </c>
      <c r="L124">
        <v>1327</v>
      </c>
      <c r="N124">
        <v>1005</v>
      </c>
      <c r="O124" t="s">
        <v>50</v>
      </c>
      <c r="P124" t="s">
        <v>50</v>
      </c>
      <c r="Q124">
        <v>1</v>
      </c>
      <c r="W124">
        <v>0</v>
      </c>
      <c r="X124">
        <v>-1987926685</v>
      </c>
      <c r="Y124">
        <v>0.84</v>
      </c>
      <c r="AA124">
        <v>439.71</v>
      </c>
      <c r="AB124">
        <v>0</v>
      </c>
      <c r="AC124">
        <v>0</v>
      </c>
      <c r="AD124">
        <v>0</v>
      </c>
      <c r="AE124">
        <v>72.319999999999993</v>
      </c>
      <c r="AF124">
        <v>0</v>
      </c>
      <c r="AG124">
        <v>0</v>
      </c>
      <c r="AH124">
        <v>0</v>
      </c>
      <c r="AI124">
        <v>6.08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4</v>
      </c>
      <c r="AT124">
        <v>0.84</v>
      </c>
      <c r="AU124" t="s">
        <v>4</v>
      </c>
      <c r="AV124">
        <v>0</v>
      </c>
      <c r="AW124">
        <v>2</v>
      </c>
      <c r="AX124">
        <v>16501123</v>
      </c>
      <c r="AY124">
        <v>1</v>
      </c>
      <c r="AZ124">
        <v>0</v>
      </c>
      <c r="BA124">
        <v>126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Y124*Source!I69</f>
        <v>0.33516000000000001</v>
      </c>
      <c r="CY124">
        <f>AA124</f>
        <v>439.71</v>
      </c>
      <c r="CZ124">
        <f>AE124</f>
        <v>72.319999999999993</v>
      </c>
      <c r="DA124">
        <f>AI124</f>
        <v>6.08</v>
      </c>
      <c r="DB124">
        <v>0</v>
      </c>
    </row>
    <row r="125" spans="1:106" x14ac:dyDescent="0.2">
      <c r="A125">
        <f>ROW(Source!A69)</f>
        <v>69</v>
      </c>
      <c r="B125">
        <v>16500997</v>
      </c>
      <c r="C125">
        <v>16501118</v>
      </c>
      <c r="D125">
        <v>15171018</v>
      </c>
      <c r="E125">
        <v>1</v>
      </c>
      <c r="F125">
        <v>1</v>
      </c>
      <c r="G125">
        <v>1</v>
      </c>
      <c r="H125">
        <v>3</v>
      </c>
      <c r="I125" t="s">
        <v>277</v>
      </c>
      <c r="J125" t="s">
        <v>278</v>
      </c>
      <c r="K125" t="s">
        <v>279</v>
      </c>
      <c r="L125">
        <v>1346</v>
      </c>
      <c r="N125">
        <v>1009</v>
      </c>
      <c r="O125" t="s">
        <v>274</v>
      </c>
      <c r="P125" t="s">
        <v>274</v>
      </c>
      <c r="Q125">
        <v>1</v>
      </c>
      <c r="W125">
        <v>0</v>
      </c>
      <c r="X125">
        <v>813963326</v>
      </c>
      <c r="Y125">
        <v>0.31</v>
      </c>
      <c r="AA125">
        <v>11.07</v>
      </c>
      <c r="AB125">
        <v>0</v>
      </c>
      <c r="AC125">
        <v>0</v>
      </c>
      <c r="AD125">
        <v>0</v>
      </c>
      <c r="AE125">
        <v>1.82</v>
      </c>
      <c r="AF125">
        <v>0</v>
      </c>
      <c r="AG125">
        <v>0</v>
      </c>
      <c r="AH125">
        <v>0</v>
      </c>
      <c r="AI125">
        <v>6.08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4</v>
      </c>
      <c r="AT125">
        <v>0.31</v>
      </c>
      <c r="AU125" t="s">
        <v>4</v>
      </c>
      <c r="AV125">
        <v>0</v>
      </c>
      <c r="AW125">
        <v>2</v>
      </c>
      <c r="AX125">
        <v>16501124</v>
      </c>
      <c r="AY125">
        <v>1</v>
      </c>
      <c r="AZ125">
        <v>0</v>
      </c>
      <c r="BA125">
        <v>127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Y125*Source!I69</f>
        <v>0.12369000000000001</v>
      </c>
      <c r="CY125">
        <f>AA125</f>
        <v>11.07</v>
      </c>
      <c r="CZ125">
        <f>AE125</f>
        <v>1.82</v>
      </c>
      <c r="DA125">
        <f>AI125</f>
        <v>6.08</v>
      </c>
      <c r="DB125">
        <v>0</v>
      </c>
    </row>
    <row r="126" spans="1:106" x14ac:dyDescent="0.2">
      <c r="A126">
        <f>ROW(Source!A69)</f>
        <v>69</v>
      </c>
      <c r="B126">
        <v>16500997</v>
      </c>
      <c r="C126">
        <v>16501118</v>
      </c>
      <c r="D126">
        <v>15203233</v>
      </c>
      <c r="E126">
        <v>1</v>
      </c>
      <c r="F126">
        <v>1</v>
      </c>
      <c r="G126">
        <v>1</v>
      </c>
      <c r="H126">
        <v>3</v>
      </c>
      <c r="I126" t="s">
        <v>107</v>
      </c>
      <c r="J126" t="s">
        <v>109</v>
      </c>
      <c r="K126" t="s">
        <v>108</v>
      </c>
      <c r="L126">
        <v>1348</v>
      </c>
      <c r="N126">
        <v>1009</v>
      </c>
      <c r="O126" t="s">
        <v>58</v>
      </c>
      <c r="P126" t="s">
        <v>58</v>
      </c>
      <c r="Q126">
        <v>1000</v>
      </c>
      <c r="W126">
        <v>0</v>
      </c>
      <c r="X126">
        <v>-1919714308</v>
      </c>
      <c r="Y126">
        <v>2.1999999999999999E-2</v>
      </c>
      <c r="AA126">
        <v>111812.17</v>
      </c>
      <c r="AB126">
        <v>0</v>
      </c>
      <c r="AC126">
        <v>0</v>
      </c>
      <c r="AD126">
        <v>0</v>
      </c>
      <c r="AE126">
        <v>18390.16</v>
      </c>
      <c r="AF126">
        <v>0</v>
      </c>
      <c r="AG126">
        <v>0</v>
      </c>
      <c r="AH126">
        <v>0</v>
      </c>
      <c r="AI126">
        <v>6.08</v>
      </c>
      <c r="AJ126">
        <v>1</v>
      </c>
      <c r="AK126">
        <v>1</v>
      </c>
      <c r="AL126">
        <v>1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4</v>
      </c>
      <c r="AT126">
        <v>2.1999999999999999E-2</v>
      </c>
      <c r="AU126" t="s">
        <v>4</v>
      </c>
      <c r="AV126">
        <v>0</v>
      </c>
      <c r="AW126">
        <v>1</v>
      </c>
      <c r="AX126">
        <v>-1</v>
      </c>
      <c r="AY126">
        <v>0</v>
      </c>
      <c r="AZ126">
        <v>0</v>
      </c>
      <c r="BA126" t="s">
        <v>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Y126*Source!I69</f>
        <v>8.7779999999999993E-3</v>
      </c>
      <c r="CY126">
        <f>AA126</f>
        <v>111812.17</v>
      </c>
      <c r="CZ126">
        <f>AE126</f>
        <v>18390.16</v>
      </c>
      <c r="DA126">
        <f>AI126</f>
        <v>6.08</v>
      </c>
      <c r="DB126">
        <v>0</v>
      </c>
    </row>
    <row r="127" spans="1:106" x14ac:dyDescent="0.2">
      <c r="A127">
        <f>ROW(Source!A69)</f>
        <v>69</v>
      </c>
      <c r="B127">
        <v>16500997</v>
      </c>
      <c r="C127">
        <v>16501118</v>
      </c>
      <c r="D127">
        <v>15203251</v>
      </c>
      <c r="E127">
        <v>1</v>
      </c>
      <c r="F127">
        <v>1</v>
      </c>
      <c r="G127">
        <v>1</v>
      </c>
      <c r="H127">
        <v>3</v>
      </c>
      <c r="I127" t="s">
        <v>115</v>
      </c>
      <c r="J127" t="s">
        <v>117</v>
      </c>
      <c r="K127" t="s">
        <v>116</v>
      </c>
      <c r="L127">
        <v>1348</v>
      </c>
      <c r="N127">
        <v>1009</v>
      </c>
      <c r="O127" t="s">
        <v>58</v>
      </c>
      <c r="P127" t="s">
        <v>58</v>
      </c>
      <c r="Q127">
        <v>1000</v>
      </c>
      <c r="W127">
        <v>0</v>
      </c>
      <c r="X127">
        <v>763838732</v>
      </c>
      <c r="Y127">
        <v>3.3000000000000002E-2</v>
      </c>
      <c r="AA127">
        <v>46374.41</v>
      </c>
      <c r="AB127">
        <v>0</v>
      </c>
      <c r="AC127">
        <v>0</v>
      </c>
      <c r="AD127">
        <v>0</v>
      </c>
      <c r="AE127">
        <v>7627.37</v>
      </c>
      <c r="AF127">
        <v>0</v>
      </c>
      <c r="AG127">
        <v>0</v>
      </c>
      <c r="AH127">
        <v>0</v>
      </c>
      <c r="AI127">
        <v>6.08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4</v>
      </c>
      <c r="AT127">
        <v>3.3000000000000002E-2</v>
      </c>
      <c r="AU127" t="s">
        <v>4</v>
      </c>
      <c r="AV127">
        <v>0</v>
      </c>
      <c r="AW127">
        <v>1</v>
      </c>
      <c r="AX127">
        <v>-1</v>
      </c>
      <c r="AY127">
        <v>0</v>
      </c>
      <c r="AZ127">
        <v>0</v>
      </c>
      <c r="BA127" t="s">
        <v>4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Y127*Source!I69</f>
        <v>1.3167000000000002E-2</v>
      </c>
      <c r="CY127">
        <f>AA127</f>
        <v>46374.41</v>
      </c>
      <c r="CZ127">
        <f>AE127</f>
        <v>7627.37</v>
      </c>
      <c r="DA127">
        <f>AI127</f>
        <v>6.08</v>
      </c>
      <c r="DB127">
        <v>0</v>
      </c>
    </row>
    <row r="128" spans="1:106" x14ac:dyDescent="0.2">
      <c r="A128">
        <f>ROW(Source!A69)</f>
        <v>69</v>
      </c>
      <c r="B128">
        <v>16500997</v>
      </c>
      <c r="C128">
        <v>16501118</v>
      </c>
      <c r="D128">
        <v>15204737</v>
      </c>
      <c r="E128">
        <v>1</v>
      </c>
      <c r="F128">
        <v>1</v>
      </c>
      <c r="G128">
        <v>1</v>
      </c>
      <c r="H128">
        <v>3</v>
      </c>
      <c r="I128" t="s">
        <v>300</v>
      </c>
      <c r="J128" t="s">
        <v>301</v>
      </c>
      <c r="K128" t="s">
        <v>302</v>
      </c>
      <c r="L128">
        <v>1348</v>
      </c>
      <c r="N128">
        <v>1009</v>
      </c>
      <c r="O128" t="s">
        <v>58</v>
      </c>
      <c r="P128" t="s">
        <v>58</v>
      </c>
      <c r="Q128">
        <v>1000</v>
      </c>
      <c r="W128">
        <v>0</v>
      </c>
      <c r="X128">
        <v>181729109</v>
      </c>
      <c r="Y128">
        <v>5.5E-2</v>
      </c>
      <c r="AA128">
        <v>69294.37</v>
      </c>
      <c r="AB128">
        <v>0</v>
      </c>
      <c r="AC128">
        <v>0</v>
      </c>
      <c r="AD128">
        <v>0</v>
      </c>
      <c r="AE128">
        <v>11397.1</v>
      </c>
      <c r="AF128">
        <v>0</v>
      </c>
      <c r="AG128">
        <v>0</v>
      </c>
      <c r="AH128">
        <v>0</v>
      </c>
      <c r="AI128">
        <v>6.08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4</v>
      </c>
      <c r="AT128">
        <v>5.5E-2</v>
      </c>
      <c r="AU128" t="s">
        <v>4</v>
      </c>
      <c r="AV128">
        <v>0</v>
      </c>
      <c r="AW128">
        <v>2</v>
      </c>
      <c r="AX128">
        <v>16501127</v>
      </c>
      <c r="AY128">
        <v>1</v>
      </c>
      <c r="AZ128">
        <v>0</v>
      </c>
      <c r="BA128">
        <v>130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Y128*Source!I69</f>
        <v>2.1945000000000003E-2</v>
      </c>
      <c r="CY128">
        <f>AA128</f>
        <v>69294.37</v>
      </c>
      <c r="CZ128">
        <f>AE128</f>
        <v>11397.1</v>
      </c>
      <c r="DA128">
        <f>AI128</f>
        <v>6.08</v>
      </c>
      <c r="DB12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16501031</v>
      </c>
      <c r="C1">
        <v>16501030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247</v>
      </c>
      <c r="J1" t="s">
        <v>4</v>
      </c>
      <c r="K1" t="s">
        <v>248</v>
      </c>
      <c r="L1">
        <v>1191</v>
      </c>
      <c r="N1">
        <v>1013</v>
      </c>
      <c r="O1" t="s">
        <v>249</v>
      </c>
      <c r="P1" t="s">
        <v>249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4</v>
      </c>
      <c r="AG1">
        <v>3.77</v>
      </c>
      <c r="AH1">
        <v>2</v>
      </c>
      <c r="AI1">
        <v>16501031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16501032</v>
      </c>
      <c r="C2">
        <v>16501030</v>
      </c>
      <c r="D2">
        <v>15164566</v>
      </c>
      <c r="E2">
        <v>17</v>
      </c>
      <c r="F2">
        <v>1</v>
      </c>
      <c r="G2">
        <v>1</v>
      </c>
      <c r="H2">
        <v>3</v>
      </c>
      <c r="I2" t="s">
        <v>303</v>
      </c>
      <c r="J2" t="s">
        <v>4</v>
      </c>
      <c r="K2" t="s">
        <v>304</v>
      </c>
      <c r="L2">
        <v>1348</v>
      </c>
      <c r="N2">
        <v>1009</v>
      </c>
      <c r="O2" t="s">
        <v>58</v>
      </c>
      <c r="P2" t="s">
        <v>58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4</v>
      </c>
      <c r="AG2">
        <v>0.11</v>
      </c>
      <c r="AH2">
        <v>3</v>
      </c>
      <c r="AI2">
        <v>-1</v>
      </c>
      <c r="AJ2" t="s">
        <v>4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16501031</v>
      </c>
      <c r="C3">
        <v>16501030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247</v>
      </c>
      <c r="J3" t="s">
        <v>4</v>
      </c>
      <c r="K3" t="s">
        <v>248</v>
      </c>
      <c r="L3">
        <v>1191</v>
      </c>
      <c r="N3">
        <v>1013</v>
      </c>
      <c r="O3" t="s">
        <v>249</v>
      </c>
      <c r="P3" t="s">
        <v>249</v>
      </c>
      <c r="Q3">
        <v>1</v>
      </c>
      <c r="X3">
        <v>3.77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4</v>
      </c>
      <c r="AG3">
        <v>3.77</v>
      </c>
      <c r="AH3">
        <v>2</v>
      </c>
      <c r="AI3">
        <v>16501031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16501032</v>
      </c>
      <c r="C4">
        <v>16501030</v>
      </c>
      <c r="D4">
        <v>15164566</v>
      </c>
      <c r="E4">
        <v>17</v>
      </c>
      <c r="F4">
        <v>1</v>
      </c>
      <c r="G4">
        <v>1</v>
      </c>
      <c r="H4">
        <v>3</v>
      </c>
      <c r="I4" t="s">
        <v>303</v>
      </c>
      <c r="J4" t="s">
        <v>4</v>
      </c>
      <c r="K4" t="s">
        <v>304</v>
      </c>
      <c r="L4">
        <v>1348</v>
      </c>
      <c r="N4">
        <v>1009</v>
      </c>
      <c r="O4" t="s">
        <v>58</v>
      </c>
      <c r="P4" t="s">
        <v>58</v>
      </c>
      <c r="Q4">
        <v>1000</v>
      </c>
      <c r="X4">
        <v>0.11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4</v>
      </c>
      <c r="AG4">
        <v>0.11</v>
      </c>
      <c r="AH4">
        <v>3</v>
      </c>
      <c r="AI4">
        <v>-1</v>
      </c>
      <c r="AJ4" t="s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ROW(Source!A26)</f>
        <v>26</v>
      </c>
      <c r="B5">
        <v>16501035</v>
      </c>
      <c r="C5">
        <v>16501034</v>
      </c>
      <c r="D5">
        <v>15430517</v>
      </c>
      <c r="E5">
        <v>1</v>
      </c>
      <c r="F5">
        <v>1</v>
      </c>
      <c r="G5">
        <v>1</v>
      </c>
      <c r="H5">
        <v>1</v>
      </c>
      <c r="I5" t="s">
        <v>247</v>
      </c>
      <c r="J5" t="s">
        <v>4</v>
      </c>
      <c r="K5" t="s">
        <v>248</v>
      </c>
      <c r="L5">
        <v>1191</v>
      </c>
      <c r="N5">
        <v>1013</v>
      </c>
      <c r="O5" t="s">
        <v>249</v>
      </c>
      <c r="P5" t="s">
        <v>249</v>
      </c>
      <c r="Q5">
        <v>1</v>
      </c>
      <c r="X5">
        <v>11.39</v>
      </c>
      <c r="Y5">
        <v>0</v>
      </c>
      <c r="Z5">
        <v>0</v>
      </c>
      <c r="AA5">
        <v>0</v>
      </c>
      <c r="AB5">
        <v>7.8</v>
      </c>
      <c r="AC5">
        <v>0</v>
      </c>
      <c r="AD5">
        <v>1</v>
      </c>
      <c r="AE5">
        <v>1</v>
      </c>
      <c r="AF5" t="s">
        <v>4</v>
      </c>
      <c r="AG5">
        <v>11.39</v>
      </c>
      <c r="AH5">
        <v>2</v>
      </c>
      <c r="AI5">
        <v>16501035</v>
      </c>
      <c r="AJ5">
        <v>3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ROW(Source!A26)</f>
        <v>26</v>
      </c>
      <c r="B6">
        <v>16501036</v>
      </c>
      <c r="C6">
        <v>16501034</v>
      </c>
      <c r="D6">
        <v>15430395</v>
      </c>
      <c r="E6">
        <v>1</v>
      </c>
      <c r="F6">
        <v>1</v>
      </c>
      <c r="G6">
        <v>1</v>
      </c>
      <c r="H6">
        <v>1</v>
      </c>
      <c r="I6" t="s">
        <v>250</v>
      </c>
      <c r="J6" t="s">
        <v>4</v>
      </c>
      <c r="K6" t="s">
        <v>251</v>
      </c>
      <c r="L6">
        <v>1191</v>
      </c>
      <c r="N6">
        <v>1013</v>
      </c>
      <c r="O6" t="s">
        <v>249</v>
      </c>
      <c r="P6" t="s">
        <v>249</v>
      </c>
      <c r="Q6">
        <v>1</v>
      </c>
      <c r="X6">
        <v>0.13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2</v>
      </c>
      <c r="AF6" t="s">
        <v>4</v>
      </c>
      <c r="AG6">
        <v>0.13</v>
      </c>
      <c r="AH6">
        <v>2</v>
      </c>
      <c r="AI6">
        <v>16501036</v>
      </c>
      <c r="AJ6">
        <v>4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16501037</v>
      </c>
      <c r="C7">
        <v>16501034</v>
      </c>
      <c r="D7">
        <v>15247974</v>
      </c>
      <c r="E7">
        <v>1</v>
      </c>
      <c r="F7">
        <v>1</v>
      </c>
      <c r="G7">
        <v>1</v>
      </c>
      <c r="H7">
        <v>2</v>
      </c>
      <c r="I7" t="s">
        <v>252</v>
      </c>
      <c r="J7" t="s">
        <v>253</v>
      </c>
      <c r="K7" t="s">
        <v>254</v>
      </c>
      <c r="L7">
        <v>1368</v>
      </c>
      <c r="N7">
        <v>1011</v>
      </c>
      <c r="O7" t="s">
        <v>255</v>
      </c>
      <c r="P7" t="s">
        <v>255</v>
      </c>
      <c r="Q7">
        <v>1</v>
      </c>
      <c r="X7">
        <v>0.13</v>
      </c>
      <c r="Y7">
        <v>0</v>
      </c>
      <c r="Z7">
        <v>31.26</v>
      </c>
      <c r="AA7">
        <v>13.5</v>
      </c>
      <c r="AB7">
        <v>0</v>
      </c>
      <c r="AC7">
        <v>0</v>
      </c>
      <c r="AD7">
        <v>1</v>
      </c>
      <c r="AE7">
        <v>0</v>
      </c>
      <c r="AF7" t="s">
        <v>4</v>
      </c>
      <c r="AG7">
        <v>0.13</v>
      </c>
      <c r="AH7">
        <v>2</v>
      </c>
      <c r="AI7">
        <v>16501037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16501038</v>
      </c>
      <c r="C8">
        <v>16501034</v>
      </c>
      <c r="D8">
        <v>15164566</v>
      </c>
      <c r="E8">
        <v>17</v>
      </c>
      <c r="F8">
        <v>1</v>
      </c>
      <c r="G8">
        <v>1</v>
      </c>
      <c r="H8">
        <v>3</v>
      </c>
      <c r="I8" t="s">
        <v>303</v>
      </c>
      <c r="J8" t="s">
        <v>4</v>
      </c>
      <c r="K8" t="s">
        <v>304</v>
      </c>
      <c r="L8">
        <v>1348</v>
      </c>
      <c r="N8">
        <v>1009</v>
      </c>
      <c r="O8" t="s">
        <v>58</v>
      </c>
      <c r="P8" t="s">
        <v>58</v>
      </c>
      <c r="Q8">
        <v>1000</v>
      </c>
      <c r="X8">
        <v>0.47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4</v>
      </c>
      <c r="AG8">
        <v>0.47</v>
      </c>
      <c r="AH8">
        <v>3</v>
      </c>
      <c r="AI8">
        <v>-1</v>
      </c>
      <c r="AJ8" t="s">
        <v>4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ROW(Source!A27)</f>
        <v>27</v>
      </c>
      <c r="B9">
        <v>16501035</v>
      </c>
      <c r="C9">
        <v>16501034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247</v>
      </c>
      <c r="J9" t="s">
        <v>4</v>
      </c>
      <c r="K9" t="s">
        <v>248</v>
      </c>
      <c r="L9">
        <v>1191</v>
      </c>
      <c r="N9">
        <v>1013</v>
      </c>
      <c r="O9" t="s">
        <v>249</v>
      </c>
      <c r="P9" t="s">
        <v>249</v>
      </c>
      <c r="Q9">
        <v>1</v>
      </c>
      <c r="X9">
        <v>11.39</v>
      </c>
      <c r="Y9">
        <v>0</v>
      </c>
      <c r="Z9">
        <v>0</v>
      </c>
      <c r="AA9">
        <v>0</v>
      </c>
      <c r="AB9">
        <v>7.8</v>
      </c>
      <c r="AC9">
        <v>0</v>
      </c>
      <c r="AD9">
        <v>1</v>
      </c>
      <c r="AE9">
        <v>1</v>
      </c>
      <c r="AF9" t="s">
        <v>4</v>
      </c>
      <c r="AG9">
        <v>11.39</v>
      </c>
      <c r="AH9">
        <v>2</v>
      </c>
      <c r="AI9">
        <v>16501035</v>
      </c>
      <c r="AJ9">
        <v>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ROW(Source!A27)</f>
        <v>27</v>
      </c>
      <c r="B10">
        <v>16501036</v>
      </c>
      <c r="C10">
        <v>16501034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250</v>
      </c>
      <c r="J10" t="s">
        <v>4</v>
      </c>
      <c r="K10" t="s">
        <v>251</v>
      </c>
      <c r="L10">
        <v>1191</v>
      </c>
      <c r="N10">
        <v>1013</v>
      </c>
      <c r="O10" t="s">
        <v>249</v>
      </c>
      <c r="P10" t="s">
        <v>249</v>
      </c>
      <c r="Q10">
        <v>1</v>
      </c>
      <c r="X10">
        <v>0.13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2</v>
      </c>
      <c r="AF10" t="s">
        <v>4</v>
      </c>
      <c r="AG10">
        <v>0.13</v>
      </c>
      <c r="AH10">
        <v>2</v>
      </c>
      <c r="AI10">
        <v>16501036</v>
      </c>
      <c r="AJ10">
        <v>7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16501037</v>
      </c>
      <c r="C11">
        <v>16501034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252</v>
      </c>
      <c r="J11" t="s">
        <v>253</v>
      </c>
      <c r="K11" t="s">
        <v>254</v>
      </c>
      <c r="L11">
        <v>1368</v>
      </c>
      <c r="N11">
        <v>1011</v>
      </c>
      <c r="O11" t="s">
        <v>255</v>
      </c>
      <c r="P11" t="s">
        <v>255</v>
      </c>
      <c r="Q11">
        <v>1</v>
      </c>
      <c r="X11">
        <v>0.13</v>
      </c>
      <c r="Y11">
        <v>0</v>
      </c>
      <c r="Z11">
        <v>31.26</v>
      </c>
      <c r="AA11">
        <v>13.5</v>
      </c>
      <c r="AB11">
        <v>0</v>
      </c>
      <c r="AC11">
        <v>0</v>
      </c>
      <c r="AD11">
        <v>1</v>
      </c>
      <c r="AE11">
        <v>0</v>
      </c>
      <c r="AF11" t="s">
        <v>4</v>
      </c>
      <c r="AG11">
        <v>0.13</v>
      </c>
      <c r="AH11">
        <v>2</v>
      </c>
      <c r="AI11">
        <v>16501037</v>
      </c>
      <c r="AJ11">
        <v>8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16501038</v>
      </c>
      <c r="C12">
        <v>16501034</v>
      </c>
      <c r="D12">
        <v>15164566</v>
      </c>
      <c r="E12">
        <v>17</v>
      </c>
      <c r="F12">
        <v>1</v>
      </c>
      <c r="G12">
        <v>1</v>
      </c>
      <c r="H12">
        <v>3</v>
      </c>
      <c r="I12" t="s">
        <v>303</v>
      </c>
      <c r="J12" t="s">
        <v>4</v>
      </c>
      <c r="K12" t="s">
        <v>304</v>
      </c>
      <c r="L12">
        <v>1348</v>
      </c>
      <c r="N12">
        <v>1009</v>
      </c>
      <c r="O12" t="s">
        <v>58</v>
      </c>
      <c r="P12" t="s">
        <v>58</v>
      </c>
      <c r="Q12">
        <v>1000</v>
      </c>
      <c r="X12">
        <v>0.47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4</v>
      </c>
      <c r="AG12">
        <v>0.47</v>
      </c>
      <c r="AH12">
        <v>3</v>
      </c>
      <c r="AI12">
        <v>-1</v>
      </c>
      <c r="AJ12" t="s">
        <v>4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ROW(Source!A28)</f>
        <v>28</v>
      </c>
      <c r="B13">
        <v>16501041</v>
      </c>
      <c r="C13">
        <v>16501040</v>
      </c>
      <c r="D13">
        <v>15430767</v>
      </c>
      <c r="E13">
        <v>1</v>
      </c>
      <c r="F13">
        <v>1</v>
      </c>
      <c r="G13">
        <v>1</v>
      </c>
      <c r="H13">
        <v>1</v>
      </c>
      <c r="I13" t="s">
        <v>256</v>
      </c>
      <c r="J13" t="s">
        <v>4</v>
      </c>
      <c r="K13" t="s">
        <v>257</v>
      </c>
      <c r="L13">
        <v>1191</v>
      </c>
      <c r="N13">
        <v>1013</v>
      </c>
      <c r="O13" t="s">
        <v>249</v>
      </c>
      <c r="P13" t="s">
        <v>249</v>
      </c>
      <c r="Q13">
        <v>1</v>
      </c>
      <c r="X13">
        <v>37.67</v>
      </c>
      <c r="Y13">
        <v>0</v>
      </c>
      <c r="Z13">
        <v>0</v>
      </c>
      <c r="AA13">
        <v>0</v>
      </c>
      <c r="AB13">
        <v>8.5299999999999994</v>
      </c>
      <c r="AC13">
        <v>0</v>
      </c>
      <c r="AD13">
        <v>1</v>
      </c>
      <c r="AE13">
        <v>1</v>
      </c>
      <c r="AF13" t="s">
        <v>30</v>
      </c>
      <c r="AG13">
        <v>43.320499999999996</v>
      </c>
      <c r="AH13">
        <v>2</v>
      </c>
      <c r="AI13">
        <v>16501041</v>
      </c>
      <c r="AJ13">
        <v>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ROW(Source!A28)</f>
        <v>28</v>
      </c>
      <c r="B14">
        <v>16501042</v>
      </c>
      <c r="C14">
        <v>16501040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250</v>
      </c>
      <c r="J14" t="s">
        <v>4</v>
      </c>
      <c r="K14" t="s">
        <v>251</v>
      </c>
      <c r="L14">
        <v>1191</v>
      </c>
      <c r="N14">
        <v>1013</v>
      </c>
      <c r="O14" t="s">
        <v>249</v>
      </c>
      <c r="P14" t="s">
        <v>249</v>
      </c>
      <c r="Q14">
        <v>1</v>
      </c>
      <c r="X14">
        <v>0.17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29</v>
      </c>
      <c r="AG14">
        <v>0.21250000000000002</v>
      </c>
      <c r="AH14">
        <v>2</v>
      </c>
      <c r="AI14">
        <v>16501042</v>
      </c>
      <c r="AJ14">
        <v>10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ROW(Source!A28)</f>
        <v>28</v>
      </c>
      <c r="B15">
        <v>16501043</v>
      </c>
      <c r="C15">
        <v>16501040</v>
      </c>
      <c r="D15">
        <v>15247970</v>
      </c>
      <c r="E15">
        <v>1</v>
      </c>
      <c r="F15">
        <v>1</v>
      </c>
      <c r="G15">
        <v>1</v>
      </c>
      <c r="H15">
        <v>2</v>
      </c>
      <c r="I15" t="s">
        <v>258</v>
      </c>
      <c r="J15" t="s">
        <v>259</v>
      </c>
      <c r="K15" t="s">
        <v>260</v>
      </c>
      <c r="L15">
        <v>1368</v>
      </c>
      <c r="N15">
        <v>1011</v>
      </c>
      <c r="O15" t="s">
        <v>255</v>
      </c>
      <c r="P15" t="s">
        <v>255</v>
      </c>
      <c r="Q15">
        <v>1</v>
      </c>
      <c r="X15">
        <v>0.13</v>
      </c>
      <c r="Y15">
        <v>0</v>
      </c>
      <c r="Z15">
        <v>27.66</v>
      </c>
      <c r="AA15">
        <v>11.6</v>
      </c>
      <c r="AB15">
        <v>0</v>
      </c>
      <c r="AC15">
        <v>0</v>
      </c>
      <c r="AD15">
        <v>1</v>
      </c>
      <c r="AE15">
        <v>0</v>
      </c>
      <c r="AF15" t="s">
        <v>29</v>
      </c>
      <c r="AG15">
        <v>0.16250000000000001</v>
      </c>
      <c r="AH15">
        <v>2</v>
      </c>
      <c r="AI15">
        <v>16501043</v>
      </c>
      <c r="AJ15">
        <v>11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ROW(Source!A28)</f>
        <v>28</v>
      </c>
      <c r="B16">
        <v>16501044</v>
      </c>
      <c r="C16">
        <v>16501040</v>
      </c>
      <c r="D16">
        <v>15249073</v>
      </c>
      <c r="E16">
        <v>1</v>
      </c>
      <c r="F16">
        <v>1</v>
      </c>
      <c r="G16">
        <v>1</v>
      </c>
      <c r="H16">
        <v>2</v>
      </c>
      <c r="I16" t="s">
        <v>261</v>
      </c>
      <c r="J16" t="s">
        <v>262</v>
      </c>
      <c r="K16" t="s">
        <v>263</v>
      </c>
      <c r="L16">
        <v>1368</v>
      </c>
      <c r="N16">
        <v>1011</v>
      </c>
      <c r="O16" t="s">
        <v>255</v>
      </c>
      <c r="P16" t="s">
        <v>255</v>
      </c>
      <c r="Q16">
        <v>1</v>
      </c>
      <c r="X16">
        <v>0.04</v>
      </c>
      <c r="Y16">
        <v>0</v>
      </c>
      <c r="Z16">
        <v>65.709999999999994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29</v>
      </c>
      <c r="AG16">
        <v>0.05</v>
      </c>
      <c r="AH16">
        <v>2</v>
      </c>
      <c r="AI16">
        <v>16501044</v>
      </c>
      <c r="AJ16">
        <v>12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ROW(Source!A28)</f>
        <v>28</v>
      </c>
      <c r="B17">
        <v>16501045</v>
      </c>
      <c r="C17">
        <v>16501040</v>
      </c>
      <c r="D17">
        <v>15167286</v>
      </c>
      <c r="E17">
        <v>1</v>
      </c>
      <c r="F17">
        <v>1</v>
      </c>
      <c r="G17">
        <v>1</v>
      </c>
      <c r="H17">
        <v>3</v>
      </c>
      <c r="I17" t="s">
        <v>264</v>
      </c>
      <c r="J17" t="s">
        <v>265</v>
      </c>
      <c r="K17" t="s">
        <v>266</v>
      </c>
      <c r="L17">
        <v>1339</v>
      </c>
      <c r="N17">
        <v>1007</v>
      </c>
      <c r="O17" t="s">
        <v>267</v>
      </c>
      <c r="P17" t="s">
        <v>267</v>
      </c>
      <c r="Q17">
        <v>1</v>
      </c>
      <c r="X17">
        <v>0.17399999999999999</v>
      </c>
      <c r="Y17">
        <v>2.44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4</v>
      </c>
      <c r="AG17">
        <v>0.17399999999999999</v>
      </c>
      <c r="AH17">
        <v>2</v>
      </c>
      <c r="AI17">
        <v>16501045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ROW(Source!A28)</f>
        <v>28</v>
      </c>
      <c r="B18">
        <v>16501046</v>
      </c>
      <c r="C18">
        <v>16501040</v>
      </c>
      <c r="D18">
        <v>15172906</v>
      </c>
      <c r="E18">
        <v>1</v>
      </c>
      <c r="F18">
        <v>1</v>
      </c>
      <c r="G18">
        <v>1</v>
      </c>
      <c r="H18">
        <v>3</v>
      </c>
      <c r="I18" t="s">
        <v>268</v>
      </c>
      <c r="J18" t="s">
        <v>269</v>
      </c>
      <c r="K18" t="s">
        <v>270</v>
      </c>
      <c r="L18">
        <v>1348</v>
      </c>
      <c r="N18">
        <v>1009</v>
      </c>
      <c r="O18" t="s">
        <v>58</v>
      </c>
      <c r="P18" t="s">
        <v>58</v>
      </c>
      <c r="Q18">
        <v>1000</v>
      </c>
      <c r="X18">
        <v>0.9</v>
      </c>
      <c r="Y18">
        <v>11381.57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</v>
      </c>
      <c r="AG18">
        <v>0.9</v>
      </c>
      <c r="AH18">
        <v>2</v>
      </c>
      <c r="AI18">
        <v>16501046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ROW(Source!A28)</f>
        <v>28</v>
      </c>
      <c r="B19">
        <v>16501047</v>
      </c>
      <c r="C19">
        <v>16501040</v>
      </c>
      <c r="D19">
        <v>15203485</v>
      </c>
      <c r="E19">
        <v>1</v>
      </c>
      <c r="F19">
        <v>1</v>
      </c>
      <c r="G19">
        <v>1</v>
      </c>
      <c r="H19">
        <v>3</v>
      </c>
      <c r="I19" t="s">
        <v>271</v>
      </c>
      <c r="J19" t="s">
        <v>272</v>
      </c>
      <c r="K19" t="s">
        <v>273</v>
      </c>
      <c r="L19">
        <v>1346</v>
      </c>
      <c r="N19">
        <v>1009</v>
      </c>
      <c r="O19" t="s">
        <v>274</v>
      </c>
      <c r="P19" t="s">
        <v>274</v>
      </c>
      <c r="Q19">
        <v>1</v>
      </c>
      <c r="X19">
        <v>30</v>
      </c>
      <c r="Y19">
        <v>15.25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4</v>
      </c>
      <c r="AG19">
        <v>30</v>
      </c>
      <c r="AH19">
        <v>2</v>
      </c>
      <c r="AI19">
        <v>16501047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ROW(Source!A29)</f>
        <v>29</v>
      </c>
      <c r="B20">
        <v>16501041</v>
      </c>
      <c r="C20">
        <v>16501040</v>
      </c>
      <c r="D20">
        <v>15430767</v>
      </c>
      <c r="E20">
        <v>1</v>
      </c>
      <c r="F20">
        <v>1</v>
      </c>
      <c r="G20">
        <v>1</v>
      </c>
      <c r="H20">
        <v>1</v>
      </c>
      <c r="I20" t="s">
        <v>256</v>
      </c>
      <c r="J20" t="s">
        <v>4</v>
      </c>
      <c r="K20" t="s">
        <v>257</v>
      </c>
      <c r="L20">
        <v>1191</v>
      </c>
      <c r="N20">
        <v>1013</v>
      </c>
      <c r="O20" t="s">
        <v>249</v>
      </c>
      <c r="P20" t="s">
        <v>249</v>
      </c>
      <c r="Q20">
        <v>1</v>
      </c>
      <c r="X20">
        <v>37.67</v>
      </c>
      <c r="Y20">
        <v>0</v>
      </c>
      <c r="Z20">
        <v>0</v>
      </c>
      <c r="AA20">
        <v>0</v>
      </c>
      <c r="AB20">
        <v>8.5299999999999994</v>
      </c>
      <c r="AC20">
        <v>0</v>
      </c>
      <c r="AD20">
        <v>1</v>
      </c>
      <c r="AE20">
        <v>1</v>
      </c>
      <c r="AF20" t="s">
        <v>30</v>
      </c>
      <c r="AG20">
        <v>43.320499999999996</v>
      </c>
      <c r="AH20">
        <v>2</v>
      </c>
      <c r="AI20">
        <v>16501041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ROW(Source!A29)</f>
        <v>29</v>
      </c>
      <c r="B21">
        <v>16501042</v>
      </c>
      <c r="C21">
        <v>16501040</v>
      </c>
      <c r="D21">
        <v>15430395</v>
      </c>
      <c r="E21">
        <v>1</v>
      </c>
      <c r="F21">
        <v>1</v>
      </c>
      <c r="G21">
        <v>1</v>
      </c>
      <c r="H21">
        <v>1</v>
      </c>
      <c r="I21" t="s">
        <v>250</v>
      </c>
      <c r="J21" t="s">
        <v>4</v>
      </c>
      <c r="K21" t="s">
        <v>251</v>
      </c>
      <c r="L21">
        <v>1191</v>
      </c>
      <c r="N21">
        <v>1013</v>
      </c>
      <c r="O21" t="s">
        <v>249</v>
      </c>
      <c r="P21" t="s">
        <v>249</v>
      </c>
      <c r="Q21">
        <v>1</v>
      </c>
      <c r="X21">
        <v>0.17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29</v>
      </c>
      <c r="AG21">
        <v>0.21250000000000002</v>
      </c>
      <c r="AH21">
        <v>2</v>
      </c>
      <c r="AI21">
        <v>16501042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ROW(Source!A29)</f>
        <v>29</v>
      </c>
      <c r="B22">
        <v>16501043</v>
      </c>
      <c r="C22">
        <v>16501040</v>
      </c>
      <c r="D22">
        <v>15247970</v>
      </c>
      <c r="E22">
        <v>1</v>
      </c>
      <c r="F22">
        <v>1</v>
      </c>
      <c r="G22">
        <v>1</v>
      </c>
      <c r="H22">
        <v>2</v>
      </c>
      <c r="I22" t="s">
        <v>258</v>
      </c>
      <c r="J22" t="s">
        <v>259</v>
      </c>
      <c r="K22" t="s">
        <v>260</v>
      </c>
      <c r="L22">
        <v>1368</v>
      </c>
      <c r="N22">
        <v>1011</v>
      </c>
      <c r="O22" t="s">
        <v>255</v>
      </c>
      <c r="P22" t="s">
        <v>255</v>
      </c>
      <c r="Q22">
        <v>1</v>
      </c>
      <c r="X22">
        <v>0.13</v>
      </c>
      <c r="Y22">
        <v>0</v>
      </c>
      <c r="Z22">
        <v>27.66</v>
      </c>
      <c r="AA22">
        <v>11.6</v>
      </c>
      <c r="AB22">
        <v>0</v>
      </c>
      <c r="AC22">
        <v>0</v>
      </c>
      <c r="AD22">
        <v>1</v>
      </c>
      <c r="AE22">
        <v>0</v>
      </c>
      <c r="AF22" t="s">
        <v>29</v>
      </c>
      <c r="AG22">
        <v>0.16250000000000001</v>
      </c>
      <c r="AH22">
        <v>2</v>
      </c>
      <c r="AI22">
        <v>16501043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ROW(Source!A29)</f>
        <v>29</v>
      </c>
      <c r="B23">
        <v>16501044</v>
      </c>
      <c r="C23">
        <v>16501040</v>
      </c>
      <c r="D23">
        <v>15249073</v>
      </c>
      <c r="E23">
        <v>1</v>
      </c>
      <c r="F23">
        <v>1</v>
      </c>
      <c r="G23">
        <v>1</v>
      </c>
      <c r="H23">
        <v>2</v>
      </c>
      <c r="I23" t="s">
        <v>261</v>
      </c>
      <c r="J23" t="s">
        <v>262</v>
      </c>
      <c r="K23" t="s">
        <v>263</v>
      </c>
      <c r="L23">
        <v>1368</v>
      </c>
      <c r="N23">
        <v>1011</v>
      </c>
      <c r="O23" t="s">
        <v>255</v>
      </c>
      <c r="P23" t="s">
        <v>255</v>
      </c>
      <c r="Q23">
        <v>1</v>
      </c>
      <c r="X23">
        <v>0.04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29</v>
      </c>
      <c r="AG23">
        <v>0.05</v>
      </c>
      <c r="AH23">
        <v>2</v>
      </c>
      <c r="AI23">
        <v>16501044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ROW(Source!A29)</f>
        <v>29</v>
      </c>
      <c r="B24">
        <v>16501045</v>
      </c>
      <c r="C24">
        <v>16501040</v>
      </c>
      <c r="D24">
        <v>15167286</v>
      </c>
      <c r="E24">
        <v>1</v>
      </c>
      <c r="F24">
        <v>1</v>
      </c>
      <c r="G24">
        <v>1</v>
      </c>
      <c r="H24">
        <v>3</v>
      </c>
      <c r="I24" t="s">
        <v>264</v>
      </c>
      <c r="J24" t="s">
        <v>265</v>
      </c>
      <c r="K24" t="s">
        <v>266</v>
      </c>
      <c r="L24">
        <v>1339</v>
      </c>
      <c r="N24">
        <v>1007</v>
      </c>
      <c r="O24" t="s">
        <v>267</v>
      </c>
      <c r="P24" t="s">
        <v>267</v>
      </c>
      <c r="Q24">
        <v>1</v>
      </c>
      <c r="X24">
        <v>0.17399999999999999</v>
      </c>
      <c r="Y24">
        <v>2.44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4</v>
      </c>
      <c r="AG24">
        <v>0.17399999999999999</v>
      </c>
      <c r="AH24">
        <v>2</v>
      </c>
      <c r="AI24">
        <v>16501045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ROW(Source!A29)</f>
        <v>29</v>
      </c>
      <c r="B25">
        <v>16501046</v>
      </c>
      <c r="C25">
        <v>16501040</v>
      </c>
      <c r="D25">
        <v>15172906</v>
      </c>
      <c r="E25">
        <v>1</v>
      </c>
      <c r="F25">
        <v>1</v>
      </c>
      <c r="G25">
        <v>1</v>
      </c>
      <c r="H25">
        <v>3</v>
      </c>
      <c r="I25" t="s">
        <v>268</v>
      </c>
      <c r="J25" t="s">
        <v>269</v>
      </c>
      <c r="K25" t="s">
        <v>270</v>
      </c>
      <c r="L25">
        <v>1348</v>
      </c>
      <c r="N25">
        <v>1009</v>
      </c>
      <c r="O25" t="s">
        <v>58</v>
      </c>
      <c r="P25" t="s">
        <v>58</v>
      </c>
      <c r="Q25">
        <v>1000</v>
      </c>
      <c r="X25">
        <v>0.9</v>
      </c>
      <c r="Y25">
        <v>11381.57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4</v>
      </c>
      <c r="AG25">
        <v>0.9</v>
      </c>
      <c r="AH25">
        <v>2</v>
      </c>
      <c r="AI25">
        <v>16501046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ROW(Source!A29)</f>
        <v>29</v>
      </c>
      <c r="B26">
        <v>16501047</v>
      </c>
      <c r="C26">
        <v>16501040</v>
      </c>
      <c r="D26">
        <v>15203485</v>
      </c>
      <c r="E26">
        <v>1</v>
      </c>
      <c r="F26">
        <v>1</v>
      </c>
      <c r="G26">
        <v>1</v>
      </c>
      <c r="H26">
        <v>3</v>
      </c>
      <c r="I26" t="s">
        <v>271</v>
      </c>
      <c r="J26" t="s">
        <v>272</v>
      </c>
      <c r="K26" t="s">
        <v>273</v>
      </c>
      <c r="L26">
        <v>1346</v>
      </c>
      <c r="N26">
        <v>1009</v>
      </c>
      <c r="O26" t="s">
        <v>274</v>
      </c>
      <c r="P26" t="s">
        <v>274</v>
      </c>
      <c r="Q26">
        <v>1</v>
      </c>
      <c r="X26">
        <v>30</v>
      </c>
      <c r="Y26">
        <v>15.25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4</v>
      </c>
      <c r="AG26">
        <v>30</v>
      </c>
      <c r="AH26">
        <v>2</v>
      </c>
      <c r="AI26">
        <v>16501047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16501131</v>
      </c>
      <c r="C27">
        <v>16501130</v>
      </c>
      <c r="D27">
        <v>15430767</v>
      </c>
      <c r="E27">
        <v>1</v>
      </c>
      <c r="F27">
        <v>1</v>
      </c>
      <c r="G27">
        <v>1</v>
      </c>
      <c r="H27">
        <v>1</v>
      </c>
      <c r="I27" t="s">
        <v>256</v>
      </c>
      <c r="J27" t="s">
        <v>4</v>
      </c>
      <c r="K27" t="s">
        <v>257</v>
      </c>
      <c r="L27">
        <v>1191</v>
      </c>
      <c r="N27">
        <v>1013</v>
      </c>
      <c r="O27" t="s">
        <v>249</v>
      </c>
      <c r="P27" t="s">
        <v>249</v>
      </c>
      <c r="Q27">
        <v>1</v>
      </c>
      <c r="X27">
        <v>2.42</v>
      </c>
      <c r="Y27">
        <v>0</v>
      </c>
      <c r="Z27">
        <v>0</v>
      </c>
      <c r="AA27">
        <v>0</v>
      </c>
      <c r="AB27">
        <v>8.5299999999999994</v>
      </c>
      <c r="AC27">
        <v>0</v>
      </c>
      <c r="AD27">
        <v>1</v>
      </c>
      <c r="AE27">
        <v>1</v>
      </c>
      <c r="AF27" t="s">
        <v>42</v>
      </c>
      <c r="AG27">
        <v>13.914999999999999</v>
      </c>
      <c r="AH27">
        <v>2</v>
      </c>
      <c r="AI27">
        <v>16501131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16501132</v>
      </c>
      <c r="C28">
        <v>16501130</v>
      </c>
      <c r="D28">
        <v>15430395</v>
      </c>
      <c r="E28">
        <v>1</v>
      </c>
      <c r="F28">
        <v>1</v>
      </c>
      <c r="G28">
        <v>1</v>
      </c>
      <c r="H28">
        <v>1</v>
      </c>
      <c r="I28" t="s">
        <v>250</v>
      </c>
      <c r="J28" t="s">
        <v>4</v>
      </c>
      <c r="K28" t="s">
        <v>251</v>
      </c>
      <c r="L28">
        <v>1191</v>
      </c>
      <c r="N28">
        <v>1013</v>
      </c>
      <c r="O28" t="s">
        <v>249</v>
      </c>
      <c r="P28" t="s">
        <v>249</v>
      </c>
      <c r="Q28">
        <v>1</v>
      </c>
      <c r="X28">
        <v>0.03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41</v>
      </c>
      <c r="AG28">
        <v>0.1875</v>
      </c>
      <c r="AH28">
        <v>2</v>
      </c>
      <c r="AI28">
        <v>16501132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16501133</v>
      </c>
      <c r="C29">
        <v>16501130</v>
      </c>
      <c r="D29">
        <v>15247970</v>
      </c>
      <c r="E29">
        <v>1</v>
      </c>
      <c r="F29">
        <v>1</v>
      </c>
      <c r="G29">
        <v>1</v>
      </c>
      <c r="H29">
        <v>2</v>
      </c>
      <c r="I29" t="s">
        <v>258</v>
      </c>
      <c r="J29" t="s">
        <v>259</v>
      </c>
      <c r="K29" t="s">
        <v>260</v>
      </c>
      <c r="L29">
        <v>1368</v>
      </c>
      <c r="N29">
        <v>1011</v>
      </c>
      <c r="O29" t="s">
        <v>255</v>
      </c>
      <c r="P29" t="s">
        <v>255</v>
      </c>
      <c r="Q29">
        <v>1</v>
      </c>
      <c r="X29">
        <v>0.02</v>
      </c>
      <c r="Y29">
        <v>0</v>
      </c>
      <c r="Z29">
        <v>27.66</v>
      </c>
      <c r="AA29">
        <v>11.6</v>
      </c>
      <c r="AB29">
        <v>0</v>
      </c>
      <c r="AC29">
        <v>0</v>
      </c>
      <c r="AD29">
        <v>1</v>
      </c>
      <c r="AE29">
        <v>0</v>
      </c>
      <c r="AF29" t="s">
        <v>41</v>
      </c>
      <c r="AG29">
        <v>0.125</v>
      </c>
      <c r="AH29">
        <v>2</v>
      </c>
      <c r="AI29">
        <v>16501133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16501134</v>
      </c>
      <c r="C30">
        <v>16501130</v>
      </c>
      <c r="D30">
        <v>15249073</v>
      </c>
      <c r="E30">
        <v>1</v>
      </c>
      <c r="F30">
        <v>1</v>
      </c>
      <c r="G30">
        <v>1</v>
      </c>
      <c r="H30">
        <v>2</v>
      </c>
      <c r="I30" t="s">
        <v>261</v>
      </c>
      <c r="J30" t="s">
        <v>262</v>
      </c>
      <c r="K30" t="s">
        <v>263</v>
      </c>
      <c r="L30">
        <v>1368</v>
      </c>
      <c r="N30">
        <v>1011</v>
      </c>
      <c r="O30" t="s">
        <v>255</v>
      </c>
      <c r="P30" t="s">
        <v>255</v>
      </c>
      <c r="Q30">
        <v>1</v>
      </c>
      <c r="X30">
        <v>0.01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41</v>
      </c>
      <c r="AG30">
        <v>6.25E-2</v>
      </c>
      <c r="AH30">
        <v>2</v>
      </c>
      <c r="AI30">
        <v>16501134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16501135</v>
      </c>
      <c r="C31">
        <v>16501130</v>
      </c>
      <c r="D31">
        <v>15167286</v>
      </c>
      <c r="E31">
        <v>1</v>
      </c>
      <c r="F31">
        <v>1</v>
      </c>
      <c r="G31">
        <v>1</v>
      </c>
      <c r="H31">
        <v>3</v>
      </c>
      <c r="I31" t="s">
        <v>264</v>
      </c>
      <c r="J31" t="s">
        <v>265</v>
      </c>
      <c r="K31" t="s">
        <v>266</v>
      </c>
      <c r="L31">
        <v>1339</v>
      </c>
      <c r="N31">
        <v>1007</v>
      </c>
      <c r="O31" t="s">
        <v>267</v>
      </c>
      <c r="P31" t="s">
        <v>267</v>
      </c>
      <c r="Q31">
        <v>1</v>
      </c>
      <c r="X31">
        <v>0.03</v>
      </c>
      <c r="Y31">
        <v>2.44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40</v>
      </c>
      <c r="AG31">
        <v>0.15</v>
      </c>
      <c r="AH31">
        <v>2</v>
      </c>
      <c r="AI31">
        <v>16501135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16501136</v>
      </c>
      <c r="C32">
        <v>16501130</v>
      </c>
      <c r="D32">
        <v>15172906</v>
      </c>
      <c r="E32">
        <v>1</v>
      </c>
      <c r="F32">
        <v>1</v>
      </c>
      <c r="G32">
        <v>1</v>
      </c>
      <c r="H32">
        <v>3</v>
      </c>
      <c r="I32" t="s">
        <v>268</v>
      </c>
      <c r="J32" t="s">
        <v>269</v>
      </c>
      <c r="K32" t="s">
        <v>270</v>
      </c>
      <c r="L32">
        <v>1348</v>
      </c>
      <c r="N32">
        <v>1009</v>
      </c>
      <c r="O32" t="s">
        <v>58</v>
      </c>
      <c r="P32" t="s">
        <v>58</v>
      </c>
      <c r="Q32">
        <v>1000</v>
      </c>
      <c r="X32">
        <v>0.18</v>
      </c>
      <c r="Y32">
        <v>11381.57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40</v>
      </c>
      <c r="AG32">
        <v>0.89999999999999991</v>
      </c>
      <c r="AH32">
        <v>2</v>
      </c>
      <c r="AI32">
        <v>16501136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ROW(Source!A31)</f>
        <v>31</v>
      </c>
      <c r="B33">
        <v>16501131</v>
      </c>
      <c r="C33">
        <v>16501130</v>
      </c>
      <c r="D33">
        <v>15430767</v>
      </c>
      <c r="E33">
        <v>1</v>
      </c>
      <c r="F33">
        <v>1</v>
      </c>
      <c r="G33">
        <v>1</v>
      </c>
      <c r="H33">
        <v>1</v>
      </c>
      <c r="I33" t="s">
        <v>256</v>
      </c>
      <c r="J33" t="s">
        <v>4</v>
      </c>
      <c r="K33" t="s">
        <v>257</v>
      </c>
      <c r="L33">
        <v>1191</v>
      </c>
      <c r="N33">
        <v>1013</v>
      </c>
      <c r="O33" t="s">
        <v>249</v>
      </c>
      <c r="P33" t="s">
        <v>249</v>
      </c>
      <c r="Q33">
        <v>1</v>
      </c>
      <c r="X33">
        <v>2.42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42</v>
      </c>
      <c r="AG33">
        <v>13.914999999999999</v>
      </c>
      <c r="AH33">
        <v>2</v>
      </c>
      <c r="AI33">
        <v>16501131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ROW(Source!A31)</f>
        <v>31</v>
      </c>
      <c r="B34">
        <v>16501132</v>
      </c>
      <c r="C34">
        <v>16501130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250</v>
      </c>
      <c r="J34" t="s">
        <v>4</v>
      </c>
      <c r="K34" t="s">
        <v>251</v>
      </c>
      <c r="L34">
        <v>1191</v>
      </c>
      <c r="N34">
        <v>1013</v>
      </c>
      <c r="O34" t="s">
        <v>249</v>
      </c>
      <c r="P34" t="s">
        <v>249</v>
      </c>
      <c r="Q34">
        <v>1</v>
      </c>
      <c r="X34">
        <v>0.03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41</v>
      </c>
      <c r="AG34">
        <v>0.1875</v>
      </c>
      <c r="AH34">
        <v>2</v>
      </c>
      <c r="AI34">
        <v>16501132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ROW(Source!A31)</f>
        <v>31</v>
      </c>
      <c r="B35">
        <v>16501133</v>
      </c>
      <c r="C35">
        <v>16501130</v>
      </c>
      <c r="D35">
        <v>15247970</v>
      </c>
      <c r="E35">
        <v>1</v>
      </c>
      <c r="F35">
        <v>1</v>
      </c>
      <c r="G35">
        <v>1</v>
      </c>
      <c r="H35">
        <v>2</v>
      </c>
      <c r="I35" t="s">
        <v>258</v>
      </c>
      <c r="J35" t="s">
        <v>259</v>
      </c>
      <c r="K35" t="s">
        <v>260</v>
      </c>
      <c r="L35">
        <v>1368</v>
      </c>
      <c r="N35">
        <v>1011</v>
      </c>
      <c r="O35" t="s">
        <v>255</v>
      </c>
      <c r="P35" t="s">
        <v>255</v>
      </c>
      <c r="Q35">
        <v>1</v>
      </c>
      <c r="X35">
        <v>0.02</v>
      </c>
      <c r="Y35">
        <v>0</v>
      </c>
      <c r="Z35">
        <v>27.66</v>
      </c>
      <c r="AA35">
        <v>11.6</v>
      </c>
      <c r="AB35">
        <v>0</v>
      </c>
      <c r="AC35">
        <v>0</v>
      </c>
      <c r="AD35">
        <v>1</v>
      </c>
      <c r="AE35">
        <v>0</v>
      </c>
      <c r="AF35" t="s">
        <v>41</v>
      </c>
      <c r="AG35">
        <v>0.125</v>
      </c>
      <c r="AH35">
        <v>2</v>
      </c>
      <c r="AI35">
        <v>16501133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16501134</v>
      </c>
      <c r="C36">
        <v>16501130</v>
      </c>
      <c r="D36">
        <v>15249073</v>
      </c>
      <c r="E36">
        <v>1</v>
      </c>
      <c r="F36">
        <v>1</v>
      </c>
      <c r="G36">
        <v>1</v>
      </c>
      <c r="H36">
        <v>2</v>
      </c>
      <c r="I36" t="s">
        <v>261</v>
      </c>
      <c r="J36" t="s">
        <v>262</v>
      </c>
      <c r="K36" t="s">
        <v>263</v>
      </c>
      <c r="L36">
        <v>1368</v>
      </c>
      <c r="N36">
        <v>1011</v>
      </c>
      <c r="O36" t="s">
        <v>255</v>
      </c>
      <c r="P36" t="s">
        <v>255</v>
      </c>
      <c r="Q36">
        <v>1</v>
      </c>
      <c r="X36">
        <v>0.01</v>
      </c>
      <c r="Y36">
        <v>0</v>
      </c>
      <c r="Z36">
        <v>65.709999999999994</v>
      </c>
      <c r="AA36">
        <v>11.6</v>
      </c>
      <c r="AB36">
        <v>0</v>
      </c>
      <c r="AC36">
        <v>0</v>
      </c>
      <c r="AD36">
        <v>1</v>
      </c>
      <c r="AE36">
        <v>0</v>
      </c>
      <c r="AF36" t="s">
        <v>41</v>
      </c>
      <c r="AG36">
        <v>6.25E-2</v>
      </c>
      <c r="AH36">
        <v>2</v>
      </c>
      <c r="AI36">
        <v>16501134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16501135</v>
      </c>
      <c r="C37">
        <v>16501130</v>
      </c>
      <c r="D37">
        <v>15167286</v>
      </c>
      <c r="E37">
        <v>1</v>
      </c>
      <c r="F37">
        <v>1</v>
      </c>
      <c r="G37">
        <v>1</v>
      </c>
      <c r="H37">
        <v>3</v>
      </c>
      <c r="I37" t="s">
        <v>264</v>
      </c>
      <c r="J37" t="s">
        <v>265</v>
      </c>
      <c r="K37" t="s">
        <v>266</v>
      </c>
      <c r="L37">
        <v>1339</v>
      </c>
      <c r="N37">
        <v>1007</v>
      </c>
      <c r="O37" t="s">
        <v>267</v>
      </c>
      <c r="P37" t="s">
        <v>267</v>
      </c>
      <c r="Q37">
        <v>1</v>
      </c>
      <c r="X37">
        <v>0.03</v>
      </c>
      <c r="Y37">
        <v>2.44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40</v>
      </c>
      <c r="AG37">
        <v>0.15</v>
      </c>
      <c r="AH37">
        <v>2</v>
      </c>
      <c r="AI37">
        <v>16501135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16501136</v>
      </c>
      <c r="C38">
        <v>16501130</v>
      </c>
      <c r="D38">
        <v>15172906</v>
      </c>
      <c r="E38">
        <v>1</v>
      </c>
      <c r="F38">
        <v>1</v>
      </c>
      <c r="G38">
        <v>1</v>
      </c>
      <c r="H38">
        <v>3</v>
      </c>
      <c r="I38" t="s">
        <v>268</v>
      </c>
      <c r="J38" t="s">
        <v>269</v>
      </c>
      <c r="K38" t="s">
        <v>270</v>
      </c>
      <c r="L38">
        <v>1348</v>
      </c>
      <c r="N38">
        <v>1009</v>
      </c>
      <c r="O38" t="s">
        <v>58</v>
      </c>
      <c r="P38" t="s">
        <v>58</v>
      </c>
      <c r="Q38">
        <v>1000</v>
      </c>
      <c r="X38">
        <v>0.18</v>
      </c>
      <c r="Y38">
        <v>11381.57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40</v>
      </c>
      <c r="AG38">
        <v>0.89999999999999991</v>
      </c>
      <c r="AH38">
        <v>2</v>
      </c>
      <c r="AI38">
        <v>16501136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ROW(Source!A32)</f>
        <v>32</v>
      </c>
      <c r="B39">
        <v>16501049</v>
      </c>
      <c r="C39">
        <v>16501048</v>
      </c>
      <c r="D39">
        <v>15432356</v>
      </c>
      <c r="E39">
        <v>1</v>
      </c>
      <c r="F39">
        <v>1</v>
      </c>
      <c r="G39">
        <v>1</v>
      </c>
      <c r="H39">
        <v>1</v>
      </c>
      <c r="I39" t="s">
        <v>275</v>
      </c>
      <c r="J39" t="s">
        <v>4</v>
      </c>
      <c r="K39" t="s">
        <v>276</v>
      </c>
      <c r="L39">
        <v>1191</v>
      </c>
      <c r="N39">
        <v>1013</v>
      </c>
      <c r="O39" t="s">
        <v>249</v>
      </c>
      <c r="P39" t="s">
        <v>249</v>
      </c>
      <c r="Q39">
        <v>1</v>
      </c>
      <c r="X39">
        <v>42.4</v>
      </c>
      <c r="Y39">
        <v>0</v>
      </c>
      <c r="Z39">
        <v>0</v>
      </c>
      <c r="AA39">
        <v>0</v>
      </c>
      <c r="AB39">
        <v>8.31</v>
      </c>
      <c r="AC39">
        <v>0</v>
      </c>
      <c r="AD39">
        <v>1</v>
      </c>
      <c r="AE39">
        <v>1</v>
      </c>
      <c r="AF39" t="s">
        <v>30</v>
      </c>
      <c r="AG39">
        <v>48.76</v>
      </c>
      <c r="AH39">
        <v>2</v>
      </c>
      <c r="AI39">
        <v>16501049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ROW(Source!A32)</f>
        <v>32</v>
      </c>
      <c r="B40">
        <v>16501050</v>
      </c>
      <c r="C40">
        <v>16501048</v>
      </c>
      <c r="D40">
        <v>15430395</v>
      </c>
      <c r="E40">
        <v>1</v>
      </c>
      <c r="F40">
        <v>1</v>
      </c>
      <c r="G40">
        <v>1</v>
      </c>
      <c r="H40">
        <v>1</v>
      </c>
      <c r="I40" t="s">
        <v>250</v>
      </c>
      <c r="J40" t="s">
        <v>4</v>
      </c>
      <c r="K40" t="s">
        <v>251</v>
      </c>
      <c r="L40">
        <v>1191</v>
      </c>
      <c r="N40">
        <v>1013</v>
      </c>
      <c r="O40" t="s">
        <v>249</v>
      </c>
      <c r="P40" t="s">
        <v>249</v>
      </c>
      <c r="Q40">
        <v>1</v>
      </c>
      <c r="X40">
        <v>0.85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2</v>
      </c>
      <c r="AF40" t="s">
        <v>29</v>
      </c>
      <c r="AG40">
        <v>1.0625</v>
      </c>
      <c r="AH40">
        <v>2</v>
      </c>
      <c r="AI40">
        <v>16501050</v>
      </c>
      <c r="AJ40">
        <v>36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ROW(Source!A32)</f>
        <v>32</v>
      </c>
      <c r="B41">
        <v>16501051</v>
      </c>
      <c r="C41">
        <v>16501048</v>
      </c>
      <c r="D41">
        <v>15247974</v>
      </c>
      <c r="E41">
        <v>1</v>
      </c>
      <c r="F41">
        <v>1</v>
      </c>
      <c r="G41">
        <v>1</v>
      </c>
      <c r="H41">
        <v>2</v>
      </c>
      <c r="I41" t="s">
        <v>252</v>
      </c>
      <c r="J41" t="s">
        <v>253</v>
      </c>
      <c r="K41" t="s">
        <v>254</v>
      </c>
      <c r="L41">
        <v>1368</v>
      </c>
      <c r="N41">
        <v>1011</v>
      </c>
      <c r="O41" t="s">
        <v>255</v>
      </c>
      <c r="P41" t="s">
        <v>255</v>
      </c>
      <c r="Q41">
        <v>1</v>
      </c>
      <c r="X41">
        <v>0.35</v>
      </c>
      <c r="Y41">
        <v>0</v>
      </c>
      <c r="Z41">
        <v>31.26</v>
      </c>
      <c r="AA41">
        <v>13.5</v>
      </c>
      <c r="AB41">
        <v>0</v>
      </c>
      <c r="AC41">
        <v>0</v>
      </c>
      <c r="AD41">
        <v>1</v>
      </c>
      <c r="AE41">
        <v>0</v>
      </c>
      <c r="AF41" t="s">
        <v>29</v>
      </c>
      <c r="AG41">
        <v>0.4375</v>
      </c>
      <c r="AH41">
        <v>2</v>
      </c>
      <c r="AI41">
        <v>16501051</v>
      </c>
      <c r="AJ41">
        <v>37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ROW(Source!A32)</f>
        <v>32</v>
      </c>
      <c r="B42">
        <v>16501052</v>
      </c>
      <c r="C42">
        <v>16501048</v>
      </c>
      <c r="D42">
        <v>15249073</v>
      </c>
      <c r="E42">
        <v>1</v>
      </c>
      <c r="F42">
        <v>1</v>
      </c>
      <c r="G42">
        <v>1</v>
      </c>
      <c r="H42">
        <v>2</v>
      </c>
      <c r="I42" t="s">
        <v>261</v>
      </c>
      <c r="J42" t="s">
        <v>262</v>
      </c>
      <c r="K42" t="s">
        <v>263</v>
      </c>
      <c r="L42">
        <v>1368</v>
      </c>
      <c r="N42">
        <v>1011</v>
      </c>
      <c r="O42" t="s">
        <v>255</v>
      </c>
      <c r="P42" t="s">
        <v>255</v>
      </c>
      <c r="Q42">
        <v>1</v>
      </c>
      <c r="X42">
        <v>0.5</v>
      </c>
      <c r="Y42">
        <v>0</v>
      </c>
      <c r="Z42">
        <v>65.709999999999994</v>
      </c>
      <c r="AA42">
        <v>11.6</v>
      </c>
      <c r="AB42">
        <v>0</v>
      </c>
      <c r="AC42">
        <v>0</v>
      </c>
      <c r="AD42">
        <v>1</v>
      </c>
      <c r="AE42">
        <v>0</v>
      </c>
      <c r="AF42" t="s">
        <v>29</v>
      </c>
      <c r="AG42">
        <v>0.625</v>
      </c>
      <c r="AH42">
        <v>2</v>
      </c>
      <c r="AI42">
        <v>16501052</v>
      </c>
      <c r="AJ42">
        <v>38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ROW(Source!A32)</f>
        <v>32</v>
      </c>
      <c r="B43">
        <v>16501053</v>
      </c>
      <c r="C43">
        <v>16501048</v>
      </c>
      <c r="D43">
        <v>15162736</v>
      </c>
      <c r="E43">
        <v>17</v>
      </c>
      <c r="F43">
        <v>1</v>
      </c>
      <c r="G43">
        <v>1</v>
      </c>
      <c r="H43">
        <v>3</v>
      </c>
      <c r="I43" t="s">
        <v>48</v>
      </c>
      <c r="J43" t="s">
        <v>4</v>
      </c>
      <c r="K43" t="s">
        <v>49</v>
      </c>
      <c r="L43">
        <v>1327</v>
      </c>
      <c r="N43">
        <v>1005</v>
      </c>
      <c r="O43" t="s">
        <v>50</v>
      </c>
      <c r="P43" t="s">
        <v>50</v>
      </c>
      <c r="Q43">
        <v>1</v>
      </c>
      <c r="X43">
        <v>102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4</v>
      </c>
      <c r="AG43">
        <v>102</v>
      </c>
      <c r="AH43">
        <v>2</v>
      </c>
      <c r="AI43">
        <v>16501053</v>
      </c>
      <c r="AJ43">
        <v>39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ROW(Source!A32)</f>
        <v>32</v>
      </c>
      <c r="B44">
        <v>16501054</v>
      </c>
      <c r="C44">
        <v>16501048</v>
      </c>
      <c r="D44">
        <v>15171018</v>
      </c>
      <c r="E44">
        <v>1</v>
      </c>
      <c r="F44">
        <v>1</v>
      </c>
      <c r="G44">
        <v>1</v>
      </c>
      <c r="H44">
        <v>3</v>
      </c>
      <c r="I44" t="s">
        <v>277</v>
      </c>
      <c r="J44" t="s">
        <v>278</v>
      </c>
      <c r="K44" t="s">
        <v>279</v>
      </c>
      <c r="L44">
        <v>1346</v>
      </c>
      <c r="N44">
        <v>1009</v>
      </c>
      <c r="O44" t="s">
        <v>274</v>
      </c>
      <c r="P44" t="s">
        <v>274</v>
      </c>
      <c r="Q44">
        <v>1</v>
      </c>
      <c r="X44">
        <v>0.5</v>
      </c>
      <c r="Y44">
        <v>1.82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4</v>
      </c>
      <c r="AG44">
        <v>0.5</v>
      </c>
      <c r="AH44">
        <v>2</v>
      </c>
      <c r="AI44">
        <v>16501054</v>
      </c>
      <c r="AJ44">
        <v>41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ROW(Source!A32)</f>
        <v>32</v>
      </c>
      <c r="B45">
        <v>16501055</v>
      </c>
      <c r="C45">
        <v>16501048</v>
      </c>
      <c r="D45">
        <v>15162257</v>
      </c>
      <c r="E45">
        <v>17</v>
      </c>
      <c r="F45">
        <v>1</v>
      </c>
      <c r="G45">
        <v>1</v>
      </c>
      <c r="H45">
        <v>3</v>
      </c>
      <c r="I45" t="s">
        <v>305</v>
      </c>
      <c r="J45" t="s">
        <v>4</v>
      </c>
      <c r="K45" t="s">
        <v>306</v>
      </c>
      <c r="L45">
        <v>1346</v>
      </c>
      <c r="N45">
        <v>1009</v>
      </c>
      <c r="O45" t="s">
        <v>274</v>
      </c>
      <c r="P45" t="s">
        <v>274</v>
      </c>
      <c r="Q45">
        <v>1</v>
      </c>
      <c r="X45">
        <v>50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4</v>
      </c>
      <c r="AG45">
        <v>50</v>
      </c>
      <c r="AH45">
        <v>3</v>
      </c>
      <c r="AI45">
        <v>-1</v>
      </c>
      <c r="AJ45" t="s">
        <v>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ROW(Source!A33)</f>
        <v>33</v>
      </c>
      <c r="B46">
        <v>16501049</v>
      </c>
      <c r="C46">
        <v>16501048</v>
      </c>
      <c r="D46">
        <v>15432356</v>
      </c>
      <c r="E46">
        <v>1</v>
      </c>
      <c r="F46">
        <v>1</v>
      </c>
      <c r="G46">
        <v>1</v>
      </c>
      <c r="H46">
        <v>1</v>
      </c>
      <c r="I46" t="s">
        <v>275</v>
      </c>
      <c r="J46" t="s">
        <v>4</v>
      </c>
      <c r="K46" t="s">
        <v>276</v>
      </c>
      <c r="L46">
        <v>1191</v>
      </c>
      <c r="N46">
        <v>1013</v>
      </c>
      <c r="O46" t="s">
        <v>249</v>
      </c>
      <c r="P46" t="s">
        <v>249</v>
      </c>
      <c r="Q46">
        <v>1</v>
      </c>
      <c r="X46">
        <v>42.4</v>
      </c>
      <c r="Y46">
        <v>0</v>
      </c>
      <c r="Z46">
        <v>0</v>
      </c>
      <c r="AA46">
        <v>0</v>
      </c>
      <c r="AB46">
        <v>8.31</v>
      </c>
      <c r="AC46">
        <v>0</v>
      </c>
      <c r="AD46">
        <v>1</v>
      </c>
      <c r="AE46">
        <v>1</v>
      </c>
      <c r="AF46" t="s">
        <v>30</v>
      </c>
      <c r="AG46">
        <v>48.76</v>
      </c>
      <c r="AH46">
        <v>2</v>
      </c>
      <c r="AI46">
        <v>16501049</v>
      </c>
      <c r="AJ46">
        <v>43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ROW(Source!A33)</f>
        <v>33</v>
      </c>
      <c r="B47">
        <v>16501050</v>
      </c>
      <c r="C47">
        <v>16501048</v>
      </c>
      <c r="D47">
        <v>15430395</v>
      </c>
      <c r="E47">
        <v>1</v>
      </c>
      <c r="F47">
        <v>1</v>
      </c>
      <c r="G47">
        <v>1</v>
      </c>
      <c r="H47">
        <v>1</v>
      </c>
      <c r="I47" t="s">
        <v>250</v>
      </c>
      <c r="J47" t="s">
        <v>4</v>
      </c>
      <c r="K47" t="s">
        <v>251</v>
      </c>
      <c r="L47">
        <v>1191</v>
      </c>
      <c r="N47">
        <v>1013</v>
      </c>
      <c r="O47" t="s">
        <v>249</v>
      </c>
      <c r="P47" t="s">
        <v>249</v>
      </c>
      <c r="Q47">
        <v>1</v>
      </c>
      <c r="X47">
        <v>0.85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29</v>
      </c>
      <c r="AG47">
        <v>1.0625</v>
      </c>
      <c r="AH47">
        <v>2</v>
      </c>
      <c r="AI47">
        <v>16501050</v>
      </c>
      <c r="AJ47">
        <v>44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ROW(Source!A33)</f>
        <v>33</v>
      </c>
      <c r="B48">
        <v>16501051</v>
      </c>
      <c r="C48">
        <v>16501048</v>
      </c>
      <c r="D48">
        <v>15247974</v>
      </c>
      <c r="E48">
        <v>1</v>
      </c>
      <c r="F48">
        <v>1</v>
      </c>
      <c r="G48">
        <v>1</v>
      </c>
      <c r="H48">
        <v>2</v>
      </c>
      <c r="I48" t="s">
        <v>252</v>
      </c>
      <c r="J48" t="s">
        <v>253</v>
      </c>
      <c r="K48" t="s">
        <v>254</v>
      </c>
      <c r="L48">
        <v>1368</v>
      </c>
      <c r="N48">
        <v>1011</v>
      </c>
      <c r="O48" t="s">
        <v>255</v>
      </c>
      <c r="P48" t="s">
        <v>255</v>
      </c>
      <c r="Q48">
        <v>1</v>
      </c>
      <c r="X48">
        <v>0.35</v>
      </c>
      <c r="Y48">
        <v>0</v>
      </c>
      <c r="Z48">
        <v>31.26</v>
      </c>
      <c r="AA48">
        <v>13.5</v>
      </c>
      <c r="AB48">
        <v>0</v>
      </c>
      <c r="AC48">
        <v>0</v>
      </c>
      <c r="AD48">
        <v>1</v>
      </c>
      <c r="AE48">
        <v>0</v>
      </c>
      <c r="AF48" t="s">
        <v>29</v>
      </c>
      <c r="AG48">
        <v>0.4375</v>
      </c>
      <c r="AH48">
        <v>2</v>
      </c>
      <c r="AI48">
        <v>16501051</v>
      </c>
      <c r="AJ48">
        <v>45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ROW(Source!A33)</f>
        <v>33</v>
      </c>
      <c r="B49">
        <v>16501052</v>
      </c>
      <c r="C49">
        <v>16501048</v>
      </c>
      <c r="D49">
        <v>15249073</v>
      </c>
      <c r="E49">
        <v>1</v>
      </c>
      <c r="F49">
        <v>1</v>
      </c>
      <c r="G49">
        <v>1</v>
      </c>
      <c r="H49">
        <v>2</v>
      </c>
      <c r="I49" t="s">
        <v>261</v>
      </c>
      <c r="J49" t="s">
        <v>262</v>
      </c>
      <c r="K49" t="s">
        <v>263</v>
      </c>
      <c r="L49">
        <v>1368</v>
      </c>
      <c r="N49">
        <v>1011</v>
      </c>
      <c r="O49" t="s">
        <v>255</v>
      </c>
      <c r="P49" t="s">
        <v>255</v>
      </c>
      <c r="Q49">
        <v>1</v>
      </c>
      <c r="X49">
        <v>0.5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29</v>
      </c>
      <c r="AG49">
        <v>0.625</v>
      </c>
      <c r="AH49">
        <v>2</v>
      </c>
      <c r="AI49">
        <v>16501052</v>
      </c>
      <c r="AJ49">
        <v>46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ROW(Source!A33)</f>
        <v>33</v>
      </c>
      <c r="B50">
        <v>16501053</v>
      </c>
      <c r="C50">
        <v>16501048</v>
      </c>
      <c r="D50">
        <v>15162736</v>
      </c>
      <c r="E50">
        <v>17</v>
      </c>
      <c r="F50">
        <v>1</v>
      </c>
      <c r="G50">
        <v>1</v>
      </c>
      <c r="H50">
        <v>3</v>
      </c>
      <c r="I50" t="s">
        <v>48</v>
      </c>
      <c r="J50" t="s">
        <v>4</v>
      </c>
      <c r="K50" t="s">
        <v>49</v>
      </c>
      <c r="L50">
        <v>1327</v>
      </c>
      <c r="N50">
        <v>1005</v>
      </c>
      <c r="O50" t="s">
        <v>50</v>
      </c>
      <c r="P50" t="s">
        <v>50</v>
      </c>
      <c r="Q50">
        <v>1</v>
      </c>
      <c r="X50">
        <v>102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4</v>
      </c>
      <c r="AG50">
        <v>102</v>
      </c>
      <c r="AH50">
        <v>2</v>
      </c>
      <c r="AI50">
        <v>16501053</v>
      </c>
      <c r="AJ50">
        <v>47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ROW(Source!A33)</f>
        <v>33</v>
      </c>
      <c r="B51">
        <v>16501054</v>
      </c>
      <c r="C51">
        <v>16501048</v>
      </c>
      <c r="D51">
        <v>15171018</v>
      </c>
      <c r="E51">
        <v>1</v>
      </c>
      <c r="F51">
        <v>1</v>
      </c>
      <c r="G51">
        <v>1</v>
      </c>
      <c r="H51">
        <v>3</v>
      </c>
      <c r="I51" t="s">
        <v>277</v>
      </c>
      <c r="J51" t="s">
        <v>278</v>
      </c>
      <c r="K51" t="s">
        <v>279</v>
      </c>
      <c r="L51">
        <v>1346</v>
      </c>
      <c r="N51">
        <v>1009</v>
      </c>
      <c r="O51" t="s">
        <v>274</v>
      </c>
      <c r="P51" t="s">
        <v>274</v>
      </c>
      <c r="Q51">
        <v>1</v>
      </c>
      <c r="X51">
        <v>0.5</v>
      </c>
      <c r="Y51">
        <v>1.82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4</v>
      </c>
      <c r="AG51">
        <v>0.5</v>
      </c>
      <c r="AH51">
        <v>2</v>
      </c>
      <c r="AI51">
        <v>16501054</v>
      </c>
      <c r="AJ51">
        <v>49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ROW(Source!A33)</f>
        <v>33</v>
      </c>
      <c r="B52">
        <v>16501055</v>
      </c>
      <c r="C52">
        <v>16501048</v>
      </c>
      <c r="D52">
        <v>15162257</v>
      </c>
      <c r="E52">
        <v>17</v>
      </c>
      <c r="F52">
        <v>1</v>
      </c>
      <c r="G52">
        <v>1</v>
      </c>
      <c r="H52">
        <v>3</v>
      </c>
      <c r="I52" t="s">
        <v>305</v>
      </c>
      <c r="J52" t="s">
        <v>4</v>
      </c>
      <c r="K52" t="s">
        <v>306</v>
      </c>
      <c r="L52">
        <v>1346</v>
      </c>
      <c r="N52">
        <v>1009</v>
      </c>
      <c r="O52" t="s">
        <v>274</v>
      </c>
      <c r="P52" t="s">
        <v>274</v>
      </c>
      <c r="Q52">
        <v>1</v>
      </c>
      <c r="X52">
        <v>50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4</v>
      </c>
      <c r="AG52">
        <v>50</v>
      </c>
      <c r="AH52">
        <v>3</v>
      </c>
      <c r="AI52">
        <v>-1</v>
      </c>
      <c r="AJ52" t="s">
        <v>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ROW(Source!A40)</f>
        <v>40</v>
      </c>
      <c r="B53">
        <v>16501059</v>
      </c>
      <c r="C53">
        <v>16501058</v>
      </c>
      <c r="D53">
        <v>15438286</v>
      </c>
      <c r="E53">
        <v>1</v>
      </c>
      <c r="F53">
        <v>1</v>
      </c>
      <c r="G53">
        <v>1</v>
      </c>
      <c r="H53">
        <v>1</v>
      </c>
      <c r="I53" t="s">
        <v>280</v>
      </c>
      <c r="J53" t="s">
        <v>4</v>
      </c>
      <c r="K53" t="s">
        <v>281</v>
      </c>
      <c r="L53">
        <v>1191</v>
      </c>
      <c r="N53">
        <v>1013</v>
      </c>
      <c r="O53" t="s">
        <v>249</v>
      </c>
      <c r="P53" t="s">
        <v>249</v>
      </c>
      <c r="Q53">
        <v>1</v>
      </c>
      <c r="X53">
        <v>6.68</v>
      </c>
      <c r="Y53">
        <v>0</v>
      </c>
      <c r="Z53">
        <v>0</v>
      </c>
      <c r="AA53">
        <v>0</v>
      </c>
      <c r="AB53">
        <v>9.18</v>
      </c>
      <c r="AC53">
        <v>0</v>
      </c>
      <c r="AD53">
        <v>1</v>
      </c>
      <c r="AE53">
        <v>1</v>
      </c>
      <c r="AF53" t="s">
        <v>30</v>
      </c>
      <c r="AG53">
        <v>7.6819999999999995</v>
      </c>
      <c r="AH53">
        <v>2</v>
      </c>
      <c r="AI53">
        <v>16501059</v>
      </c>
      <c r="AJ53">
        <v>51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ROW(Source!A40)</f>
        <v>40</v>
      </c>
      <c r="B54">
        <v>16501060</v>
      </c>
      <c r="C54">
        <v>16501058</v>
      </c>
      <c r="D54">
        <v>15430395</v>
      </c>
      <c r="E54">
        <v>1</v>
      </c>
      <c r="F54">
        <v>1</v>
      </c>
      <c r="G54">
        <v>1</v>
      </c>
      <c r="H54">
        <v>1</v>
      </c>
      <c r="I54" t="s">
        <v>250</v>
      </c>
      <c r="J54" t="s">
        <v>4</v>
      </c>
      <c r="K54" t="s">
        <v>251</v>
      </c>
      <c r="L54">
        <v>1191</v>
      </c>
      <c r="N54">
        <v>1013</v>
      </c>
      <c r="O54" t="s">
        <v>249</v>
      </c>
      <c r="P54" t="s">
        <v>249</v>
      </c>
      <c r="Q54">
        <v>1</v>
      </c>
      <c r="X54">
        <v>0.04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29</v>
      </c>
      <c r="AG54">
        <v>0.05</v>
      </c>
      <c r="AH54">
        <v>2</v>
      </c>
      <c r="AI54">
        <v>16501060</v>
      </c>
      <c r="AJ54">
        <v>52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ROW(Source!A40)</f>
        <v>40</v>
      </c>
      <c r="B55">
        <v>16501061</v>
      </c>
      <c r="C55">
        <v>16501058</v>
      </c>
      <c r="D55">
        <v>15247974</v>
      </c>
      <c r="E55">
        <v>1</v>
      </c>
      <c r="F55">
        <v>1</v>
      </c>
      <c r="G55">
        <v>1</v>
      </c>
      <c r="H55">
        <v>2</v>
      </c>
      <c r="I55" t="s">
        <v>252</v>
      </c>
      <c r="J55" t="s">
        <v>253</v>
      </c>
      <c r="K55" t="s">
        <v>254</v>
      </c>
      <c r="L55">
        <v>1368</v>
      </c>
      <c r="N55">
        <v>1011</v>
      </c>
      <c r="O55" t="s">
        <v>255</v>
      </c>
      <c r="P55" t="s">
        <v>255</v>
      </c>
      <c r="Q55">
        <v>1</v>
      </c>
      <c r="X55">
        <v>5.0000000000000001E-3</v>
      </c>
      <c r="Y55">
        <v>0</v>
      </c>
      <c r="Z55">
        <v>31.26</v>
      </c>
      <c r="AA55">
        <v>13.5</v>
      </c>
      <c r="AB55">
        <v>0</v>
      </c>
      <c r="AC55">
        <v>0</v>
      </c>
      <c r="AD55">
        <v>1</v>
      </c>
      <c r="AE55">
        <v>0</v>
      </c>
      <c r="AF55" t="s">
        <v>29</v>
      </c>
      <c r="AG55">
        <v>6.2500000000000003E-3</v>
      </c>
      <c r="AH55">
        <v>2</v>
      </c>
      <c r="AI55">
        <v>16501061</v>
      </c>
      <c r="AJ55">
        <v>53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ROW(Source!A40)</f>
        <v>40</v>
      </c>
      <c r="B56">
        <v>16501062</v>
      </c>
      <c r="C56">
        <v>16501058</v>
      </c>
      <c r="D56">
        <v>15249073</v>
      </c>
      <c r="E56">
        <v>1</v>
      </c>
      <c r="F56">
        <v>1</v>
      </c>
      <c r="G56">
        <v>1</v>
      </c>
      <c r="H56">
        <v>2</v>
      </c>
      <c r="I56" t="s">
        <v>261</v>
      </c>
      <c r="J56" t="s">
        <v>262</v>
      </c>
      <c r="K56" t="s">
        <v>263</v>
      </c>
      <c r="L56">
        <v>1368</v>
      </c>
      <c r="N56">
        <v>1011</v>
      </c>
      <c r="O56" t="s">
        <v>255</v>
      </c>
      <c r="P56" t="s">
        <v>255</v>
      </c>
      <c r="Q56">
        <v>1</v>
      </c>
      <c r="X56">
        <v>0.03</v>
      </c>
      <c r="Y56">
        <v>0</v>
      </c>
      <c r="Z56">
        <v>65.709999999999994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29</v>
      </c>
      <c r="AG56">
        <v>3.7499999999999999E-2</v>
      </c>
      <c r="AH56">
        <v>2</v>
      </c>
      <c r="AI56">
        <v>16501062</v>
      </c>
      <c r="AJ56">
        <v>54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ROW(Source!A40)</f>
        <v>40</v>
      </c>
      <c r="B57">
        <v>16501063</v>
      </c>
      <c r="C57">
        <v>16501058</v>
      </c>
      <c r="D57">
        <v>15169972</v>
      </c>
      <c r="E57">
        <v>1</v>
      </c>
      <c r="F57">
        <v>1</v>
      </c>
      <c r="G57">
        <v>1</v>
      </c>
      <c r="H57">
        <v>3</v>
      </c>
      <c r="I57" t="s">
        <v>282</v>
      </c>
      <c r="J57" t="s">
        <v>283</v>
      </c>
      <c r="K57" t="s">
        <v>284</v>
      </c>
      <c r="L57">
        <v>1355</v>
      </c>
      <c r="N57">
        <v>1010</v>
      </c>
      <c r="O57" t="s">
        <v>67</v>
      </c>
      <c r="P57" t="s">
        <v>67</v>
      </c>
      <c r="Q57">
        <v>100</v>
      </c>
      <c r="X57">
        <v>2.63</v>
      </c>
      <c r="Y57">
        <v>12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4</v>
      </c>
      <c r="AG57">
        <v>2.63</v>
      </c>
      <c r="AH57">
        <v>2</v>
      </c>
      <c r="AI57">
        <v>16501063</v>
      </c>
      <c r="AJ57">
        <v>55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ROW(Source!A40)</f>
        <v>40</v>
      </c>
      <c r="B58">
        <v>16501064</v>
      </c>
      <c r="C58">
        <v>16501058</v>
      </c>
      <c r="D58">
        <v>15170075</v>
      </c>
      <c r="E58">
        <v>1</v>
      </c>
      <c r="F58">
        <v>1</v>
      </c>
      <c r="G58">
        <v>1</v>
      </c>
      <c r="H58">
        <v>3</v>
      </c>
      <c r="I58" t="s">
        <v>285</v>
      </c>
      <c r="J58" t="s">
        <v>286</v>
      </c>
      <c r="K58" t="s">
        <v>287</v>
      </c>
      <c r="L58">
        <v>1356</v>
      </c>
      <c r="N58">
        <v>1010</v>
      </c>
      <c r="O58" t="s">
        <v>288</v>
      </c>
      <c r="P58" t="s">
        <v>288</v>
      </c>
      <c r="Q58">
        <v>1000</v>
      </c>
      <c r="X58">
        <v>0.26300000000000001</v>
      </c>
      <c r="Y58">
        <v>160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4</v>
      </c>
      <c r="AG58">
        <v>0.26300000000000001</v>
      </c>
      <c r="AH58">
        <v>2</v>
      </c>
      <c r="AI58">
        <v>16501064</v>
      </c>
      <c r="AJ58">
        <v>56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ROW(Source!A40)</f>
        <v>40</v>
      </c>
      <c r="B59">
        <v>16501065</v>
      </c>
      <c r="C59">
        <v>16501058</v>
      </c>
      <c r="D59">
        <v>15162756</v>
      </c>
      <c r="E59">
        <v>17</v>
      </c>
      <c r="F59">
        <v>1</v>
      </c>
      <c r="G59">
        <v>1</v>
      </c>
      <c r="H59">
        <v>3</v>
      </c>
      <c r="I59" t="s">
        <v>307</v>
      </c>
      <c r="J59" t="s">
        <v>4</v>
      </c>
      <c r="K59" t="s">
        <v>308</v>
      </c>
      <c r="L59">
        <v>1301</v>
      </c>
      <c r="N59">
        <v>1003</v>
      </c>
      <c r="O59" t="s">
        <v>72</v>
      </c>
      <c r="P59" t="s">
        <v>72</v>
      </c>
      <c r="Q59">
        <v>1</v>
      </c>
      <c r="X59">
        <v>101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4</v>
      </c>
      <c r="AG59">
        <v>101</v>
      </c>
      <c r="AH59">
        <v>3</v>
      </c>
      <c r="AI59">
        <v>-1</v>
      </c>
      <c r="AJ59" t="s">
        <v>4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ROW(Source!A40)</f>
        <v>40</v>
      </c>
      <c r="B60">
        <v>16501066</v>
      </c>
      <c r="C60">
        <v>16501058</v>
      </c>
      <c r="D60">
        <v>15162763</v>
      </c>
      <c r="E60">
        <v>17</v>
      </c>
      <c r="F60">
        <v>1</v>
      </c>
      <c r="G60">
        <v>1</v>
      </c>
      <c r="H60">
        <v>3</v>
      </c>
      <c r="I60" t="s">
        <v>309</v>
      </c>
      <c r="J60" t="s">
        <v>4</v>
      </c>
      <c r="K60" t="s">
        <v>310</v>
      </c>
      <c r="L60">
        <v>1354</v>
      </c>
      <c r="N60">
        <v>1010</v>
      </c>
      <c r="O60" t="s">
        <v>311</v>
      </c>
      <c r="P60" t="s">
        <v>311</v>
      </c>
      <c r="Q60">
        <v>1</v>
      </c>
      <c r="X60">
        <v>7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4</v>
      </c>
      <c r="AG60">
        <v>7</v>
      </c>
      <c r="AH60">
        <v>3</v>
      </c>
      <c r="AI60">
        <v>-1</v>
      </c>
      <c r="AJ60" t="s">
        <v>4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ROW(Source!A40)</f>
        <v>40</v>
      </c>
      <c r="B61">
        <v>16501067</v>
      </c>
      <c r="C61">
        <v>16501058</v>
      </c>
      <c r="D61">
        <v>15162762</v>
      </c>
      <c r="E61">
        <v>17</v>
      </c>
      <c r="F61">
        <v>1</v>
      </c>
      <c r="G61">
        <v>1</v>
      </c>
      <c r="H61">
        <v>3</v>
      </c>
      <c r="I61" t="s">
        <v>309</v>
      </c>
      <c r="J61" t="s">
        <v>4</v>
      </c>
      <c r="K61" t="s">
        <v>312</v>
      </c>
      <c r="L61">
        <v>1354</v>
      </c>
      <c r="N61">
        <v>1010</v>
      </c>
      <c r="O61" t="s">
        <v>311</v>
      </c>
      <c r="P61" t="s">
        <v>311</v>
      </c>
      <c r="Q61">
        <v>1</v>
      </c>
      <c r="X61">
        <v>7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 t="s">
        <v>4</v>
      </c>
      <c r="AG61">
        <v>7</v>
      </c>
      <c r="AH61">
        <v>3</v>
      </c>
      <c r="AI61">
        <v>-1</v>
      </c>
      <c r="AJ61" t="s">
        <v>4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ROW(Source!A40)</f>
        <v>40</v>
      </c>
      <c r="B62">
        <v>16501068</v>
      </c>
      <c r="C62">
        <v>16501058</v>
      </c>
      <c r="D62">
        <v>15162761</v>
      </c>
      <c r="E62">
        <v>17</v>
      </c>
      <c r="F62">
        <v>1</v>
      </c>
      <c r="G62">
        <v>1</v>
      </c>
      <c r="H62">
        <v>3</v>
      </c>
      <c r="I62" t="s">
        <v>309</v>
      </c>
      <c r="J62" t="s">
        <v>4</v>
      </c>
      <c r="K62" t="s">
        <v>313</v>
      </c>
      <c r="L62">
        <v>1354</v>
      </c>
      <c r="N62">
        <v>1010</v>
      </c>
      <c r="O62" t="s">
        <v>311</v>
      </c>
      <c r="P62" t="s">
        <v>311</v>
      </c>
      <c r="Q62">
        <v>1</v>
      </c>
      <c r="X62">
        <v>40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4</v>
      </c>
      <c r="AG62">
        <v>40</v>
      </c>
      <c r="AH62">
        <v>3</v>
      </c>
      <c r="AI62">
        <v>-1</v>
      </c>
      <c r="AJ62" t="s">
        <v>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ROW(Source!A40)</f>
        <v>40</v>
      </c>
      <c r="B63">
        <v>16501069</v>
      </c>
      <c r="C63">
        <v>16501058</v>
      </c>
      <c r="D63">
        <v>15162759</v>
      </c>
      <c r="E63">
        <v>17</v>
      </c>
      <c r="F63">
        <v>1</v>
      </c>
      <c r="G63">
        <v>1</v>
      </c>
      <c r="H63">
        <v>3</v>
      </c>
      <c r="I63" t="s">
        <v>309</v>
      </c>
      <c r="J63" t="s">
        <v>4</v>
      </c>
      <c r="K63" t="s">
        <v>314</v>
      </c>
      <c r="L63">
        <v>1354</v>
      </c>
      <c r="N63">
        <v>1010</v>
      </c>
      <c r="O63" t="s">
        <v>311</v>
      </c>
      <c r="P63" t="s">
        <v>311</v>
      </c>
      <c r="Q63">
        <v>1</v>
      </c>
      <c r="X63">
        <v>8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4</v>
      </c>
      <c r="AG63">
        <v>8</v>
      </c>
      <c r="AH63">
        <v>3</v>
      </c>
      <c r="AI63">
        <v>-1</v>
      </c>
      <c r="AJ63" t="s">
        <v>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ROW(Source!A40)</f>
        <v>40</v>
      </c>
      <c r="B64">
        <v>16501070</v>
      </c>
      <c r="C64">
        <v>16501058</v>
      </c>
      <c r="D64">
        <v>15162760</v>
      </c>
      <c r="E64">
        <v>17</v>
      </c>
      <c r="F64">
        <v>1</v>
      </c>
      <c r="G64">
        <v>1</v>
      </c>
      <c r="H64">
        <v>3</v>
      </c>
      <c r="I64" t="s">
        <v>309</v>
      </c>
      <c r="J64" t="s">
        <v>4</v>
      </c>
      <c r="K64" t="s">
        <v>315</v>
      </c>
      <c r="L64">
        <v>1354</v>
      </c>
      <c r="N64">
        <v>1010</v>
      </c>
      <c r="O64" t="s">
        <v>311</v>
      </c>
      <c r="P64" t="s">
        <v>311</v>
      </c>
      <c r="Q64">
        <v>1</v>
      </c>
      <c r="X64">
        <v>8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4</v>
      </c>
      <c r="AG64">
        <v>8</v>
      </c>
      <c r="AH64">
        <v>3</v>
      </c>
      <c r="AI64">
        <v>-1</v>
      </c>
      <c r="AJ64" t="s">
        <v>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ROW(Source!A41)</f>
        <v>41</v>
      </c>
      <c r="B65">
        <v>16501059</v>
      </c>
      <c r="C65">
        <v>16501058</v>
      </c>
      <c r="D65">
        <v>15438286</v>
      </c>
      <c r="E65">
        <v>1</v>
      </c>
      <c r="F65">
        <v>1</v>
      </c>
      <c r="G65">
        <v>1</v>
      </c>
      <c r="H65">
        <v>1</v>
      </c>
      <c r="I65" t="s">
        <v>280</v>
      </c>
      <c r="J65" t="s">
        <v>4</v>
      </c>
      <c r="K65" t="s">
        <v>281</v>
      </c>
      <c r="L65">
        <v>1191</v>
      </c>
      <c r="N65">
        <v>1013</v>
      </c>
      <c r="O65" t="s">
        <v>249</v>
      </c>
      <c r="P65" t="s">
        <v>249</v>
      </c>
      <c r="Q65">
        <v>1</v>
      </c>
      <c r="X65">
        <v>6.68</v>
      </c>
      <c r="Y65">
        <v>0</v>
      </c>
      <c r="Z65">
        <v>0</v>
      </c>
      <c r="AA65">
        <v>0</v>
      </c>
      <c r="AB65">
        <v>9.18</v>
      </c>
      <c r="AC65">
        <v>0</v>
      </c>
      <c r="AD65">
        <v>1</v>
      </c>
      <c r="AE65">
        <v>1</v>
      </c>
      <c r="AF65" t="s">
        <v>30</v>
      </c>
      <c r="AG65">
        <v>7.6819999999999995</v>
      </c>
      <c r="AH65">
        <v>2</v>
      </c>
      <c r="AI65">
        <v>16501059</v>
      </c>
      <c r="AJ65">
        <v>63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ROW(Source!A41)</f>
        <v>41</v>
      </c>
      <c r="B66">
        <v>16501060</v>
      </c>
      <c r="C66">
        <v>16501058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250</v>
      </c>
      <c r="J66" t="s">
        <v>4</v>
      </c>
      <c r="K66" t="s">
        <v>251</v>
      </c>
      <c r="L66">
        <v>1191</v>
      </c>
      <c r="N66">
        <v>1013</v>
      </c>
      <c r="O66" t="s">
        <v>249</v>
      </c>
      <c r="P66" t="s">
        <v>249</v>
      </c>
      <c r="Q66">
        <v>1</v>
      </c>
      <c r="X66">
        <v>0.04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29</v>
      </c>
      <c r="AG66">
        <v>0.05</v>
      </c>
      <c r="AH66">
        <v>2</v>
      </c>
      <c r="AI66">
        <v>16501060</v>
      </c>
      <c r="AJ66">
        <v>64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ROW(Source!A41)</f>
        <v>41</v>
      </c>
      <c r="B67">
        <v>16501061</v>
      </c>
      <c r="C67">
        <v>16501058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252</v>
      </c>
      <c r="J67" t="s">
        <v>253</v>
      </c>
      <c r="K67" t="s">
        <v>254</v>
      </c>
      <c r="L67">
        <v>1368</v>
      </c>
      <c r="N67">
        <v>1011</v>
      </c>
      <c r="O67" t="s">
        <v>255</v>
      </c>
      <c r="P67" t="s">
        <v>255</v>
      </c>
      <c r="Q67">
        <v>1</v>
      </c>
      <c r="X67">
        <v>5.0000000000000001E-3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29</v>
      </c>
      <c r="AG67">
        <v>6.2500000000000003E-3</v>
      </c>
      <c r="AH67">
        <v>2</v>
      </c>
      <c r="AI67">
        <v>16501061</v>
      </c>
      <c r="AJ67">
        <v>65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ROW(Source!A41)</f>
        <v>41</v>
      </c>
      <c r="B68">
        <v>16501062</v>
      </c>
      <c r="C68">
        <v>16501058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261</v>
      </c>
      <c r="J68" t="s">
        <v>262</v>
      </c>
      <c r="K68" t="s">
        <v>263</v>
      </c>
      <c r="L68">
        <v>1368</v>
      </c>
      <c r="N68">
        <v>1011</v>
      </c>
      <c r="O68" t="s">
        <v>255</v>
      </c>
      <c r="P68" t="s">
        <v>255</v>
      </c>
      <c r="Q68">
        <v>1</v>
      </c>
      <c r="X68">
        <v>0.03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29</v>
      </c>
      <c r="AG68">
        <v>3.7499999999999999E-2</v>
      </c>
      <c r="AH68">
        <v>2</v>
      </c>
      <c r="AI68">
        <v>16501062</v>
      </c>
      <c r="AJ68">
        <v>66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ROW(Source!A41)</f>
        <v>41</v>
      </c>
      <c r="B69">
        <v>16501063</v>
      </c>
      <c r="C69">
        <v>16501058</v>
      </c>
      <c r="D69">
        <v>15169972</v>
      </c>
      <c r="E69">
        <v>1</v>
      </c>
      <c r="F69">
        <v>1</v>
      </c>
      <c r="G69">
        <v>1</v>
      </c>
      <c r="H69">
        <v>3</v>
      </c>
      <c r="I69" t="s">
        <v>282</v>
      </c>
      <c r="J69" t="s">
        <v>283</v>
      </c>
      <c r="K69" t="s">
        <v>284</v>
      </c>
      <c r="L69">
        <v>1355</v>
      </c>
      <c r="N69">
        <v>1010</v>
      </c>
      <c r="O69" t="s">
        <v>67</v>
      </c>
      <c r="P69" t="s">
        <v>67</v>
      </c>
      <c r="Q69">
        <v>100</v>
      </c>
      <c r="X69">
        <v>2.63</v>
      </c>
      <c r="Y69">
        <v>12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4</v>
      </c>
      <c r="AG69">
        <v>2.63</v>
      </c>
      <c r="AH69">
        <v>2</v>
      </c>
      <c r="AI69">
        <v>16501063</v>
      </c>
      <c r="AJ69">
        <v>67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ROW(Source!A41)</f>
        <v>41</v>
      </c>
      <c r="B70">
        <v>16501064</v>
      </c>
      <c r="C70">
        <v>16501058</v>
      </c>
      <c r="D70">
        <v>15170075</v>
      </c>
      <c r="E70">
        <v>1</v>
      </c>
      <c r="F70">
        <v>1</v>
      </c>
      <c r="G70">
        <v>1</v>
      </c>
      <c r="H70">
        <v>3</v>
      </c>
      <c r="I70" t="s">
        <v>285</v>
      </c>
      <c r="J70" t="s">
        <v>286</v>
      </c>
      <c r="K70" t="s">
        <v>287</v>
      </c>
      <c r="L70">
        <v>1356</v>
      </c>
      <c r="N70">
        <v>1010</v>
      </c>
      <c r="O70" t="s">
        <v>288</v>
      </c>
      <c r="P70" t="s">
        <v>288</v>
      </c>
      <c r="Q70">
        <v>1000</v>
      </c>
      <c r="X70">
        <v>0.26300000000000001</v>
      </c>
      <c r="Y70">
        <v>160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4</v>
      </c>
      <c r="AG70">
        <v>0.26300000000000001</v>
      </c>
      <c r="AH70">
        <v>2</v>
      </c>
      <c r="AI70">
        <v>16501064</v>
      </c>
      <c r="AJ70">
        <v>68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ROW(Source!A41)</f>
        <v>41</v>
      </c>
      <c r="B71">
        <v>16501065</v>
      </c>
      <c r="C71">
        <v>16501058</v>
      </c>
      <c r="D71">
        <v>15162756</v>
      </c>
      <c r="E71">
        <v>17</v>
      </c>
      <c r="F71">
        <v>1</v>
      </c>
      <c r="G71">
        <v>1</v>
      </c>
      <c r="H71">
        <v>3</v>
      </c>
      <c r="I71" t="s">
        <v>307</v>
      </c>
      <c r="J71" t="s">
        <v>4</v>
      </c>
      <c r="K71" t="s">
        <v>308</v>
      </c>
      <c r="L71">
        <v>1301</v>
      </c>
      <c r="N71">
        <v>1003</v>
      </c>
      <c r="O71" t="s">
        <v>72</v>
      </c>
      <c r="P71" t="s">
        <v>72</v>
      </c>
      <c r="Q71">
        <v>1</v>
      </c>
      <c r="X71">
        <v>101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 t="s">
        <v>4</v>
      </c>
      <c r="AG71">
        <v>101</v>
      </c>
      <c r="AH71">
        <v>3</v>
      </c>
      <c r="AI71">
        <v>-1</v>
      </c>
      <c r="AJ71" t="s">
        <v>4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ROW(Source!A41)</f>
        <v>41</v>
      </c>
      <c r="B72">
        <v>16501066</v>
      </c>
      <c r="C72">
        <v>16501058</v>
      </c>
      <c r="D72">
        <v>15162763</v>
      </c>
      <c r="E72">
        <v>17</v>
      </c>
      <c r="F72">
        <v>1</v>
      </c>
      <c r="G72">
        <v>1</v>
      </c>
      <c r="H72">
        <v>3</v>
      </c>
      <c r="I72" t="s">
        <v>309</v>
      </c>
      <c r="J72" t="s">
        <v>4</v>
      </c>
      <c r="K72" t="s">
        <v>310</v>
      </c>
      <c r="L72">
        <v>1354</v>
      </c>
      <c r="N72">
        <v>1010</v>
      </c>
      <c r="O72" t="s">
        <v>311</v>
      </c>
      <c r="P72" t="s">
        <v>311</v>
      </c>
      <c r="Q72">
        <v>1</v>
      </c>
      <c r="X72">
        <v>7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4</v>
      </c>
      <c r="AG72">
        <v>7</v>
      </c>
      <c r="AH72">
        <v>3</v>
      </c>
      <c r="AI72">
        <v>-1</v>
      </c>
      <c r="AJ72" t="s">
        <v>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ROW(Source!A41)</f>
        <v>41</v>
      </c>
      <c r="B73">
        <v>16501067</v>
      </c>
      <c r="C73">
        <v>16501058</v>
      </c>
      <c r="D73">
        <v>15162762</v>
      </c>
      <c r="E73">
        <v>17</v>
      </c>
      <c r="F73">
        <v>1</v>
      </c>
      <c r="G73">
        <v>1</v>
      </c>
      <c r="H73">
        <v>3</v>
      </c>
      <c r="I73" t="s">
        <v>309</v>
      </c>
      <c r="J73" t="s">
        <v>4</v>
      </c>
      <c r="K73" t="s">
        <v>312</v>
      </c>
      <c r="L73">
        <v>1354</v>
      </c>
      <c r="N73">
        <v>1010</v>
      </c>
      <c r="O73" t="s">
        <v>311</v>
      </c>
      <c r="P73" t="s">
        <v>311</v>
      </c>
      <c r="Q73">
        <v>1</v>
      </c>
      <c r="X73">
        <v>7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4</v>
      </c>
      <c r="AG73">
        <v>7</v>
      </c>
      <c r="AH73">
        <v>3</v>
      </c>
      <c r="AI73">
        <v>-1</v>
      </c>
      <c r="AJ73" t="s">
        <v>4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ROW(Source!A41)</f>
        <v>41</v>
      </c>
      <c r="B74">
        <v>16501068</v>
      </c>
      <c r="C74">
        <v>16501058</v>
      </c>
      <c r="D74">
        <v>15162761</v>
      </c>
      <c r="E74">
        <v>17</v>
      </c>
      <c r="F74">
        <v>1</v>
      </c>
      <c r="G74">
        <v>1</v>
      </c>
      <c r="H74">
        <v>3</v>
      </c>
      <c r="I74" t="s">
        <v>309</v>
      </c>
      <c r="J74" t="s">
        <v>4</v>
      </c>
      <c r="K74" t="s">
        <v>313</v>
      </c>
      <c r="L74">
        <v>1354</v>
      </c>
      <c r="N74">
        <v>1010</v>
      </c>
      <c r="O74" t="s">
        <v>311</v>
      </c>
      <c r="P74" t="s">
        <v>311</v>
      </c>
      <c r="Q74">
        <v>1</v>
      </c>
      <c r="X74">
        <v>40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4</v>
      </c>
      <c r="AG74">
        <v>40</v>
      </c>
      <c r="AH74">
        <v>3</v>
      </c>
      <c r="AI74">
        <v>-1</v>
      </c>
      <c r="AJ74" t="s">
        <v>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ROW(Source!A41)</f>
        <v>41</v>
      </c>
      <c r="B75">
        <v>16501069</v>
      </c>
      <c r="C75">
        <v>16501058</v>
      </c>
      <c r="D75">
        <v>15162759</v>
      </c>
      <c r="E75">
        <v>17</v>
      </c>
      <c r="F75">
        <v>1</v>
      </c>
      <c r="G75">
        <v>1</v>
      </c>
      <c r="H75">
        <v>3</v>
      </c>
      <c r="I75" t="s">
        <v>309</v>
      </c>
      <c r="J75" t="s">
        <v>4</v>
      </c>
      <c r="K75" t="s">
        <v>314</v>
      </c>
      <c r="L75">
        <v>1354</v>
      </c>
      <c r="N75">
        <v>1010</v>
      </c>
      <c r="O75" t="s">
        <v>311</v>
      </c>
      <c r="P75" t="s">
        <v>311</v>
      </c>
      <c r="Q75">
        <v>1</v>
      </c>
      <c r="X75">
        <v>8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4</v>
      </c>
      <c r="AG75">
        <v>8</v>
      </c>
      <c r="AH75">
        <v>3</v>
      </c>
      <c r="AI75">
        <v>-1</v>
      </c>
      <c r="AJ75" t="s">
        <v>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ROW(Source!A41)</f>
        <v>41</v>
      </c>
      <c r="B76">
        <v>16501070</v>
      </c>
      <c r="C76">
        <v>16501058</v>
      </c>
      <c r="D76">
        <v>15162760</v>
      </c>
      <c r="E76">
        <v>17</v>
      </c>
      <c r="F76">
        <v>1</v>
      </c>
      <c r="G76">
        <v>1</v>
      </c>
      <c r="H76">
        <v>3</v>
      </c>
      <c r="I76" t="s">
        <v>309</v>
      </c>
      <c r="J76" t="s">
        <v>4</v>
      </c>
      <c r="K76" t="s">
        <v>315</v>
      </c>
      <c r="L76">
        <v>1354</v>
      </c>
      <c r="N76">
        <v>1010</v>
      </c>
      <c r="O76" t="s">
        <v>311</v>
      </c>
      <c r="P76" t="s">
        <v>311</v>
      </c>
      <c r="Q76">
        <v>1</v>
      </c>
      <c r="X76">
        <v>8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4</v>
      </c>
      <c r="AG76">
        <v>8</v>
      </c>
      <c r="AH76">
        <v>3</v>
      </c>
      <c r="AI76">
        <v>-1</v>
      </c>
      <c r="AJ76" t="s">
        <v>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ROW(Source!A54)</f>
        <v>54</v>
      </c>
      <c r="B77">
        <v>16501094</v>
      </c>
      <c r="C77">
        <v>16501077</v>
      </c>
      <c r="D77">
        <v>15430767</v>
      </c>
      <c r="E77">
        <v>1</v>
      </c>
      <c r="F77">
        <v>1</v>
      </c>
      <c r="G77">
        <v>1</v>
      </c>
      <c r="H77">
        <v>1</v>
      </c>
      <c r="I77" t="s">
        <v>256</v>
      </c>
      <c r="J77" t="s">
        <v>4</v>
      </c>
      <c r="K77" t="s">
        <v>257</v>
      </c>
      <c r="L77">
        <v>1191</v>
      </c>
      <c r="N77">
        <v>1013</v>
      </c>
      <c r="O77" t="s">
        <v>249</v>
      </c>
      <c r="P77" t="s">
        <v>249</v>
      </c>
      <c r="Q77">
        <v>1</v>
      </c>
      <c r="X77">
        <v>0.9</v>
      </c>
      <c r="Y77">
        <v>0</v>
      </c>
      <c r="Z77">
        <v>0</v>
      </c>
      <c r="AA77">
        <v>0</v>
      </c>
      <c r="AB77">
        <v>8.5299999999999994</v>
      </c>
      <c r="AC77">
        <v>0</v>
      </c>
      <c r="AD77">
        <v>1</v>
      </c>
      <c r="AE77">
        <v>1</v>
      </c>
      <c r="AF77" t="s">
        <v>30</v>
      </c>
      <c r="AG77">
        <v>1.0349999999999999</v>
      </c>
      <c r="AH77">
        <v>2</v>
      </c>
      <c r="AI77">
        <v>16501094</v>
      </c>
      <c r="AJ77">
        <v>75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ROW(Source!A55)</f>
        <v>55</v>
      </c>
      <c r="B78">
        <v>16501094</v>
      </c>
      <c r="C78">
        <v>16501077</v>
      </c>
      <c r="D78">
        <v>15430767</v>
      </c>
      <c r="E78">
        <v>1</v>
      </c>
      <c r="F78">
        <v>1</v>
      </c>
      <c r="G78">
        <v>1</v>
      </c>
      <c r="H78">
        <v>1</v>
      </c>
      <c r="I78" t="s">
        <v>256</v>
      </c>
      <c r="J78" t="s">
        <v>4</v>
      </c>
      <c r="K78" t="s">
        <v>257</v>
      </c>
      <c r="L78">
        <v>1191</v>
      </c>
      <c r="N78">
        <v>1013</v>
      </c>
      <c r="O78" t="s">
        <v>249</v>
      </c>
      <c r="P78" t="s">
        <v>249</v>
      </c>
      <c r="Q78">
        <v>1</v>
      </c>
      <c r="X78">
        <v>0.9</v>
      </c>
      <c r="Y78">
        <v>0</v>
      </c>
      <c r="Z78">
        <v>0</v>
      </c>
      <c r="AA78">
        <v>0</v>
      </c>
      <c r="AB78">
        <v>8.5299999999999994</v>
      </c>
      <c r="AC78">
        <v>0</v>
      </c>
      <c r="AD78">
        <v>1</v>
      </c>
      <c r="AE78">
        <v>1</v>
      </c>
      <c r="AF78" t="s">
        <v>30</v>
      </c>
      <c r="AG78">
        <v>1.0349999999999999</v>
      </c>
      <c r="AH78">
        <v>2</v>
      </c>
      <c r="AI78">
        <v>16501094</v>
      </c>
      <c r="AJ78">
        <v>76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ROW(Source!A56)</f>
        <v>56</v>
      </c>
      <c r="B79">
        <v>16501096</v>
      </c>
      <c r="C79">
        <v>16501095</v>
      </c>
      <c r="D79">
        <v>15430767</v>
      </c>
      <c r="E79">
        <v>1</v>
      </c>
      <c r="F79">
        <v>1</v>
      </c>
      <c r="G79">
        <v>1</v>
      </c>
      <c r="H79">
        <v>1</v>
      </c>
      <c r="I79" t="s">
        <v>256</v>
      </c>
      <c r="J79" t="s">
        <v>4</v>
      </c>
      <c r="K79" t="s">
        <v>257</v>
      </c>
      <c r="L79">
        <v>1191</v>
      </c>
      <c r="N79">
        <v>1013</v>
      </c>
      <c r="O79" t="s">
        <v>249</v>
      </c>
      <c r="P79" t="s">
        <v>249</v>
      </c>
      <c r="Q79">
        <v>1</v>
      </c>
      <c r="X79">
        <v>32.49</v>
      </c>
      <c r="Y79">
        <v>0</v>
      </c>
      <c r="Z79">
        <v>0</v>
      </c>
      <c r="AA79">
        <v>0</v>
      </c>
      <c r="AB79">
        <v>8.5299999999999994</v>
      </c>
      <c r="AC79">
        <v>0</v>
      </c>
      <c r="AD79">
        <v>1</v>
      </c>
      <c r="AE79">
        <v>1</v>
      </c>
      <c r="AF79" t="s">
        <v>30</v>
      </c>
      <c r="AG79">
        <v>37.363500000000002</v>
      </c>
      <c r="AH79">
        <v>2</v>
      </c>
      <c r="AI79">
        <v>16501096</v>
      </c>
      <c r="AJ79">
        <v>77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ROW(Source!A56)</f>
        <v>56</v>
      </c>
      <c r="B80">
        <v>16501097</v>
      </c>
      <c r="C80">
        <v>16501095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250</v>
      </c>
      <c r="J80" t="s">
        <v>4</v>
      </c>
      <c r="K80" t="s">
        <v>251</v>
      </c>
      <c r="L80">
        <v>1191</v>
      </c>
      <c r="N80">
        <v>1013</v>
      </c>
      <c r="O80" t="s">
        <v>249</v>
      </c>
      <c r="P80" t="s">
        <v>249</v>
      </c>
      <c r="Q80">
        <v>1</v>
      </c>
      <c r="X80">
        <v>0.93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29</v>
      </c>
      <c r="AG80">
        <v>1.1625000000000001</v>
      </c>
      <c r="AH80">
        <v>2</v>
      </c>
      <c r="AI80">
        <v>16501097</v>
      </c>
      <c r="AJ80">
        <v>78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ROW(Source!A56)</f>
        <v>56</v>
      </c>
      <c r="B81">
        <v>16501098</v>
      </c>
      <c r="C81">
        <v>16501095</v>
      </c>
      <c r="D81">
        <v>15247905</v>
      </c>
      <c r="E81">
        <v>1</v>
      </c>
      <c r="F81">
        <v>1</v>
      </c>
      <c r="G81">
        <v>1</v>
      </c>
      <c r="H81">
        <v>2</v>
      </c>
      <c r="I81" t="s">
        <v>289</v>
      </c>
      <c r="J81" t="s">
        <v>290</v>
      </c>
      <c r="K81" t="s">
        <v>291</v>
      </c>
      <c r="L81">
        <v>1368</v>
      </c>
      <c r="N81">
        <v>1011</v>
      </c>
      <c r="O81" t="s">
        <v>255</v>
      </c>
      <c r="P81" t="s">
        <v>255</v>
      </c>
      <c r="Q81">
        <v>1</v>
      </c>
      <c r="X81">
        <v>0.02</v>
      </c>
      <c r="Y81">
        <v>0</v>
      </c>
      <c r="Z81">
        <v>89.99</v>
      </c>
      <c r="AA81">
        <v>10.06</v>
      </c>
      <c r="AB81">
        <v>0</v>
      </c>
      <c r="AC81">
        <v>0</v>
      </c>
      <c r="AD81">
        <v>1</v>
      </c>
      <c r="AE81">
        <v>0</v>
      </c>
      <c r="AF81" t="s">
        <v>29</v>
      </c>
      <c r="AG81">
        <v>2.5000000000000001E-2</v>
      </c>
      <c r="AH81">
        <v>2</v>
      </c>
      <c r="AI81">
        <v>16501098</v>
      </c>
      <c r="AJ81">
        <v>79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ROW(Source!A56)</f>
        <v>56</v>
      </c>
      <c r="B82">
        <v>16501099</v>
      </c>
      <c r="C82">
        <v>16501095</v>
      </c>
      <c r="D82">
        <v>15247974</v>
      </c>
      <c r="E82">
        <v>1</v>
      </c>
      <c r="F82">
        <v>1</v>
      </c>
      <c r="G82">
        <v>1</v>
      </c>
      <c r="H82">
        <v>2</v>
      </c>
      <c r="I82" t="s">
        <v>252</v>
      </c>
      <c r="J82" t="s">
        <v>253</v>
      </c>
      <c r="K82" t="s">
        <v>254</v>
      </c>
      <c r="L82">
        <v>1368</v>
      </c>
      <c r="N82">
        <v>1011</v>
      </c>
      <c r="O82" t="s">
        <v>255</v>
      </c>
      <c r="P82" t="s">
        <v>255</v>
      </c>
      <c r="Q82">
        <v>1</v>
      </c>
      <c r="X82">
        <v>0.21</v>
      </c>
      <c r="Y82">
        <v>0</v>
      </c>
      <c r="Z82">
        <v>31.26</v>
      </c>
      <c r="AA82">
        <v>13.5</v>
      </c>
      <c r="AB82">
        <v>0</v>
      </c>
      <c r="AC82">
        <v>0</v>
      </c>
      <c r="AD82">
        <v>1</v>
      </c>
      <c r="AE82">
        <v>0</v>
      </c>
      <c r="AF82" t="s">
        <v>29</v>
      </c>
      <c r="AG82">
        <v>0.26250000000000001</v>
      </c>
      <c r="AH82">
        <v>2</v>
      </c>
      <c r="AI82">
        <v>16501099</v>
      </c>
      <c r="AJ82">
        <v>80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ROW(Source!A56)</f>
        <v>56</v>
      </c>
      <c r="B83">
        <v>16501100</v>
      </c>
      <c r="C83">
        <v>16501095</v>
      </c>
      <c r="D83">
        <v>15248143</v>
      </c>
      <c r="E83">
        <v>1</v>
      </c>
      <c r="F83">
        <v>1</v>
      </c>
      <c r="G83">
        <v>1</v>
      </c>
      <c r="H83">
        <v>2</v>
      </c>
      <c r="I83" t="s">
        <v>292</v>
      </c>
      <c r="J83" t="s">
        <v>293</v>
      </c>
      <c r="K83" t="s">
        <v>294</v>
      </c>
      <c r="L83">
        <v>1368</v>
      </c>
      <c r="N83">
        <v>1011</v>
      </c>
      <c r="O83" t="s">
        <v>255</v>
      </c>
      <c r="P83" t="s">
        <v>255</v>
      </c>
      <c r="Q83">
        <v>1</v>
      </c>
      <c r="X83">
        <v>0.7</v>
      </c>
      <c r="Y83">
        <v>0</v>
      </c>
      <c r="Z83">
        <v>12.39</v>
      </c>
      <c r="AA83">
        <v>10.06</v>
      </c>
      <c r="AB83">
        <v>0</v>
      </c>
      <c r="AC83">
        <v>0</v>
      </c>
      <c r="AD83">
        <v>1</v>
      </c>
      <c r="AE83">
        <v>0</v>
      </c>
      <c r="AF83" t="s">
        <v>29</v>
      </c>
      <c r="AG83">
        <v>0.875</v>
      </c>
      <c r="AH83">
        <v>2</v>
      </c>
      <c r="AI83">
        <v>16501100</v>
      </c>
      <c r="AJ83">
        <v>81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ROW(Source!A56)</f>
        <v>56</v>
      </c>
      <c r="B84">
        <v>16501101</v>
      </c>
      <c r="C84">
        <v>16501095</v>
      </c>
      <c r="D84">
        <v>15167286</v>
      </c>
      <c r="E84">
        <v>1</v>
      </c>
      <c r="F84">
        <v>1</v>
      </c>
      <c r="G84">
        <v>1</v>
      </c>
      <c r="H84">
        <v>3</v>
      </c>
      <c r="I84" t="s">
        <v>264</v>
      </c>
      <c r="J84" t="s">
        <v>265</v>
      </c>
      <c r="K84" t="s">
        <v>266</v>
      </c>
      <c r="L84">
        <v>1339</v>
      </c>
      <c r="N84">
        <v>1007</v>
      </c>
      <c r="O84" t="s">
        <v>267</v>
      </c>
      <c r="P84" t="s">
        <v>267</v>
      </c>
      <c r="Q84">
        <v>1</v>
      </c>
      <c r="X84">
        <v>0.51</v>
      </c>
      <c r="Y84">
        <v>2.44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4</v>
      </c>
      <c r="AG84">
        <v>0.51</v>
      </c>
      <c r="AH84">
        <v>2</v>
      </c>
      <c r="AI84">
        <v>16501101</v>
      </c>
      <c r="AJ84">
        <v>82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ROW(Source!A56)</f>
        <v>56</v>
      </c>
      <c r="B85">
        <v>16501102</v>
      </c>
      <c r="C85">
        <v>16501095</v>
      </c>
      <c r="D85">
        <v>15163028</v>
      </c>
      <c r="E85">
        <v>17</v>
      </c>
      <c r="F85">
        <v>1</v>
      </c>
      <c r="G85">
        <v>1</v>
      </c>
      <c r="H85">
        <v>3</v>
      </c>
      <c r="I85" t="s">
        <v>316</v>
      </c>
      <c r="J85" t="s">
        <v>4</v>
      </c>
      <c r="K85" t="s">
        <v>317</v>
      </c>
      <c r="L85">
        <v>1348</v>
      </c>
      <c r="N85">
        <v>1009</v>
      </c>
      <c r="O85" t="s">
        <v>58</v>
      </c>
      <c r="P85" t="s">
        <v>58</v>
      </c>
      <c r="Q85">
        <v>1000</v>
      </c>
      <c r="X85">
        <v>0.85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 t="s">
        <v>4</v>
      </c>
      <c r="AG85">
        <v>0.85</v>
      </c>
      <c r="AH85">
        <v>3</v>
      </c>
      <c r="AI85">
        <v>-1</v>
      </c>
      <c r="AJ85" t="s">
        <v>4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ROW(Source!A56)</f>
        <v>56</v>
      </c>
      <c r="B86">
        <v>16501103</v>
      </c>
      <c r="C86">
        <v>16501095</v>
      </c>
      <c r="D86">
        <v>15162572</v>
      </c>
      <c r="E86">
        <v>17</v>
      </c>
      <c r="F86">
        <v>1</v>
      </c>
      <c r="G86">
        <v>1</v>
      </c>
      <c r="H86">
        <v>3</v>
      </c>
      <c r="I86" t="s">
        <v>318</v>
      </c>
      <c r="J86" t="s">
        <v>4</v>
      </c>
      <c r="K86" t="s">
        <v>319</v>
      </c>
      <c r="L86">
        <v>1348</v>
      </c>
      <c r="N86">
        <v>1009</v>
      </c>
      <c r="O86" t="s">
        <v>58</v>
      </c>
      <c r="P86" t="s">
        <v>58</v>
      </c>
      <c r="Q86">
        <v>1000</v>
      </c>
      <c r="X86">
        <v>0</v>
      </c>
      <c r="Y86">
        <v>0</v>
      </c>
      <c r="Z86">
        <v>0</v>
      </c>
      <c r="AA86">
        <v>0</v>
      </c>
      <c r="AB86">
        <v>0</v>
      </c>
      <c r="AC86">
        <v>1</v>
      </c>
      <c r="AD86">
        <v>0</v>
      </c>
      <c r="AE86">
        <v>0</v>
      </c>
      <c r="AF86" t="s">
        <v>4</v>
      </c>
      <c r="AG86">
        <v>0</v>
      </c>
      <c r="AH86">
        <v>3</v>
      </c>
      <c r="AI86">
        <v>-1</v>
      </c>
      <c r="AJ86" t="s">
        <v>4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ROW(Source!A57)</f>
        <v>57</v>
      </c>
      <c r="B87">
        <v>16501096</v>
      </c>
      <c r="C87">
        <v>16501095</v>
      </c>
      <c r="D87">
        <v>15430767</v>
      </c>
      <c r="E87">
        <v>1</v>
      </c>
      <c r="F87">
        <v>1</v>
      </c>
      <c r="G87">
        <v>1</v>
      </c>
      <c r="H87">
        <v>1</v>
      </c>
      <c r="I87" t="s">
        <v>256</v>
      </c>
      <c r="J87" t="s">
        <v>4</v>
      </c>
      <c r="K87" t="s">
        <v>257</v>
      </c>
      <c r="L87">
        <v>1191</v>
      </c>
      <c r="N87">
        <v>1013</v>
      </c>
      <c r="O87" t="s">
        <v>249</v>
      </c>
      <c r="P87" t="s">
        <v>249</v>
      </c>
      <c r="Q87">
        <v>1</v>
      </c>
      <c r="X87">
        <v>32.49</v>
      </c>
      <c r="Y87">
        <v>0</v>
      </c>
      <c r="Z87">
        <v>0</v>
      </c>
      <c r="AA87">
        <v>0</v>
      </c>
      <c r="AB87">
        <v>8.5299999999999994</v>
      </c>
      <c r="AC87">
        <v>0</v>
      </c>
      <c r="AD87">
        <v>1</v>
      </c>
      <c r="AE87">
        <v>1</v>
      </c>
      <c r="AF87" t="s">
        <v>30</v>
      </c>
      <c r="AG87">
        <v>37.363500000000002</v>
      </c>
      <c r="AH87">
        <v>2</v>
      </c>
      <c r="AI87">
        <v>16501096</v>
      </c>
      <c r="AJ87">
        <v>85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ROW(Source!A57)</f>
        <v>57</v>
      </c>
      <c r="B88">
        <v>16501097</v>
      </c>
      <c r="C88">
        <v>16501095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250</v>
      </c>
      <c r="J88" t="s">
        <v>4</v>
      </c>
      <c r="K88" t="s">
        <v>251</v>
      </c>
      <c r="L88">
        <v>1191</v>
      </c>
      <c r="N88">
        <v>1013</v>
      </c>
      <c r="O88" t="s">
        <v>249</v>
      </c>
      <c r="P88" t="s">
        <v>249</v>
      </c>
      <c r="Q88">
        <v>1</v>
      </c>
      <c r="X88">
        <v>0.93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29</v>
      </c>
      <c r="AG88">
        <v>1.1625000000000001</v>
      </c>
      <c r="AH88">
        <v>2</v>
      </c>
      <c r="AI88">
        <v>16501097</v>
      </c>
      <c r="AJ88">
        <v>86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ROW(Source!A57)</f>
        <v>57</v>
      </c>
      <c r="B89">
        <v>16501098</v>
      </c>
      <c r="C89">
        <v>16501095</v>
      </c>
      <c r="D89">
        <v>15247905</v>
      </c>
      <c r="E89">
        <v>1</v>
      </c>
      <c r="F89">
        <v>1</v>
      </c>
      <c r="G89">
        <v>1</v>
      </c>
      <c r="H89">
        <v>2</v>
      </c>
      <c r="I89" t="s">
        <v>289</v>
      </c>
      <c r="J89" t="s">
        <v>290</v>
      </c>
      <c r="K89" t="s">
        <v>291</v>
      </c>
      <c r="L89">
        <v>1368</v>
      </c>
      <c r="N89">
        <v>1011</v>
      </c>
      <c r="O89" t="s">
        <v>255</v>
      </c>
      <c r="P89" t="s">
        <v>255</v>
      </c>
      <c r="Q89">
        <v>1</v>
      </c>
      <c r="X89">
        <v>0.02</v>
      </c>
      <c r="Y89">
        <v>0</v>
      </c>
      <c r="Z89">
        <v>89.99</v>
      </c>
      <c r="AA89">
        <v>10.06</v>
      </c>
      <c r="AB89">
        <v>0</v>
      </c>
      <c r="AC89">
        <v>0</v>
      </c>
      <c r="AD89">
        <v>1</v>
      </c>
      <c r="AE89">
        <v>0</v>
      </c>
      <c r="AF89" t="s">
        <v>29</v>
      </c>
      <c r="AG89">
        <v>2.5000000000000001E-2</v>
      </c>
      <c r="AH89">
        <v>2</v>
      </c>
      <c r="AI89">
        <v>16501098</v>
      </c>
      <c r="AJ89">
        <v>87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ROW(Source!A57)</f>
        <v>57</v>
      </c>
      <c r="B90">
        <v>16501099</v>
      </c>
      <c r="C90">
        <v>16501095</v>
      </c>
      <c r="D90">
        <v>15247974</v>
      </c>
      <c r="E90">
        <v>1</v>
      </c>
      <c r="F90">
        <v>1</v>
      </c>
      <c r="G90">
        <v>1</v>
      </c>
      <c r="H90">
        <v>2</v>
      </c>
      <c r="I90" t="s">
        <v>252</v>
      </c>
      <c r="J90" t="s">
        <v>253</v>
      </c>
      <c r="K90" t="s">
        <v>254</v>
      </c>
      <c r="L90">
        <v>1368</v>
      </c>
      <c r="N90">
        <v>1011</v>
      </c>
      <c r="O90" t="s">
        <v>255</v>
      </c>
      <c r="P90" t="s">
        <v>255</v>
      </c>
      <c r="Q90">
        <v>1</v>
      </c>
      <c r="X90">
        <v>0.21</v>
      </c>
      <c r="Y90">
        <v>0</v>
      </c>
      <c r="Z90">
        <v>31.26</v>
      </c>
      <c r="AA90">
        <v>13.5</v>
      </c>
      <c r="AB90">
        <v>0</v>
      </c>
      <c r="AC90">
        <v>0</v>
      </c>
      <c r="AD90">
        <v>1</v>
      </c>
      <c r="AE90">
        <v>0</v>
      </c>
      <c r="AF90" t="s">
        <v>29</v>
      </c>
      <c r="AG90">
        <v>0.26250000000000001</v>
      </c>
      <c r="AH90">
        <v>2</v>
      </c>
      <c r="AI90">
        <v>16501099</v>
      </c>
      <c r="AJ90">
        <v>88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ROW(Source!A57)</f>
        <v>57</v>
      </c>
      <c r="B91">
        <v>16501100</v>
      </c>
      <c r="C91">
        <v>16501095</v>
      </c>
      <c r="D91">
        <v>15248143</v>
      </c>
      <c r="E91">
        <v>1</v>
      </c>
      <c r="F91">
        <v>1</v>
      </c>
      <c r="G91">
        <v>1</v>
      </c>
      <c r="H91">
        <v>2</v>
      </c>
      <c r="I91" t="s">
        <v>292</v>
      </c>
      <c r="J91" t="s">
        <v>293</v>
      </c>
      <c r="K91" t="s">
        <v>294</v>
      </c>
      <c r="L91">
        <v>1368</v>
      </c>
      <c r="N91">
        <v>1011</v>
      </c>
      <c r="O91" t="s">
        <v>255</v>
      </c>
      <c r="P91" t="s">
        <v>255</v>
      </c>
      <c r="Q91">
        <v>1</v>
      </c>
      <c r="X91">
        <v>0.7</v>
      </c>
      <c r="Y91">
        <v>0</v>
      </c>
      <c r="Z91">
        <v>12.39</v>
      </c>
      <c r="AA91">
        <v>10.06</v>
      </c>
      <c r="AB91">
        <v>0</v>
      </c>
      <c r="AC91">
        <v>0</v>
      </c>
      <c r="AD91">
        <v>1</v>
      </c>
      <c r="AE91">
        <v>0</v>
      </c>
      <c r="AF91" t="s">
        <v>29</v>
      </c>
      <c r="AG91">
        <v>0.875</v>
      </c>
      <c r="AH91">
        <v>2</v>
      </c>
      <c r="AI91">
        <v>16501100</v>
      </c>
      <c r="AJ91">
        <v>89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ROW(Source!A57)</f>
        <v>57</v>
      </c>
      <c r="B92">
        <v>16501101</v>
      </c>
      <c r="C92">
        <v>16501095</v>
      </c>
      <c r="D92">
        <v>15167286</v>
      </c>
      <c r="E92">
        <v>1</v>
      </c>
      <c r="F92">
        <v>1</v>
      </c>
      <c r="G92">
        <v>1</v>
      </c>
      <c r="H92">
        <v>3</v>
      </c>
      <c r="I92" t="s">
        <v>264</v>
      </c>
      <c r="J92" t="s">
        <v>265</v>
      </c>
      <c r="K92" t="s">
        <v>266</v>
      </c>
      <c r="L92">
        <v>1339</v>
      </c>
      <c r="N92">
        <v>1007</v>
      </c>
      <c r="O92" t="s">
        <v>267</v>
      </c>
      <c r="P92" t="s">
        <v>267</v>
      </c>
      <c r="Q92">
        <v>1</v>
      </c>
      <c r="X92">
        <v>0.51</v>
      </c>
      <c r="Y92">
        <v>2.44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4</v>
      </c>
      <c r="AG92">
        <v>0.51</v>
      </c>
      <c r="AH92">
        <v>2</v>
      </c>
      <c r="AI92">
        <v>16501101</v>
      </c>
      <c r="AJ92">
        <v>90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ROW(Source!A57)</f>
        <v>57</v>
      </c>
      <c r="B93">
        <v>16501102</v>
      </c>
      <c r="C93">
        <v>16501095</v>
      </c>
      <c r="D93">
        <v>15163028</v>
      </c>
      <c r="E93">
        <v>17</v>
      </c>
      <c r="F93">
        <v>1</v>
      </c>
      <c r="G93">
        <v>1</v>
      </c>
      <c r="H93">
        <v>3</v>
      </c>
      <c r="I93" t="s">
        <v>316</v>
      </c>
      <c r="J93" t="s">
        <v>4</v>
      </c>
      <c r="K93" t="s">
        <v>317</v>
      </c>
      <c r="L93">
        <v>1348</v>
      </c>
      <c r="N93">
        <v>1009</v>
      </c>
      <c r="O93" t="s">
        <v>58</v>
      </c>
      <c r="P93" t="s">
        <v>58</v>
      </c>
      <c r="Q93">
        <v>1000</v>
      </c>
      <c r="X93">
        <v>0.85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4</v>
      </c>
      <c r="AG93">
        <v>0.85</v>
      </c>
      <c r="AH93">
        <v>3</v>
      </c>
      <c r="AI93">
        <v>-1</v>
      </c>
      <c r="AJ93" t="s">
        <v>4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ROW(Source!A57)</f>
        <v>57</v>
      </c>
      <c r="B94">
        <v>16501103</v>
      </c>
      <c r="C94">
        <v>16501095</v>
      </c>
      <c r="D94">
        <v>15162572</v>
      </c>
      <c r="E94">
        <v>17</v>
      </c>
      <c r="F94">
        <v>1</v>
      </c>
      <c r="G94">
        <v>1</v>
      </c>
      <c r="H94">
        <v>3</v>
      </c>
      <c r="I94" t="s">
        <v>318</v>
      </c>
      <c r="J94" t="s">
        <v>4</v>
      </c>
      <c r="K94" t="s">
        <v>319</v>
      </c>
      <c r="L94">
        <v>1348</v>
      </c>
      <c r="N94">
        <v>1009</v>
      </c>
      <c r="O94" t="s">
        <v>58</v>
      </c>
      <c r="P94" t="s">
        <v>58</v>
      </c>
      <c r="Q94">
        <v>1000</v>
      </c>
      <c r="X94">
        <v>0</v>
      </c>
      <c r="Y94">
        <v>0</v>
      </c>
      <c r="Z94">
        <v>0</v>
      </c>
      <c r="AA94">
        <v>0</v>
      </c>
      <c r="AB94">
        <v>0</v>
      </c>
      <c r="AC94">
        <v>1</v>
      </c>
      <c r="AD94">
        <v>0</v>
      </c>
      <c r="AE94">
        <v>0</v>
      </c>
      <c r="AF94" t="s">
        <v>4</v>
      </c>
      <c r="AG94">
        <v>0</v>
      </c>
      <c r="AH94">
        <v>3</v>
      </c>
      <c r="AI94">
        <v>-1</v>
      </c>
      <c r="AJ94" t="s">
        <v>4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ROW(Source!A62)</f>
        <v>62</v>
      </c>
      <c r="B95">
        <v>16501107</v>
      </c>
      <c r="C95">
        <v>16501106</v>
      </c>
      <c r="D95">
        <v>15436014</v>
      </c>
      <c r="E95">
        <v>1</v>
      </c>
      <c r="F95">
        <v>1</v>
      </c>
      <c r="G95">
        <v>1</v>
      </c>
      <c r="H95">
        <v>1</v>
      </c>
      <c r="I95" t="s">
        <v>295</v>
      </c>
      <c r="J95" t="s">
        <v>4</v>
      </c>
      <c r="K95" t="s">
        <v>296</v>
      </c>
      <c r="L95">
        <v>1191</v>
      </c>
      <c r="N95">
        <v>1013</v>
      </c>
      <c r="O95" t="s">
        <v>249</v>
      </c>
      <c r="P95" t="s">
        <v>249</v>
      </c>
      <c r="Q95">
        <v>1</v>
      </c>
      <c r="X95">
        <v>43.56</v>
      </c>
      <c r="Y95">
        <v>0</v>
      </c>
      <c r="Z95">
        <v>0</v>
      </c>
      <c r="AA95">
        <v>0</v>
      </c>
      <c r="AB95">
        <v>8.74</v>
      </c>
      <c r="AC95">
        <v>0</v>
      </c>
      <c r="AD95">
        <v>1</v>
      </c>
      <c r="AE95">
        <v>1</v>
      </c>
      <c r="AF95" t="s">
        <v>30</v>
      </c>
      <c r="AG95">
        <v>50.094000000000001</v>
      </c>
      <c r="AH95">
        <v>2</v>
      </c>
      <c r="AI95">
        <v>16501107</v>
      </c>
      <c r="AJ95">
        <v>93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ROW(Source!A62)</f>
        <v>62</v>
      </c>
      <c r="B96">
        <v>16501108</v>
      </c>
      <c r="C96">
        <v>16501106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250</v>
      </c>
      <c r="J96" t="s">
        <v>4</v>
      </c>
      <c r="K96" t="s">
        <v>251</v>
      </c>
      <c r="L96">
        <v>1191</v>
      </c>
      <c r="N96">
        <v>1013</v>
      </c>
      <c r="O96" t="s">
        <v>249</v>
      </c>
      <c r="P96" t="s">
        <v>249</v>
      </c>
      <c r="Q96">
        <v>1</v>
      </c>
      <c r="X96">
        <v>0.17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29</v>
      </c>
      <c r="AG96">
        <v>0.21250000000000002</v>
      </c>
      <c r="AH96">
        <v>2</v>
      </c>
      <c r="AI96">
        <v>16501108</v>
      </c>
      <c r="AJ96">
        <v>94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ROW(Source!A62)</f>
        <v>62</v>
      </c>
      <c r="B97">
        <v>16501109</v>
      </c>
      <c r="C97">
        <v>16501106</v>
      </c>
      <c r="D97">
        <v>15247970</v>
      </c>
      <c r="E97">
        <v>1</v>
      </c>
      <c r="F97">
        <v>1</v>
      </c>
      <c r="G97">
        <v>1</v>
      </c>
      <c r="H97">
        <v>2</v>
      </c>
      <c r="I97" t="s">
        <v>258</v>
      </c>
      <c r="J97" t="s">
        <v>259</v>
      </c>
      <c r="K97" t="s">
        <v>260</v>
      </c>
      <c r="L97">
        <v>1368</v>
      </c>
      <c r="N97">
        <v>1011</v>
      </c>
      <c r="O97" t="s">
        <v>255</v>
      </c>
      <c r="P97" t="s">
        <v>255</v>
      </c>
      <c r="Q97">
        <v>1</v>
      </c>
      <c r="X97">
        <v>0.02</v>
      </c>
      <c r="Y97">
        <v>0</v>
      </c>
      <c r="Z97">
        <v>27.66</v>
      </c>
      <c r="AA97">
        <v>11.6</v>
      </c>
      <c r="AB97">
        <v>0</v>
      </c>
      <c r="AC97">
        <v>0</v>
      </c>
      <c r="AD97">
        <v>1</v>
      </c>
      <c r="AE97">
        <v>0</v>
      </c>
      <c r="AF97" t="s">
        <v>29</v>
      </c>
      <c r="AG97">
        <v>2.5000000000000001E-2</v>
      </c>
      <c r="AH97">
        <v>2</v>
      </c>
      <c r="AI97">
        <v>16501109</v>
      </c>
      <c r="AJ97">
        <v>95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ROW(Source!A62)</f>
        <v>62</v>
      </c>
      <c r="B98">
        <v>16501110</v>
      </c>
      <c r="C98">
        <v>16501106</v>
      </c>
      <c r="D98">
        <v>15249073</v>
      </c>
      <c r="E98">
        <v>1</v>
      </c>
      <c r="F98">
        <v>1</v>
      </c>
      <c r="G98">
        <v>1</v>
      </c>
      <c r="H98">
        <v>2</v>
      </c>
      <c r="I98" t="s">
        <v>261</v>
      </c>
      <c r="J98" t="s">
        <v>262</v>
      </c>
      <c r="K98" t="s">
        <v>263</v>
      </c>
      <c r="L98">
        <v>1368</v>
      </c>
      <c r="N98">
        <v>1011</v>
      </c>
      <c r="O98" t="s">
        <v>255</v>
      </c>
      <c r="P98" t="s">
        <v>255</v>
      </c>
      <c r="Q98">
        <v>1</v>
      </c>
      <c r="X98">
        <v>0.15</v>
      </c>
      <c r="Y98">
        <v>0</v>
      </c>
      <c r="Z98">
        <v>65.709999999999994</v>
      </c>
      <c r="AA98">
        <v>11.6</v>
      </c>
      <c r="AB98">
        <v>0</v>
      </c>
      <c r="AC98">
        <v>0</v>
      </c>
      <c r="AD98">
        <v>1</v>
      </c>
      <c r="AE98">
        <v>0</v>
      </c>
      <c r="AF98" t="s">
        <v>29</v>
      </c>
      <c r="AG98">
        <v>0.1875</v>
      </c>
      <c r="AH98">
        <v>2</v>
      </c>
      <c r="AI98">
        <v>16501110</v>
      </c>
      <c r="AJ98">
        <v>96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ROW(Source!A62)</f>
        <v>62</v>
      </c>
      <c r="B99">
        <v>16501111</v>
      </c>
      <c r="C99">
        <v>16501106</v>
      </c>
      <c r="D99">
        <v>15170682</v>
      </c>
      <c r="E99">
        <v>1</v>
      </c>
      <c r="F99">
        <v>1</v>
      </c>
      <c r="G99">
        <v>1</v>
      </c>
      <c r="H99">
        <v>3</v>
      </c>
      <c r="I99" t="s">
        <v>297</v>
      </c>
      <c r="J99" t="s">
        <v>298</v>
      </c>
      <c r="K99" t="s">
        <v>299</v>
      </c>
      <c r="L99">
        <v>1327</v>
      </c>
      <c r="N99">
        <v>1005</v>
      </c>
      <c r="O99" t="s">
        <v>50</v>
      </c>
      <c r="P99" t="s">
        <v>50</v>
      </c>
      <c r="Q99">
        <v>1</v>
      </c>
      <c r="X99">
        <v>0.84</v>
      </c>
      <c r="Y99">
        <v>72.319999999999993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4</v>
      </c>
      <c r="AG99">
        <v>0.84</v>
      </c>
      <c r="AH99">
        <v>2</v>
      </c>
      <c r="AI99">
        <v>16501111</v>
      </c>
      <c r="AJ99">
        <v>97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ROW(Source!A62)</f>
        <v>62</v>
      </c>
      <c r="B100">
        <v>16501112</v>
      </c>
      <c r="C100">
        <v>16501106</v>
      </c>
      <c r="D100">
        <v>15171018</v>
      </c>
      <c r="E100">
        <v>1</v>
      </c>
      <c r="F100">
        <v>1</v>
      </c>
      <c r="G100">
        <v>1</v>
      </c>
      <c r="H100">
        <v>3</v>
      </c>
      <c r="I100" t="s">
        <v>277</v>
      </c>
      <c r="J100" t="s">
        <v>278</v>
      </c>
      <c r="K100" t="s">
        <v>279</v>
      </c>
      <c r="L100">
        <v>1346</v>
      </c>
      <c r="N100">
        <v>1009</v>
      </c>
      <c r="O100" t="s">
        <v>274</v>
      </c>
      <c r="P100" t="s">
        <v>274</v>
      </c>
      <c r="Q100">
        <v>1</v>
      </c>
      <c r="X100">
        <v>0.31</v>
      </c>
      <c r="Y100">
        <v>1.82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4</v>
      </c>
      <c r="AG100">
        <v>0.31</v>
      </c>
      <c r="AH100">
        <v>2</v>
      </c>
      <c r="AI100">
        <v>16501112</v>
      </c>
      <c r="AJ100">
        <v>98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ROW(Source!A62)</f>
        <v>62</v>
      </c>
      <c r="B101">
        <v>16501113</v>
      </c>
      <c r="C101">
        <v>16501106</v>
      </c>
      <c r="D101">
        <v>15163055</v>
      </c>
      <c r="E101">
        <v>17</v>
      </c>
      <c r="F101">
        <v>1</v>
      </c>
      <c r="G101">
        <v>1</v>
      </c>
      <c r="H101">
        <v>3</v>
      </c>
      <c r="I101" t="s">
        <v>320</v>
      </c>
      <c r="J101" t="s">
        <v>4</v>
      </c>
      <c r="K101" t="s">
        <v>321</v>
      </c>
      <c r="L101">
        <v>1348</v>
      </c>
      <c r="N101">
        <v>1009</v>
      </c>
      <c r="O101" t="s">
        <v>58</v>
      </c>
      <c r="P101" t="s">
        <v>58</v>
      </c>
      <c r="Q101">
        <v>1000</v>
      </c>
      <c r="X101">
        <v>0.03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 t="s">
        <v>4</v>
      </c>
      <c r="AG101">
        <v>0.03</v>
      </c>
      <c r="AH101">
        <v>3</v>
      </c>
      <c r="AI101">
        <v>-1</v>
      </c>
      <c r="AJ101" t="s">
        <v>4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ROW(Source!A62)</f>
        <v>62</v>
      </c>
      <c r="B102">
        <v>16501114</v>
      </c>
      <c r="C102">
        <v>16501106</v>
      </c>
      <c r="D102">
        <v>15162572</v>
      </c>
      <c r="E102">
        <v>17</v>
      </c>
      <c r="F102">
        <v>1</v>
      </c>
      <c r="G102">
        <v>1</v>
      </c>
      <c r="H102">
        <v>3</v>
      </c>
      <c r="I102" t="s">
        <v>318</v>
      </c>
      <c r="J102" t="s">
        <v>4</v>
      </c>
      <c r="K102" t="s">
        <v>319</v>
      </c>
      <c r="L102">
        <v>1348</v>
      </c>
      <c r="N102">
        <v>1009</v>
      </c>
      <c r="O102" t="s">
        <v>58</v>
      </c>
      <c r="P102" t="s">
        <v>58</v>
      </c>
      <c r="Q102">
        <v>1000</v>
      </c>
      <c r="X102">
        <v>0.02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4</v>
      </c>
      <c r="AG102">
        <v>0.02</v>
      </c>
      <c r="AH102">
        <v>3</v>
      </c>
      <c r="AI102">
        <v>-1</v>
      </c>
      <c r="AJ102" t="s">
        <v>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ROW(Source!A62)</f>
        <v>62</v>
      </c>
      <c r="B103">
        <v>16501115</v>
      </c>
      <c r="C103">
        <v>16501106</v>
      </c>
      <c r="D103">
        <v>15204737</v>
      </c>
      <c r="E103">
        <v>1</v>
      </c>
      <c r="F103">
        <v>1</v>
      </c>
      <c r="G103">
        <v>1</v>
      </c>
      <c r="H103">
        <v>3</v>
      </c>
      <c r="I103" t="s">
        <v>300</v>
      </c>
      <c r="J103" t="s">
        <v>301</v>
      </c>
      <c r="K103" t="s">
        <v>302</v>
      </c>
      <c r="L103">
        <v>1348</v>
      </c>
      <c r="N103">
        <v>1009</v>
      </c>
      <c r="O103" t="s">
        <v>58</v>
      </c>
      <c r="P103" t="s">
        <v>58</v>
      </c>
      <c r="Q103">
        <v>1000</v>
      </c>
      <c r="X103">
        <v>5.0999999999999997E-2</v>
      </c>
      <c r="Y103">
        <v>11397.1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4</v>
      </c>
      <c r="AG103">
        <v>5.0999999999999997E-2</v>
      </c>
      <c r="AH103">
        <v>2</v>
      </c>
      <c r="AI103">
        <v>16501115</v>
      </c>
      <c r="AJ103">
        <v>101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ROW(Source!A63)</f>
        <v>63</v>
      </c>
      <c r="B104">
        <v>16501107</v>
      </c>
      <c r="C104">
        <v>16501106</v>
      </c>
      <c r="D104">
        <v>15436014</v>
      </c>
      <c r="E104">
        <v>1</v>
      </c>
      <c r="F104">
        <v>1</v>
      </c>
      <c r="G104">
        <v>1</v>
      </c>
      <c r="H104">
        <v>1</v>
      </c>
      <c r="I104" t="s">
        <v>295</v>
      </c>
      <c r="J104" t="s">
        <v>4</v>
      </c>
      <c r="K104" t="s">
        <v>296</v>
      </c>
      <c r="L104">
        <v>1191</v>
      </c>
      <c r="N104">
        <v>1013</v>
      </c>
      <c r="O104" t="s">
        <v>249</v>
      </c>
      <c r="P104" t="s">
        <v>249</v>
      </c>
      <c r="Q104">
        <v>1</v>
      </c>
      <c r="X104">
        <v>43.56</v>
      </c>
      <c r="Y104">
        <v>0</v>
      </c>
      <c r="Z104">
        <v>0</v>
      </c>
      <c r="AA104">
        <v>0</v>
      </c>
      <c r="AB104">
        <v>8.74</v>
      </c>
      <c r="AC104">
        <v>0</v>
      </c>
      <c r="AD104">
        <v>1</v>
      </c>
      <c r="AE104">
        <v>1</v>
      </c>
      <c r="AF104" t="s">
        <v>30</v>
      </c>
      <c r="AG104">
        <v>50.094000000000001</v>
      </c>
      <c r="AH104">
        <v>2</v>
      </c>
      <c r="AI104">
        <v>16501107</v>
      </c>
      <c r="AJ104">
        <v>102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ROW(Source!A63)</f>
        <v>63</v>
      </c>
      <c r="B105">
        <v>16501108</v>
      </c>
      <c r="C105">
        <v>16501106</v>
      </c>
      <c r="D105">
        <v>15430395</v>
      </c>
      <c r="E105">
        <v>1</v>
      </c>
      <c r="F105">
        <v>1</v>
      </c>
      <c r="G105">
        <v>1</v>
      </c>
      <c r="H105">
        <v>1</v>
      </c>
      <c r="I105" t="s">
        <v>250</v>
      </c>
      <c r="J105" t="s">
        <v>4</v>
      </c>
      <c r="K105" t="s">
        <v>251</v>
      </c>
      <c r="L105">
        <v>1191</v>
      </c>
      <c r="N105">
        <v>1013</v>
      </c>
      <c r="O105" t="s">
        <v>249</v>
      </c>
      <c r="P105" t="s">
        <v>249</v>
      </c>
      <c r="Q105">
        <v>1</v>
      </c>
      <c r="X105">
        <v>0.17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2</v>
      </c>
      <c r="AF105" t="s">
        <v>29</v>
      </c>
      <c r="AG105">
        <v>0.21250000000000002</v>
      </c>
      <c r="AH105">
        <v>2</v>
      </c>
      <c r="AI105">
        <v>16501108</v>
      </c>
      <c r="AJ105">
        <v>103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ROW(Source!A63)</f>
        <v>63</v>
      </c>
      <c r="B106">
        <v>16501109</v>
      </c>
      <c r="C106">
        <v>16501106</v>
      </c>
      <c r="D106">
        <v>15247970</v>
      </c>
      <c r="E106">
        <v>1</v>
      </c>
      <c r="F106">
        <v>1</v>
      </c>
      <c r="G106">
        <v>1</v>
      </c>
      <c r="H106">
        <v>2</v>
      </c>
      <c r="I106" t="s">
        <v>258</v>
      </c>
      <c r="J106" t="s">
        <v>259</v>
      </c>
      <c r="K106" t="s">
        <v>260</v>
      </c>
      <c r="L106">
        <v>1368</v>
      </c>
      <c r="N106">
        <v>1011</v>
      </c>
      <c r="O106" t="s">
        <v>255</v>
      </c>
      <c r="P106" t="s">
        <v>255</v>
      </c>
      <c r="Q106">
        <v>1</v>
      </c>
      <c r="X106">
        <v>0.02</v>
      </c>
      <c r="Y106">
        <v>0</v>
      </c>
      <c r="Z106">
        <v>27.66</v>
      </c>
      <c r="AA106">
        <v>11.6</v>
      </c>
      <c r="AB106">
        <v>0</v>
      </c>
      <c r="AC106">
        <v>0</v>
      </c>
      <c r="AD106">
        <v>1</v>
      </c>
      <c r="AE106">
        <v>0</v>
      </c>
      <c r="AF106" t="s">
        <v>29</v>
      </c>
      <c r="AG106">
        <v>2.5000000000000001E-2</v>
      </c>
      <c r="AH106">
        <v>2</v>
      </c>
      <c r="AI106">
        <v>16501109</v>
      </c>
      <c r="AJ106">
        <v>104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ROW(Source!A63)</f>
        <v>63</v>
      </c>
      <c r="B107">
        <v>16501110</v>
      </c>
      <c r="C107">
        <v>16501106</v>
      </c>
      <c r="D107">
        <v>15249073</v>
      </c>
      <c r="E107">
        <v>1</v>
      </c>
      <c r="F107">
        <v>1</v>
      </c>
      <c r="G107">
        <v>1</v>
      </c>
      <c r="H107">
        <v>2</v>
      </c>
      <c r="I107" t="s">
        <v>261</v>
      </c>
      <c r="J107" t="s">
        <v>262</v>
      </c>
      <c r="K107" t="s">
        <v>263</v>
      </c>
      <c r="L107">
        <v>1368</v>
      </c>
      <c r="N107">
        <v>1011</v>
      </c>
      <c r="O107" t="s">
        <v>255</v>
      </c>
      <c r="P107" t="s">
        <v>255</v>
      </c>
      <c r="Q107">
        <v>1</v>
      </c>
      <c r="X107">
        <v>0.15</v>
      </c>
      <c r="Y107">
        <v>0</v>
      </c>
      <c r="Z107">
        <v>65.709999999999994</v>
      </c>
      <c r="AA107">
        <v>11.6</v>
      </c>
      <c r="AB107">
        <v>0</v>
      </c>
      <c r="AC107">
        <v>0</v>
      </c>
      <c r="AD107">
        <v>1</v>
      </c>
      <c r="AE107">
        <v>0</v>
      </c>
      <c r="AF107" t="s">
        <v>29</v>
      </c>
      <c r="AG107">
        <v>0.1875</v>
      </c>
      <c r="AH107">
        <v>2</v>
      </c>
      <c r="AI107">
        <v>16501110</v>
      </c>
      <c r="AJ107">
        <v>105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ROW(Source!A63)</f>
        <v>63</v>
      </c>
      <c r="B108">
        <v>16501111</v>
      </c>
      <c r="C108">
        <v>16501106</v>
      </c>
      <c r="D108">
        <v>15170682</v>
      </c>
      <c r="E108">
        <v>1</v>
      </c>
      <c r="F108">
        <v>1</v>
      </c>
      <c r="G108">
        <v>1</v>
      </c>
      <c r="H108">
        <v>3</v>
      </c>
      <c r="I108" t="s">
        <v>297</v>
      </c>
      <c r="J108" t="s">
        <v>298</v>
      </c>
      <c r="K108" t="s">
        <v>299</v>
      </c>
      <c r="L108">
        <v>1327</v>
      </c>
      <c r="N108">
        <v>1005</v>
      </c>
      <c r="O108" t="s">
        <v>50</v>
      </c>
      <c r="P108" t="s">
        <v>50</v>
      </c>
      <c r="Q108">
        <v>1</v>
      </c>
      <c r="X108">
        <v>0.84</v>
      </c>
      <c r="Y108">
        <v>72.319999999999993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4</v>
      </c>
      <c r="AG108">
        <v>0.84</v>
      </c>
      <c r="AH108">
        <v>2</v>
      </c>
      <c r="AI108">
        <v>16501111</v>
      </c>
      <c r="AJ108">
        <v>106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ROW(Source!A63)</f>
        <v>63</v>
      </c>
      <c r="B109">
        <v>16501112</v>
      </c>
      <c r="C109">
        <v>16501106</v>
      </c>
      <c r="D109">
        <v>15171018</v>
      </c>
      <c r="E109">
        <v>1</v>
      </c>
      <c r="F109">
        <v>1</v>
      </c>
      <c r="G109">
        <v>1</v>
      </c>
      <c r="H109">
        <v>3</v>
      </c>
      <c r="I109" t="s">
        <v>277</v>
      </c>
      <c r="J109" t="s">
        <v>278</v>
      </c>
      <c r="K109" t="s">
        <v>279</v>
      </c>
      <c r="L109">
        <v>1346</v>
      </c>
      <c r="N109">
        <v>1009</v>
      </c>
      <c r="O109" t="s">
        <v>274</v>
      </c>
      <c r="P109" t="s">
        <v>274</v>
      </c>
      <c r="Q109">
        <v>1</v>
      </c>
      <c r="X109">
        <v>0.31</v>
      </c>
      <c r="Y109">
        <v>1.82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4</v>
      </c>
      <c r="AG109">
        <v>0.31</v>
      </c>
      <c r="AH109">
        <v>2</v>
      </c>
      <c r="AI109">
        <v>16501112</v>
      </c>
      <c r="AJ109">
        <v>107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ROW(Source!A63)</f>
        <v>63</v>
      </c>
      <c r="B110">
        <v>16501113</v>
      </c>
      <c r="C110">
        <v>16501106</v>
      </c>
      <c r="D110">
        <v>15163055</v>
      </c>
      <c r="E110">
        <v>17</v>
      </c>
      <c r="F110">
        <v>1</v>
      </c>
      <c r="G110">
        <v>1</v>
      </c>
      <c r="H110">
        <v>3</v>
      </c>
      <c r="I110" t="s">
        <v>320</v>
      </c>
      <c r="J110" t="s">
        <v>4</v>
      </c>
      <c r="K110" t="s">
        <v>321</v>
      </c>
      <c r="L110">
        <v>1348</v>
      </c>
      <c r="N110">
        <v>1009</v>
      </c>
      <c r="O110" t="s">
        <v>58</v>
      </c>
      <c r="P110" t="s">
        <v>58</v>
      </c>
      <c r="Q110">
        <v>1000</v>
      </c>
      <c r="X110">
        <v>0.03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4</v>
      </c>
      <c r="AG110">
        <v>0.03</v>
      </c>
      <c r="AH110">
        <v>3</v>
      </c>
      <c r="AI110">
        <v>-1</v>
      </c>
      <c r="AJ110" t="s">
        <v>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ROW(Source!A63)</f>
        <v>63</v>
      </c>
      <c r="B111">
        <v>16501114</v>
      </c>
      <c r="C111">
        <v>16501106</v>
      </c>
      <c r="D111">
        <v>15162572</v>
      </c>
      <c r="E111">
        <v>17</v>
      </c>
      <c r="F111">
        <v>1</v>
      </c>
      <c r="G111">
        <v>1</v>
      </c>
      <c r="H111">
        <v>3</v>
      </c>
      <c r="I111" t="s">
        <v>318</v>
      </c>
      <c r="J111" t="s">
        <v>4</v>
      </c>
      <c r="K111" t="s">
        <v>319</v>
      </c>
      <c r="L111">
        <v>1348</v>
      </c>
      <c r="N111">
        <v>1009</v>
      </c>
      <c r="O111" t="s">
        <v>58</v>
      </c>
      <c r="P111" t="s">
        <v>58</v>
      </c>
      <c r="Q111">
        <v>1000</v>
      </c>
      <c r="X111">
        <v>0.02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 t="s">
        <v>4</v>
      </c>
      <c r="AG111">
        <v>0.02</v>
      </c>
      <c r="AH111">
        <v>3</v>
      </c>
      <c r="AI111">
        <v>-1</v>
      </c>
      <c r="AJ111" t="s">
        <v>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ROW(Source!A63)</f>
        <v>63</v>
      </c>
      <c r="B112">
        <v>16501115</v>
      </c>
      <c r="C112">
        <v>16501106</v>
      </c>
      <c r="D112">
        <v>15204737</v>
      </c>
      <c r="E112">
        <v>1</v>
      </c>
      <c r="F112">
        <v>1</v>
      </c>
      <c r="G112">
        <v>1</v>
      </c>
      <c r="H112">
        <v>3</v>
      </c>
      <c r="I112" t="s">
        <v>300</v>
      </c>
      <c r="J112" t="s">
        <v>301</v>
      </c>
      <c r="K112" t="s">
        <v>302</v>
      </c>
      <c r="L112">
        <v>1348</v>
      </c>
      <c r="N112">
        <v>1009</v>
      </c>
      <c r="O112" t="s">
        <v>58</v>
      </c>
      <c r="P112" t="s">
        <v>58</v>
      </c>
      <c r="Q112">
        <v>1000</v>
      </c>
      <c r="X112">
        <v>5.0999999999999997E-2</v>
      </c>
      <c r="Y112">
        <v>11397.1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4</v>
      </c>
      <c r="AG112">
        <v>5.0999999999999997E-2</v>
      </c>
      <c r="AH112">
        <v>2</v>
      </c>
      <c r="AI112">
        <v>16501115</v>
      </c>
      <c r="AJ112">
        <v>110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ROW(Source!A68)</f>
        <v>68</v>
      </c>
      <c r="B113">
        <v>16501119</v>
      </c>
      <c r="C113">
        <v>16501118</v>
      </c>
      <c r="D113">
        <v>15436014</v>
      </c>
      <c r="E113">
        <v>1</v>
      </c>
      <c r="F113">
        <v>1</v>
      </c>
      <c r="G113">
        <v>1</v>
      </c>
      <c r="H113">
        <v>1</v>
      </c>
      <c r="I113" t="s">
        <v>295</v>
      </c>
      <c r="J113" t="s">
        <v>4</v>
      </c>
      <c r="K113" t="s">
        <v>296</v>
      </c>
      <c r="L113">
        <v>1191</v>
      </c>
      <c r="N113">
        <v>1013</v>
      </c>
      <c r="O113" t="s">
        <v>249</v>
      </c>
      <c r="P113" t="s">
        <v>249</v>
      </c>
      <c r="Q113">
        <v>1</v>
      </c>
      <c r="X113">
        <v>63</v>
      </c>
      <c r="Y113">
        <v>0</v>
      </c>
      <c r="Z113">
        <v>0</v>
      </c>
      <c r="AA113">
        <v>0</v>
      </c>
      <c r="AB113">
        <v>8.74</v>
      </c>
      <c r="AC113">
        <v>0</v>
      </c>
      <c r="AD113">
        <v>1</v>
      </c>
      <c r="AE113">
        <v>1</v>
      </c>
      <c r="AF113" t="s">
        <v>30</v>
      </c>
      <c r="AG113">
        <v>72.449999999999989</v>
      </c>
      <c r="AH113">
        <v>2</v>
      </c>
      <c r="AI113">
        <v>16501119</v>
      </c>
      <c r="AJ113">
        <v>111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ROW(Source!A68)</f>
        <v>68</v>
      </c>
      <c r="B114">
        <v>16501120</v>
      </c>
      <c r="C114">
        <v>16501118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250</v>
      </c>
      <c r="J114" t="s">
        <v>4</v>
      </c>
      <c r="K114" t="s">
        <v>251</v>
      </c>
      <c r="L114">
        <v>1191</v>
      </c>
      <c r="N114">
        <v>1013</v>
      </c>
      <c r="O114" t="s">
        <v>249</v>
      </c>
      <c r="P114" t="s">
        <v>249</v>
      </c>
      <c r="Q114">
        <v>1</v>
      </c>
      <c r="X114">
        <v>0.18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2</v>
      </c>
      <c r="AF114" t="s">
        <v>29</v>
      </c>
      <c r="AG114">
        <v>0.22499999999999998</v>
      </c>
      <c r="AH114">
        <v>2</v>
      </c>
      <c r="AI114">
        <v>16501120</v>
      </c>
      <c r="AJ114">
        <v>112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ROW(Source!A68)</f>
        <v>68</v>
      </c>
      <c r="B115">
        <v>16501121</v>
      </c>
      <c r="C115">
        <v>16501118</v>
      </c>
      <c r="D115">
        <v>15247970</v>
      </c>
      <c r="E115">
        <v>1</v>
      </c>
      <c r="F115">
        <v>1</v>
      </c>
      <c r="G115">
        <v>1</v>
      </c>
      <c r="H115">
        <v>2</v>
      </c>
      <c r="I115" t="s">
        <v>258</v>
      </c>
      <c r="J115" t="s">
        <v>259</v>
      </c>
      <c r="K115" t="s">
        <v>260</v>
      </c>
      <c r="L115">
        <v>1368</v>
      </c>
      <c r="N115">
        <v>1011</v>
      </c>
      <c r="O115" t="s">
        <v>255</v>
      </c>
      <c r="P115" t="s">
        <v>255</v>
      </c>
      <c r="Q115">
        <v>1</v>
      </c>
      <c r="X115">
        <v>0.02</v>
      </c>
      <c r="Y115">
        <v>0</v>
      </c>
      <c r="Z115">
        <v>27.66</v>
      </c>
      <c r="AA115">
        <v>11.6</v>
      </c>
      <c r="AB115">
        <v>0</v>
      </c>
      <c r="AC115">
        <v>0</v>
      </c>
      <c r="AD115">
        <v>1</v>
      </c>
      <c r="AE115">
        <v>0</v>
      </c>
      <c r="AF115" t="s">
        <v>29</v>
      </c>
      <c r="AG115">
        <v>2.5000000000000001E-2</v>
      </c>
      <c r="AH115">
        <v>2</v>
      </c>
      <c r="AI115">
        <v>16501121</v>
      </c>
      <c r="AJ115">
        <v>113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ROW(Source!A68)</f>
        <v>68</v>
      </c>
      <c r="B116">
        <v>16501122</v>
      </c>
      <c r="C116">
        <v>16501118</v>
      </c>
      <c r="D116">
        <v>15249073</v>
      </c>
      <c r="E116">
        <v>1</v>
      </c>
      <c r="F116">
        <v>1</v>
      </c>
      <c r="G116">
        <v>1</v>
      </c>
      <c r="H116">
        <v>2</v>
      </c>
      <c r="I116" t="s">
        <v>261</v>
      </c>
      <c r="J116" t="s">
        <v>262</v>
      </c>
      <c r="K116" t="s">
        <v>263</v>
      </c>
      <c r="L116">
        <v>1368</v>
      </c>
      <c r="N116">
        <v>1011</v>
      </c>
      <c r="O116" t="s">
        <v>255</v>
      </c>
      <c r="P116" t="s">
        <v>255</v>
      </c>
      <c r="Q116">
        <v>1</v>
      </c>
      <c r="X116">
        <v>0.16</v>
      </c>
      <c r="Y116">
        <v>0</v>
      </c>
      <c r="Z116">
        <v>65.709999999999994</v>
      </c>
      <c r="AA116">
        <v>11.6</v>
      </c>
      <c r="AB116">
        <v>0</v>
      </c>
      <c r="AC116">
        <v>0</v>
      </c>
      <c r="AD116">
        <v>1</v>
      </c>
      <c r="AE116">
        <v>0</v>
      </c>
      <c r="AF116" t="s">
        <v>29</v>
      </c>
      <c r="AG116">
        <v>0.2</v>
      </c>
      <c r="AH116">
        <v>2</v>
      </c>
      <c r="AI116">
        <v>16501122</v>
      </c>
      <c r="AJ116">
        <v>114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ROW(Source!A68)</f>
        <v>68</v>
      </c>
      <c r="B117">
        <v>16501123</v>
      </c>
      <c r="C117">
        <v>16501118</v>
      </c>
      <c r="D117">
        <v>15170682</v>
      </c>
      <c r="E117">
        <v>1</v>
      </c>
      <c r="F117">
        <v>1</v>
      </c>
      <c r="G117">
        <v>1</v>
      </c>
      <c r="H117">
        <v>3</v>
      </c>
      <c r="I117" t="s">
        <v>297</v>
      </c>
      <c r="J117" t="s">
        <v>298</v>
      </c>
      <c r="K117" t="s">
        <v>299</v>
      </c>
      <c r="L117">
        <v>1327</v>
      </c>
      <c r="N117">
        <v>1005</v>
      </c>
      <c r="O117" t="s">
        <v>50</v>
      </c>
      <c r="P117" t="s">
        <v>50</v>
      </c>
      <c r="Q117">
        <v>1</v>
      </c>
      <c r="X117">
        <v>0.84</v>
      </c>
      <c r="Y117">
        <v>72.319999999999993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4</v>
      </c>
      <c r="AG117">
        <v>0.84</v>
      </c>
      <c r="AH117">
        <v>2</v>
      </c>
      <c r="AI117">
        <v>16501123</v>
      </c>
      <c r="AJ117">
        <v>115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ROW(Source!A68)</f>
        <v>68</v>
      </c>
      <c r="B118">
        <v>16501124</v>
      </c>
      <c r="C118">
        <v>16501118</v>
      </c>
      <c r="D118">
        <v>15171018</v>
      </c>
      <c r="E118">
        <v>1</v>
      </c>
      <c r="F118">
        <v>1</v>
      </c>
      <c r="G118">
        <v>1</v>
      </c>
      <c r="H118">
        <v>3</v>
      </c>
      <c r="I118" t="s">
        <v>277</v>
      </c>
      <c r="J118" t="s">
        <v>278</v>
      </c>
      <c r="K118" t="s">
        <v>279</v>
      </c>
      <c r="L118">
        <v>1346</v>
      </c>
      <c r="N118">
        <v>1009</v>
      </c>
      <c r="O118" t="s">
        <v>274</v>
      </c>
      <c r="P118" t="s">
        <v>274</v>
      </c>
      <c r="Q118">
        <v>1</v>
      </c>
      <c r="X118">
        <v>0.31</v>
      </c>
      <c r="Y118">
        <v>1.82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4</v>
      </c>
      <c r="AG118">
        <v>0.31</v>
      </c>
      <c r="AH118">
        <v>2</v>
      </c>
      <c r="AI118">
        <v>16501124</v>
      </c>
      <c r="AJ118">
        <v>116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ROW(Source!A68)</f>
        <v>68</v>
      </c>
      <c r="B119">
        <v>16501125</v>
      </c>
      <c r="C119">
        <v>16501118</v>
      </c>
      <c r="D119">
        <v>15163055</v>
      </c>
      <c r="E119">
        <v>17</v>
      </c>
      <c r="F119">
        <v>1</v>
      </c>
      <c r="G119">
        <v>1</v>
      </c>
      <c r="H119">
        <v>3</v>
      </c>
      <c r="I119" t="s">
        <v>320</v>
      </c>
      <c r="J119" t="s">
        <v>4</v>
      </c>
      <c r="K119" t="s">
        <v>321</v>
      </c>
      <c r="L119">
        <v>1348</v>
      </c>
      <c r="N119">
        <v>1009</v>
      </c>
      <c r="O119" t="s">
        <v>58</v>
      </c>
      <c r="P119" t="s">
        <v>58</v>
      </c>
      <c r="Q119">
        <v>1000</v>
      </c>
      <c r="X119">
        <v>3.3000000000000002E-2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4</v>
      </c>
      <c r="AG119">
        <v>3.3000000000000002E-2</v>
      </c>
      <c r="AH119">
        <v>3</v>
      </c>
      <c r="AI119">
        <v>-1</v>
      </c>
      <c r="AJ119" t="s">
        <v>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ROW(Source!A68)</f>
        <v>68</v>
      </c>
      <c r="B120">
        <v>16501126</v>
      </c>
      <c r="C120">
        <v>16501118</v>
      </c>
      <c r="D120">
        <v>15162572</v>
      </c>
      <c r="E120">
        <v>17</v>
      </c>
      <c r="F120">
        <v>1</v>
      </c>
      <c r="G120">
        <v>1</v>
      </c>
      <c r="H120">
        <v>3</v>
      </c>
      <c r="I120" t="s">
        <v>318</v>
      </c>
      <c r="J120" t="s">
        <v>4</v>
      </c>
      <c r="K120" t="s">
        <v>319</v>
      </c>
      <c r="L120">
        <v>1348</v>
      </c>
      <c r="N120">
        <v>1009</v>
      </c>
      <c r="O120" t="s">
        <v>58</v>
      </c>
      <c r="P120" t="s">
        <v>58</v>
      </c>
      <c r="Q120">
        <v>1000</v>
      </c>
      <c r="X120">
        <v>2.1999999999999999E-2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 t="s">
        <v>4</v>
      </c>
      <c r="AG120">
        <v>2.1999999999999999E-2</v>
      </c>
      <c r="AH120">
        <v>3</v>
      </c>
      <c r="AI120">
        <v>-1</v>
      </c>
      <c r="AJ120" t="s">
        <v>4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ROW(Source!A68)</f>
        <v>68</v>
      </c>
      <c r="B121">
        <v>16501127</v>
      </c>
      <c r="C121">
        <v>16501118</v>
      </c>
      <c r="D121">
        <v>15204737</v>
      </c>
      <c r="E121">
        <v>1</v>
      </c>
      <c r="F121">
        <v>1</v>
      </c>
      <c r="G121">
        <v>1</v>
      </c>
      <c r="H121">
        <v>3</v>
      </c>
      <c r="I121" t="s">
        <v>300</v>
      </c>
      <c r="J121" t="s">
        <v>301</v>
      </c>
      <c r="K121" t="s">
        <v>302</v>
      </c>
      <c r="L121">
        <v>1348</v>
      </c>
      <c r="N121">
        <v>1009</v>
      </c>
      <c r="O121" t="s">
        <v>58</v>
      </c>
      <c r="P121" t="s">
        <v>58</v>
      </c>
      <c r="Q121">
        <v>1000</v>
      </c>
      <c r="X121">
        <v>5.5E-2</v>
      </c>
      <c r="Y121">
        <v>11397.1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4</v>
      </c>
      <c r="AG121">
        <v>5.5E-2</v>
      </c>
      <c r="AH121">
        <v>2</v>
      </c>
      <c r="AI121">
        <v>16501127</v>
      </c>
      <c r="AJ121">
        <v>119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ROW(Source!A69)</f>
        <v>69</v>
      </c>
      <c r="B122">
        <v>16501119</v>
      </c>
      <c r="C122">
        <v>16501118</v>
      </c>
      <c r="D122">
        <v>15436014</v>
      </c>
      <c r="E122">
        <v>1</v>
      </c>
      <c r="F122">
        <v>1</v>
      </c>
      <c r="G122">
        <v>1</v>
      </c>
      <c r="H122">
        <v>1</v>
      </c>
      <c r="I122" t="s">
        <v>295</v>
      </c>
      <c r="J122" t="s">
        <v>4</v>
      </c>
      <c r="K122" t="s">
        <v>296</v>
      </c>
      <c r="L122">
        <v>1191</v>
      </c>
      <c r="N122">
        <v>1013</v>
      </c>
      <c r="O122" t="s">
        <v>249</v>
      </c>
      <c r="P122" t="s">
        <v>249</v>
      </c>
      <c r="Q122">
        <v>1</v>
      </c>
      <c r="X122">
        <v>63</v>
      </c>
      <c r="Y122">
        <v>0</v>
      </c>
      <c r="Z122">
        <v>0</v>
      </c>
      <c r="AA122">
        <v>0</v>
      </c>
      <c r="AB122">
        <v>8.74</v>
      </c>
      <c r="AC122">
        <v>0</v>
      </c>
      <c r="AD122">
        <v>1</v>
      </c>
      <c r="AE122">
        <v>1</v>
      </c>
      <c r="AF122" t="s">
        <v>30</v>
      </c>
      <c r="AG122">
        <v>72.449999999999989</v>
      </c>
      <c r="AH122">
        <v>2</v>
      </c>
      <c r="AI122">
        <v>16501119</v>
      </c>
      <c r="AJ122">
        <v>120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ROW(Source!A69)</f>
        <v>69</v>
      </c>
      <c r="B123">
        <v>16501120</v>
      </c>
      <c r="C123">
        <v>16501118</v>
      </c>
      <c r="D123">
        <v>15430395</v>
      </c>
      <c r="E123">
        <v>1</v>
      </c>
      <c r="F123">
        <v>1</v>
      </c>
      <c r="G123">
        <v>1</v>
      </c>
      <c r="H123">
        <v>1</v>
      </c>
      <c r="I123" t="s">
        <v>250</v>
      </c>
      <c r="J123" t="s">
        <v>4</v>
      </c>
      <c r="K123" t="s">
        <v>251</v>
      </c>
      <c r="L123">
        <v>1191</v>
      </c>
      <c r="N123">
        <v>1013</v>
      </c>
      <c r="O123" t="s">
        <v>249</v>
      </c>
      <c r="P123" t="s">
        <v>249</v>
      </c>
      <c r="Q123">
        <v>1</v>
      </c>
      <c r="X123">
        <v>0.18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2</v>
      </c>
      <c r="AF123" t="s">
        <v>29</v>
      </c>
      <c r="AG123">
        <v>0.22499999999999998</v>
      </c>
      <c r="AH123">
        <v>2</v>
      </c>
      <c r="AI123">
        <v>16501120</v>
      </c>
      <c r="AJ123">
        <v>121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ROW(Source!A69)</f>
        <v>69</v>
      </c>
      <c r="B124">
        <v>16501121</v>
      </c>
      <c r="C124">
        <v>16501118</v>
      </c>
      <c r="D124">
        <v>15247970</v>
      </c>
      <c r="E124">
        <v>1</v>
      </c>
      <c r="F124">
        <v>1</v>
      </c>
      <c r="G124">
        <v>1</v>
      </c>
      <c r="H124">
        <v>2</v>
      </c>
      <c r="I124" t="s">
        <v>258</v>
      </c>
      <c r="J124" t="s">
        <v>259</v>
      </c>
      <c r="K124" t="s">
        <v>260</v>
      </c>
      <c r="L124">
        <v>1368</v>
      </c>
      <c r="N124">
        <v>1011</v>
      </c>
      <c r="O124" t="s">
        <v>255</v>
      </c>
      <c r="P124" t="s">
        <v>255</v>
      </c>
      <c r="Q124">
        <v>1</v>
      </c>
      <c r="X124">
        <v>0.02</v>
      </c>
      <c r="Y124">
        <v>0</v>
      </c>
      <c r="Z124">
        <v>27.66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29</v>
      </c>
      <c r="AG124">
        <v>2.5000000000000001E-2</v>
      </c>
      <c r="AH124">
        <v>2</v>
      </c>
      <c r="AI124">
        <v>16501121</v>
      </c>
      <c r="AJ124">
        <v>122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ROW(Source!A69)</f>
        <v>69</v>
      </c>
      <c r="B125">
        <v>16501122</v>
      </c>
      <c r="C125">
        <v>16501118</v>
      </c>
      <c r="D125">
        <v>15249073</v>
      </c>
      <c r="E125">
        <v>1</v>
      </c>
      <c r="F125">
        <v>1</v>
      </c>
      <c r="G125">
        <v>1</v>
      </c>
      <c r="H125">
        <v>2</v>
      </c>
      <c r="I125" t="s">
        <v>261</v>
      </c>
      <c r="J125" t="s">
        <v>262</v>
      </c>
      <c r="K125" t="s">
        <v>263</v>
      </c>
      <c r="L125">
        <v>1368</v>
      </c>
      <c r="N125">
        <v>1011</v>
      </c>
      <c r="O125" t="s">
        <v>255</v>
      </c>
      <c r="P125" t="s">
        <v>255</v>
      </c>
      <c r="Q125">
        <v>1</v>
      </c>
      <c r="X125">
        <v>0.16</v>
      </c>
      <c r="Y125">
        <v>0</v>
      </c>
      <c r="Z125">
        <v>65.709999999999994</v>
      </c>
      <c r="AA125">
        <v>11.6</v>
      </c>
      <c r="AB125">
        <v>0</v>
      </c>
      <c r="AC125">
        <v>0</v>
      </c>
      <c r="AD125">
        <v>1</v>
      </c>
      <c r="AE125">
        <v>0</v>
      </c>
      <c r="AF125" t="s">
        <v>29</v>
      </c>
      <c r="AG125">
        <v>0.2</v>
      </c>
      <c r="AH125">
        <v>2</v>
      </c>
      <c r="AI125">
        <v>16501122</v>
      </c>
      <c r="AJ125">
        <v>123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ROW(Source!A69)</f>
        <v>69</v>
      </c>
      <c r="B126">
        <v>16501123</v>
      </c>
      <c r="C126">
        <v>16501118</v>
      </c>
      <c r="D126">
        <v>15170682</v>
      </c>
      <c r="E126">
        <v>1</v>
      </c>
      <c r="F126">
        <v>1</v>
      </c>
      <c r="G126">
        <v>1</v>
      </c>
      <c r="H126">
        <v>3</v>
      </c>
      <c r="I126" t="s">
        <v>297</v>
      </c>
      <c r="J126" t="s">
        <v>298</v>
      </c>
      <c r="K126" t="s">
        <v>299</v>
      </c>
      <c r="L126">
        <v>1327</v>
      </c>
      <c r="N126">
        <v>1005</v>
      </c>
      <c r="O126" t="s">
        <v>50</v>
      </c>
      <c r="P126" t="s">
        <v>50</v>
      </c>
      <c r="Q126">
        <v>1</v>
      </c>
      <c r="X126">
        <v>0.84</v>
      </c>
      <c r="Y126">
        <v>72.319999999999993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4</v>
      </c>
      <c r="AG126">
        <v>0.84</v>
      </c>
      <c r="AH126">
        <v>2</v>
      </c>
      <c r="AI126">
        <v>16501123</v>
      </c>
      <c r="AJ126">
        <v>124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ROW(Source!A69)</f>
        <v>69</v>
      </c>
      <c r="B127">
        <v>16501124</v>
      </c>
      <c r="C127">
        <v>16501118</v>
      </c>
      <c r="D127">
        <v>15171018</v>
      </c>
      <c r="E127">
        <v>1</v>
      </c>
      <c r="F127">
        <v>1</v>
      </c>
      <c r="G127">
        <v>1</v>
      </c>
      <c r="H127">
        <v>3</v>
      </c>
      <c r="I127" t="s">
        <v>277</v>
      </c>
      <c r="J127" t="s">
        <v>278</v>
      </c>
      <c r="K127" t="s">
        <v>279</v>
      </c>
      <c r="L127">
        <v>1346</v>
      </c>
      <c r="N127">
        <v>1009</v>
      </c>
      <c r="O127" t="s">
        <v>274</v>
      </c>
      <c r="P127" t="s">
        <v>274</v>
      </c>
      <c r="Q127">
        <v>1</v>
      </c>
      <c r="X127">
        <v>0.31</v>
      </c>
      <c r="Y127">
        <v>1.82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4</v>
      </c>
      <c r="AG127">
        <v>0.31</v>
      </c>
      <c r="AH127">
        <v>2</v>
      </c>
      <c r="AI127">
        <v>16501124</v>
      </c>
      <c r="AJ127">
        <v>125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ROW(Source!A69)</f>
        <v>69</v>
      </c>
      <c r="B128">
        <v>16501125</v>
      </c>
      <c r="C128">
        <v>16501118</v>
      </c>
      <c r="D128">
        <v>15163055</v>
      </c>
      <c r="E128">
        <v>17</v>
      </c>
      <c r="F128">
        <v>1</v>
      </c>
      <c r="G128">
        <v>1</v>
      </c>
      <c r="H128">
        <v>3</v>
      </c>
      <c r="I128" t="s">
        <v>320</v>
      </c>
      <c r="J128" t="s">
        <v>4</v>
      </c>
      <c r="K128" t="s">
        <v>321</v>
      </c>
      <c r="L128">
        <v>1348</v>
      </c>
      <c r="N128">
        <v>1009</v>
      </c>
      <c r="O128" t="s">
        <v>58</v>
      </c>
      <c r="P128" t="s">
        <v>58</v>
      </c>
      <c r="Q128">
        <v>1000</v>
      </c>
      <c r="X128">
        <v>3.3000000000000002E-2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4</v>
      </c>
      <c r="AG128">
        <v>3.3000000000000002E-2</v>
      </c>
      <c r="AH128">
        <v>3</v>
      </c>
      <c r="AI128">
        <v>-1</v>
      </c>
      <c r="AJ128" t="s">
        <v>4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ROW(Source!A69)</f>
        <v>69</v>
      </c>
      <c r="B129">
        <v>16501126</v>
      </c>
      <c r="C129">
        <v>16501118</v>
      </c>
      <c r="D129">
        <v>15162572</v>
      </c>
      <c r="E129">
        <v>17</v>
      </c>
      <c r="F129">
        <v>1</v>
      </c>
      <c r="G129">
        <v>1</v>
      </c>
      <c r="H129">
        <v>3</v>
      </c>
      <c r="I129" t="s">
        <v>318</v>
      </c>
      <c r="J129" t="s">
        <v>4</v>
      </c>
      <c r="K129" t="s">
        <v>319</v>
      </c>
      <c r="L129">
        <v>1348</v>
      </c>
      <c r="N129">
        <v>1009</v>
      </c>
      <c r="O129" t="s">
        <v>58</v>
      </c>
      <c r="P129" t="s">
        <v>58</v>
      </c>
      <c r="Q129">
        <v>1000</v>
      </c>
      <c r="X129">
        <v>2.1999999999999999E-2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 t="s">
        <v>4</v>
      </c>
      <c r="AG129">
        <v>2.1999999999999999E-2</v>
      </c>
      <c r="AH129">
        <v>3</v>
      </c>
      <c r="AI129">
        <v>-1</v>
      </c>
      <c r="AJ129" t="s">
        <v>4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ROW(Source!A69)</f>
        <v>69</v>
      </c>
      <c r="B130">
        <v>16501127</v>
      </c>
      <c r="C130">
        <v>16501118</v>
      </c>
      <c r="D130">
        <v>15204737</v>
      </c>
      <c r="E130">
        <v>1</v>
      </c>
      <c r="F130">
        <v>1</v>
      </c>
      <c r="G130">
        <v>1</v>
      </c>
      <c r="H130">
        <v>3</v>
      </c>
      <c r="I130" t="s">
        <v>300</v>
      </c>
      <c r="J130" t="s">
        <v>301</v>
      </c>
      <c r="K130" t="s">
        <v>302</v>
      </c>
      <c r="L130">
        <v>1348</v>
      </c>
      <c r="N130">
        <v>1009</v>
      </c>
      <c r="O130" t="s">
        <v>58</v>
      </c>
      <c r="P130" t="s">
        <v>58</v>
      </c>
      <c r="Q130">
        <v>1000</v>
      </c>
      <c r="X130">
        <v>5.5E-2</v>
      </c>
      <c r="Y130">
        <v>11397.1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4</v>
      </c>
      <c r="AG130">
        <v>5.5E-2</v>
      </c>
      <c r="AH130">
        <v>2</v>
      </c>
      <c r="AI130">
        <v>16501127</v>
      </c>
      <c r="AJ130">
        <v>128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user</cp:lastModifiedBy>
  <cp:lastPrinted>2018-07-02T12:40:28Z</cp:lastPrinted>
  <dcterms:created xsi:type="dcterms:W3CDTF">2018-05-10T13:51:33Z</dcterms:created>
  <dcterms:modified xsi:type="dcterms:W3CDTF">2018-07-18T13:36:45Z</dcterms:modified>
</cp:coreProperties>
</file>