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4"/>
  </bookViews>
  <sheets>
    <sheet name="23727" sheetId="55" r:id="rId1"/>
    <sheet name="23857" sheetId="56" r:id="rId2"/>
    <sheet name="23938" sheetId="57" r:id="rId3"/>
    <sheet name="24221" sheetId="58" r:id="rId4"/>
    <sheet name="24289" sheetId="59" r:id="rId5"/>
    <sheet name="24659" sheetId="60" r:id="rId6"/>
    <sheet name="24671" sheetId="61" r:id="rId7"/>
    <sheet name="24715" sheetId="62" r:id="rId8"/>
    <sheet name="24780" sheetId="63" r:id="rId9"/>
    <sheet name="24798" sheetId="64" r:id="rId10"/>
    <sheet name="24817" sheetId="66" r:id="rId11"/>
    <sheet name="24865" sheetId="65" r:id="rId12"/>
    <sheet name="24903" sheetId="67" r:id="rId13"/>
    <sheet name="НМЦ" sheetId="7" r:id="rId14"/>
    <sheet name="Сводка затрат" sheetId="25" r:id="rId15"/>
  </sheets>
  <externalReferences>
    <externalReference r:id="rId16"/>
  </externalReferences>
  <definedNames>
    <definedName name="Constr" localSheetId="0">'23727'!$A$1</definedName>
    <definedName name="Constr" localSheetId="1">'23857'!$A$7</definedName>
    <definedName name="Constr" localSheetId="2">'23938'!$A$1</definedName>
    <definedName name="Constr" localSheetId="3">'24221'!$A$7</definedName>
    <definedName name="Constr" localSheetId="4">'24289'!$A$7</definedName>
    <definedName name="Constr" localSheetId="5">'24659'!$A$1</definedName>
    <definedName name="Constr" localSheetId="6">'24671'!$A$1</definedName>
    <definedName name="Constr" localSheetId="7">'24715'!$A$1</definedName>
    <definedName name="Constr" localSheetId="8">'24780'!$A$1</definedName>
    <definedName name="Constr" localSheetId="9">'24798'!$A$1</definedName>
    <definedName name="Constr" localSheetId="10">'24817'!$A$1</definedName>
    <definedName name="Constr" localSheetId="11">'24865'!$A$1</definedName>
    <definedName name="Constr" localSheetId="12">'24903'!$A$1</definedName>
    <definedName name="FOT" localSheetId="0">'23727'!$D$17</definedName>
    <definedName name="FOT" localSheetId="1">'23857'!$D$17</definedName>
    <definedName name="FOT" localSheetId="2">'23938'!$D$17</definedName>
    <definedName name="FOT" localSheetId="3">'24221'!$D$15</definedName>
    <definedName name="FOT" localSheetId="4">'24289'!$D$17</definedName>
    <definedName name="FOT" localSheetId="5">'24659'!$D$18</definedName>
    <definedName name="FOT" localSheetId="6">'24671'!$D$18</definedName>
    <definedName name="FOT" localSheetId="7">'24715'!$D$18</definedName>
    <definedName name="FOT" localSheetId="8">'24780'!$D$18</definedName>
    <definedName name="FOT" localSheetId="9">'24798'!$D$18</definedName>
    <definedName name="FOT" localSheetId="10">'24817'!$D$18</definedName>
    <definedName name="FOT" localSheetId="11">'24865'!$D$18</definedName>
    <definedName name="FOT" localSheetId="12">'24903'!$D$18</definedName>
    <definedName name="Ind" localSheetId="0">'23727'!$G$9</definedName>
    <definedName name="Ind" localSheetId="1">'23857'!$H$9</definedName>
    <definedName name="Ind" localSheetId="2">'23938'!#REF!</definedName>
    <definedName name="Ind" localSheetId="3">'24221'!$H$9</definedName>
    <definedName name="Ind" localSheetId="4">'24289'!$H$9</definedName>
    <definedName name="Ind" localSheetId="5">'24659'!$G$9</definedName>
    <definedName name="Ind" localSheetId="6">'24671'!$G$9</definedName>
    <definedName name="Ind" localSheetId="7">'24715'!$G$9</definedName>
    <definedName name="Ind" localSheetId="8">'24780'!$G$9</definedName>
    <definedName name="Ind" localSheetId="9">'24798'!$G$9</definedName>
    <definedName name="Ind" localSheetId="10">'24817'!$G$9</definedName>
    <definedName name="Ind" localSheetId="11">'24865'!$G$9</definedName>
    <definedName name="Ind" localSheetId="12">'24903'!$G$9</definedName>
    <definedName name="Obj" localSheetId="0">'23727'!$D$11</definedName>
    <definedName name="Obj" localSheetId="1">'23857'!#REF!</definedName>
    <definedName name="Obj" localSheetId="2">'23938'!$D$10</definedName>
    <definedName name="Obj" localSheetId="3">'24221'!#REF!</definedName>
    <definedName name="Obj" localSheetId="4">'24289'!#REF!</definedName>
    <definedName name="Obj" localSheetId="5">'24659'!#REF!</definedName>
    <definedName name="Obj" localSheetId="6">'24671'!#REF!</definedName>
    <definedName name="Obj" localSheetId="7">'24715'!#REF!</definedName>
    <definedName name="Obj" localSheetId="8">'24780'!#REF!</definedName>
    <definedName name="Obj" localSheetId="9">'24798'!#REF!</definedName>
    <definedName name="Obj" localSheetId="10">'24817'!#REF!</definedName>
    <definedName name="Obj" localSheetId="11">'24865'!$D$11</definedName>
    <definedName name="Obj" localSheetId="12">'24903'!#REF!</definedName>
    <definedName name="Obosn" localSheetId="0">'23727'!$D$12</definedName>
    <definedName name="Obosn" localSheetId="1">'23857'!$D$13</definedName>
    <definedName name="Obosn" localSheetId="2">'23938'!$D$13</definedName>
    <definedName name="Obosn" localSheetId="3">'24221'!$D$13</definedName>
    <definedName name="Obosn" localSheetId="4">'24289'!$D$13</definedName>
    <definedName name="Obosn" localSheetId="5">'24659'!$D$13</definedName>
    <definedName name="Obosn" localSheetId="6">'24671'!$D$13</definedName>
    <definedName name="Obosn" localSheetId="7">'24715'!$D$13</definedName>
    <definedName name="Obosn" localSheetId="8">'24780'!$D$13</definedName>
    <definedName name="Obosn" localSheetId="9">'24798'!$D$13</definedName>
    <definedName name="Obosn" localSheetId="10">'24817'!$D$13</definedName>
    <definedName name="Obosn" localSheetId="11">'24865'!$D$12</definedName>
    <definedName name="Obosn" localSheetId="12">'24903'!$D$13</definedName>
    <definedName name="SmPr" localSheetId="0">'23727'!$D$13</definedName>
    <definedName name="SmPr" localSheetId="1">'23857'!$D$14</definedName>
    <definedName name="SmPr" localSheetId="2">'23938'!$D$14</definedName>
    <definedName name="SmPr" localSheetId="3">'24221'!$D$14</definedName>
    <definedName name="SmPr" localSheetId="4">'24289'!$D$14</definedName>
    <definedName name="SmPr" localSheetId="5">'24659'!$D$14</definedName>
    <definedName name="SmPr" localSheetId="6">'24671'!$D$14</definedName>
    <definedName name="SmPr" localSheetId="7">'24715'!$D$14</definedName>
    <definedName name="SmPr" localSheetId="8">'24780'!$D$14</definedName>
    <definedName name="SmPr" localSheetId="9">'24798'!$D$14</definedName>
    <definedName name="SmPr" localSheetId="10">'24817'!$D$14</definedName>
    <definedName name="SmPr" localSheetId="11">'24865'!$D$13</definedName>
    <definedName name="SmPr" localSheetId="12">'24903'!$D$14</definedName>
    <definedName name="аааааппппппрррппппппп" localSheetId="14">#REF!</definedName>
    <definedName name="аааааппппппрррппппппп">#REF!</definedName>
    <definedName name="аараооооооооооооо" localSheetId="14">#REF!</definedName>
    <definedName name="аараооооооооооооо">#REF!</definedName>
    <definedName name="автом" localSheetId="14">#REF!</definedName>
    <definedName name="автом">#REF!</definedName>
    <definedName name="алшрльоплварл" localSheetId="14">#REF!</definedName>
    <definedName name="алшрльоплварл">#REF!</definedName>
    <definedName name="аолвлддддддддддддддддввввввввв" localSheetId="14">#REF!</definedName>
    <definedName name="аолвлддддддддддддддддввввввввв">#REF!</definedName>
    <definedName name="апарв" localSheetId="14">#REF!</definedName>
    <definedName name="апарв">#REF!</definedName>
    <definedName name="апрлдджаоырыфрпопрлпрлпрлп" localSheetId="14">#REF!</definedName>
    <definedName name="апрлдджаоырыфрпопрлпрлпрлп">#REF!</definedName>
    <definedName name="арлггаджаш" localSheetId="14">#REF!</definedName>
    <definedName name="арлггаджаш">#REF!</definedName>
    <definedName name="ароррбллтблпроорапииас" localSheetId="14">#REF!</definedName>
    <definedName name="ароррбллтблпроорапииас">#REF!</definedName>
    <definedName name="арррррблллпдрлдддддддддд" localSheetId="14">#REF!</definedName>
    <definedName name="арррррблллпдрлдддддддддд">#REF!</definedName>
    <definedName name="варпаааааааааа" localSheetId="14">#REF!</definedName>
    <definedName name="варпаааааааааа">#REF!</definedName>
    <definedName name="ввпьььььлднд" localSheetId="14">#REF!</definedName>
    <definedName name="ввпьььььлднд">#REF!</definedName>
    <definedName name="вед" localSheetId="14">#REF!</definedName>
    <definedName name="вед">#REF!</definedName>
    <definedName name="вертикальная" localSheetId="14">#REF!</definedName>
    <definedName name="вертикальная">#REF!</definedName>
    <definedName name="вертикплан" localSheetId="14">#REF!</definedName>
    <definedName name="вертикплан">#REF!</definedName>
    <definedName name="волен" localSheetId="14">#REF!</definedName>
    <definedName name="волен">#REF!</definedName>
    <definedName name="вп" localSheetId="14">#REF!</definedName>
    <definedName name="вп">#REF!</definedName>
    <definedName name="впырпфдыпл" localSheetId="14">#REF!</definedName>
    <definedName name="впырпфдыпл">#REF!</definedName>
    <definedName name="впьглорьтитттттттттт" localSheetId="14">#REF!</definedName>
    <definedName name="впьглорьтитттттттттт">#REF!</definedName>
    <definedName name="всввввввввввввввввввввввввв" localSheetId="14">#REF!</definedName>
    <definedName name="всввввввввввввввввввввввввв">#REF!</definedName>
    <definedName name="выб" localSheetId="14">#REF!</definedName>
    <definedName name="выб">#REF!</definedName>
    <definedName name="выпуск" localSheetId="14">#REF!</definedName>
    <definedName name="выпуск">#REF!</definedName>
    <definedName name="выьлепвввввпмп" localSheetId="14">#REF!</definedName>
    <definedName name="выьлепвввввпмп">#REF!</definedName>
    <definedName name="еваопродолжэрщэрзшщщх" localSheetId="14">#REF!</definedName>
    <definedName name="еваопродолжэрщэрзшщщх">#REF!</definedName>
    <definedName name="_xlnm.Print_Titles" localSheetId="0">'23727'!$25:$25</definedName>
    <definedName name="_xlnm.Print_Titles" localSheetId="1">'23857'!$24:$24</definedName>
    <definedName name="_xlnm.Print_Titles" localSheetId="2">'23938'!$24:$24</definedName>
    <definedName name="_xlnm.Print_Titles" localSheetId="3">'24221'!$22:$22</definedName>
    <definedName name="_xlnm.Print_Titles" localSheetId="4">'24289'!$24:$24</definedName>
    <definedName name="_xlnm.Print_Titles" localSheetId="5">'24659'!$26:$26</definedName>
    <definedName name="_xlnm.Print_Titles" localSheetId="6">'24671'!$26:$26</definedName>
    <definedName name="_xlnm.Print_Titles" localSheetId="7">'24715'!$26:$26</definedName>
    <definedName name="_xlnm.Print_Titles" localSheetId="8">'24780'!$26:$26</definedName>
    <definedName name="_xlnm.Print_Titles" localSheetId="9">'24798'!$26:$26</definedName>
    <definedName name="_xlnm.Print_Titles" localSheetId="10">'24817'!$26:$26</definedName>
    <definedName name="_xlnm.Print_Titles" localSheetId="11">'24865'!$26:$26</definedName>
    <definedName name="_xlnm.Print_Titles" localSheetId="12">'24903'!$26:$26</definedName>
    <definedName name="_xlnm.Print_Titles" localSheetId="13">НМЦ!$13:$13</definedName>
    <definedName name="_xlnm.Print_Titles" localSheetId="14">'Сводка затрат'!$12:$12</definedName>
    <definedName name="измен" localSheetId="14">#REF!</definedName>
    <definedName name="измен">#REF!</definedName>
    <definedName name="итого" localSheetId="13">#REF!</definedName>
    <definedName name="итого" localSheetId="14">#REF!</definedName>
    <definedName name="итого">#REF!</definedName>
    <definedName name="итого_сантех" localSheetId="13">#REF!</definedName>
    <definedName name="итого_сантех" localSheetId="14">#REF!</definedName>
    <definedName name="итого_сантех">#REF!</definedName>
    <definedName name="итого_стр" localSheetId="14">#REF!</definedName>
    <definedName name="итого_стр">#REF!</definedName>
    <definedName name="итого_строит" localSheetId="13">НМЦ!#REF!</definedName>
    <definedName name="итого_строит" localSheetId="14">'Сводка затрат'!#REF!</definedName>
    <definedName name="итого_строит">#REF!</definedName>
    <definedName name="итого_технол" localSheetId="13">#REF!</definedName>
    <definedName name="итого_технол" localSheetId="14">#REF!</definedName>
    <definedName name="итого_технол">#REF!</definedName>
    <definedName name="итого_электр" localSheetId="13">#REF!</definedName>
    <definedName name="итого_электр" localSheetId="14">#REF!</definedName>
    <definedName name="итого_электр">#REF!</definedName>
    <definedName name="квота" localSheetId="14">#REF!</definedName>
    <definedName name="квота">#REF!</definedName>
    <definedName name="кккккккккк" localSheetId="14">#REF!</definedName>
    <definedName name="кккккккккк">#REF!</definedName>
    <definedName name="корек" localSheetId="14">#REF!</definedName>
    <definedName name="корек">#REF!</definedName>
    <definedName name="корект" localSheetId="14">#REF!</definedName>
    <definedName name="корект">#REF!</definedName>
    <definedName name="корректир" localSheetId="14">#REF!</definedName>
    <definedName name="корректир">#REF!</definedName>
    <definedName name="лен" localSheetId="13">#REF!</definedName>
    <definedName name="лен" localSheetId="14">#REF!</definedName>
    <definedName name="лен">#REF!</definedName>
    <definedName name="лот" localSheetId="13">#REF!</definedName>
    <definedName name="лот" localSheetId="14">#REF!</definedName>
    <definedName name="лот">#REF!</definedName>
    <definedName name="мамиааааааааааааааааааааааааааааа" localSheetId="14">#REF!</definedName>
    <definedName name="мамиааааааааааааааааааааааааааааа">#REF!</definedName>
    <definedName name="ммпоослччччччччччрччапппппппппр" localSheetId="14">#REF!</definedName>
    <definedName name="ммпоослччччччччччрччапппппппппр">#REF!</definedName>
    <definedName name="мрол" localSheetId="14">#REF!</definedName>
    <definedName name="мрол">#REF!</definedName>
    <definedName name="оз" localSheetId="14">#REF!</definedName>
    <definedName name="оз">#REF!</definedName>
    <definedName name="озелен" localSheetId="14">#REF!</definedName>
    <definedName name="озелен">#REF!</definedName>
    <definedName name="озеленение" localSheetId="14">#REF!</definedName>
    <definedName name="озеленение">#REF!</definedName>
    <definedName name="озеленение2" localSheetId="14">#REF!</definedName>
    <definedName name="озеленение2">#REF!</definedName>
    <definedName name="ОСР" localSheetId="14">#REF!</definedName>
    <definedName name="ОСР">#REF!</definedName>
    <definedName name="ОСР110" localSheetId="14">#REF!</definedName>
    <definedName name="ОСР110">#REF!</definedName>
    <definedName name="ОСР111" localSheetId="14">#REF!</definedName>
    <definedName name="ОСР111">#REF!</definedName>
    <definedName name="план" localSheetId="14">#REF!</definedName>
    <definedName name="план">#REF!</definedName>
    <definedName name="планировка" localSheetId="14">#REF!</definedName>
    <definedName name="планировка">#REF!</definedName>
    <definedName name="плдщхэж.юрббдлююбо" localSheetId="14">#REF!</definedName>
    <definedName name="плдщхэж.юрббдлююбо">#REF!</definedName>
    <definedName name="площадки" localSheetId="14">#REF!</definedName>
    <definedName name="площадки">#REF!</definedName>
    <definedName name="пос" localSheetId="13">#REF!</definedName>
    <definedName name="пос" localSheetId="14">#REF!</definedName>
    <definedName name="пос">#REF!</definedName>
    <definedName name="прав" localSheetId="14">#REF!</definedName>
    <definedName name="прав">#REF!</definedName>
    <definedName name="прлппппппппппппппрррррррр" localSheetId="14">#REF!</definedName>
    <definedName name="прлппппппппппппппрррррррр">#REF!</definedName>
    <definedName name="провбп" localSheetId="14">#REF!</definedName>
    <definedName name="провбп">#REF!</definedName>
    <definedName name="проект" localSheetId="14">#REF!</definedName>
    <definedName name="проект">#REF!</definedName>
    <definedName name="пропппп" localSheetId="14">#REF!</definedName>
    <definedName name="пропппп">#REF!</definedName>
    <definedName name="рпоолллллбрюююююююююююю" localSheetId="14">#REF!</definedName>
    <definedName name="рпоолллллбрюююююююююююю">#REF!</definedName>
    <definedName name="сааповвыыыыыеееееггггггггг" localSheetId="14">#REF!</definedName>
    <definedName name="сааповвыыыыыеееееггггггггг">#REF!</definedName>
    <definedName name="сапопрлрлппппр" localSheetId="14">#REF!</definedName>
    <definedName name="сапопрлрлппппр">#REF!</definedName>
    <definedName name="саррпрпппппппппппппппррррррр" localSheetId="14">#REF!</definedName>
    <definedName name="саррпрпппппппппппппппррррррр">#REF!</definedName>
    <definedName name="свод" localSheetId="14">#REF!</definedName>
    <definedName name="свод">#REF!</definedName>
    <definedName name="Свсмр" localSheetId="14">'[1] пристр428'!#REF!</definedName>
    <definedName name="Свсмр">'[1] пристр428'!#REF!</definedName>
    <definedName name="склад" localSheetId="13">#REF!</definedName>
    <definedName name="склад" localSheetId="14">#REF!</definedName>
    <definedName name="склад">#REF!</definedName>
    <definedName name="сср4" localSheetId="13">#REF!</definedName>
    <definedName name="сср4" localSheetId="14">#REF!</definedName>
    <definedName name="сср4">#REF!</definedName>
    <definedName name="ссроб" localSheetId="13">#REF!</definedName>
    <definedName name="ссроб" localSheetId="14">#REF!</definedName>
    <definedName name="ссроб">#REF!</definedName>
    <definedName name="сссссссссссссрооооооооаапнааааеоаааааааа" localSheetId="14">#REF!</definedName>
    <definedName name="сссссссссссссрооооооооаапнааааеоаааааааа">#REF!</definedName>
    <definedName name="счет" localSheetId="14">'[1] пристр428'!#REF!</definedName>
    <definedName name="счет">'[1] пристр428'!#REF!</definedName>
    <definedName name="тдер" localSheetId="14">#REF!</definedName>
    <definedName name="тдер">#REF!</definedName>
    <definedName name="ТК" localSheetId="14">#REF!</definedName>
    <definedName name="ТК">#REF!</definedName>
    <definedName name="тоолллллопппплопооллоопло" localSheetId="14">#REF!</definedName>
    <definedName name="тоолллллопппплопооллоопло">#REF!</definedName>
    <definedName name="топливро" localSheetId="14">#REF!</definedName>
    <definedName name="топливро">#REF!</definedName>
    <definedName name="трапные" localSheetId="14">#REF!</definedName>
    <definedName name="трапные">#REF!</definedName>
    <definedName name="уке" localSheetId="14">#REF!</definedName>
    <definedName name="уке">#REF!</definedName>
    <definedName name="фякуряыувравяв" localSheetId="14">#REF!</definedName>
    <definedName name="фякуряыувравяв">#REF!</definedName>
    <definedName name="фяыввввввв" localSheetId="14">#REF!</definedName>
    <definedName name="фяыввввввв">#REF!</definedName>
    <definedName name="хййййййййййжывввввввв" localSheetId="14">#REF!</definedName>
    <definedName name="хййййййййййжывввввввв">#REF!</definedName>
    <definedName name="чвподю" localSheetId="14">#REF!</definedName>
    <definedName name="чвподю">#REF!</definedName>
    <definedName name="чрпрл" localSheetId="14">#REF!</definedName>
    <definedName name="чрпрл">#REF!</definedName>
    <definedName name="чситтттттттсссссссссччччч" localSheetId="14">#REF!</definedName>
    <definedName name="чситтттттттсссссссссччччч">#REF!</definedName>
    <definedName name="ываочяьбббббббббббббб" localSheetId="14">#REF!</definedName>
    <definedName name="ываочяьбббббббббббббб">#REF!</definedName>
    <definedName name="ЫВРРАЫРАывоопоапо" localSheetId="14">#REF!</definedName>
    <definedName name="ЫВРРАЫРАывоопоапо">#REF!</definedName>
    <definedName name="ывынреыкшлнжхэтшлэ" localSheetId="14">#REF!</definedName>
    <definedName name="ывынреыкшлнжхэтшлэ">#REF!</definedName>
    <definedName name="ыоарллвапрлывпорапар" localSheetId="14">#REF!</definedName>
    <definedName name="ыоарллвапрлывпорапар">#REF!</definedName>
    <definedName name="ычвпппппппппп" localSheetId="14">#REF!</definedName>
    <definedName name="ычвпппппппппп">#REF!</definedName>
    <definedName name="яыдвлпрмичврип" localSheetId="14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H26" i="25" l="1"/>
  <c r="C27" i="7" l="1"/>
  <c r="B27" i="7"/>
  <c r="B24" i="7"/>
  <c r="C24" i="7"/>
  <c r="B25" i="7"/>
  <c r="C25" i="7"/>
  <c r="B26" i="7"/>
  <c r="C26" i="7"/>
  <c r="G26" i="25"/>
  <c r="F26" i="25"/>
  <c r="E26" i="25"/>
  <c r="D26" i="25"/>
  <c r="D27" i="25" s="1"/>
  <c r="I26" i="25"/>
  <c r="J25" i="25"/>
  <c r="I25" i="25"/>
  <c r="J26" i="25"/>
  <c r="K26" i="25"/>
  <c r="L26" i="25"/>
  <c r="M26" i="25"/>
  <c r="K25" i="25"/>
  <c r="L25" i="25"/>
  <c r="M25" i="25"/>
  <c r="H25" i="25"/>
  <c r="G25" i="25"/>
  <c r="F25" i="25"/>
  <c r="E25" i="25"/>
  <c r="J23" i="25"/>
  <c r="K23" i="25"/>
  <c r="L23" i="25"/>
  <c r="M23" i="25"/>
  <c r="H23" i="25"/>
  <c r="G23" i="25"/>
  <c r="F23" i="25"/>
  <c r="E23" i="25"/>
  <c r="I23" i="25"/>
  <c r="P15" i="67"/>
  <c r="P16" i="67"/>
  <c r="P17" i="67"/>
  <c r="P18" i="67"/>
  <c r="K20" i="67"/>
  <c r="P20" i="67" s="1"/>
  <c r="K148" i="67"/>
  <c r="K153" i="67"/>
  <c r="P14" i="67" l="1"/>
  <c r="P15" i="66"/>
  <c r="P16" i="66"/>
  <c r="P17" i="66"/>
  <c r="P18" i="66"/>
  <c r="K20" i="66"/>
  <c r="P20" i="66" s="1"/>
  <c r="K116" i="66"/>
  <c r="K121" i="66"/>
  <c r="P14" i="66" l="1"/>
  <c r="I14" i="25"/>
  <c r="I15" i="25"/>
  <c r="I16" i="25"/>
  <c r="I17" i="25"/>
  <c r="I18" i="25"/>
  <c r="I19" i="25"/>
  <c r="I20" i="25"/>
  <c r="I21" i="25"/>
  <c r="I22" i="25"/>
  <c r="I13" i="25"/>
  <c r="K14" i="25"/>
  <c r="L15" i="25"/>
  <c r="K16" i="25"/>
  <c r="L16" i="25"/>
  <c r="L17" i="25"/>
  <c r="G24" i="25"/>
  <c r="L24" i="25" s="1"/>
  <c r="F24" i="25"/>
  <c r="K24" i="25" s="1"/>
  <c r="E24" i="25"/>
  <c r="D24" i="25"/>
  <c r="I24" i="25" s="1"/>
  <c r="G22" i="25"/>
  <c r="L22" i="25" s="1"/>
  <c r="F22" i="25"/>
  <c r="K22" i="25" s="1"/>
  <c r="E22" i="25"/>
  <c r="C23" i="7" s="1"/>
  <c r="G21" i="25"/>
  <c r="L21" i="25" s="1"/>
  <c r="F21" i="25"/>
  <c r="K21" i="25" s="1"/>
  <c r="E21" i="25"/>
  <c r="G20" i="25"/>
  <c r="L20" i="25" s="1"/>
  <c r="F20" i="25"/>
  <c r="K20" i="25" s="1"/>
  <c r="E20" i="25"/>
  <c r="C21" i="7" s="1"/>
  <c r="G19" i="25"/>
  <c r="L19" i="25" s="1"/>
  <c r="F19" i="25"/>
  <c r="K19" i="25" s="1"/>
  <c r="E19" i="25"/>
  <c r="G18" i="25"/>
  <c r="L18" i="25" s="1"/>
  <c r="F18" i="25"/>
  <c r="K18" i="25" s="1"/>
  <c r="E18" i="25"/>
  <c r="C19" i="7" s="1"/>
  <c r="F17" i="25"/>
  <c r="K17" i="25" s="1"/>
  <c r="E17" i="25"/>
  <c r="C18" i="7" s="1"/>
  <c r="E16" i="25"/>
  <c r="C17" i="7" s="1"/>
  <c r="F15" i="25"/>
  <c r="K15" i="25" s="1"/>
  <c r="E15" i="25"/>
  <c r="C16" i="7" s="1"/>
  <c r="G14" i="25"/>
  <c r="L14" i="25" s="1"/>
  <c r="E14" i="25"/>
  <c r="C15" i="7" s="1"/>
  <c r="G13" i="25"/>
  <c r="G27" i="25" s="1"/>
  <c r="F13" i="25"/>
  <c r="F27" i="25" s="1"/>
  <c r="E13" i="25"/>
  <c r="C14" i="7" s="1"/>
  <c r="H14" i="25"/>
  <c r="B15" i="7" s="1"/>
  <c r="H15" i="25"/>
  <c r="B16" i="7" s="1"/>
  <c r="H16" i="25"/>
  <c r="B17" i="7" s="1"/>
  <c r="H17" i="25"/>
  <c r="B18" i="7" s="1"/>
  <c r="H18" i="25"/>
  <c r="B19" i="7" s="1"/>
  <c r="H19" i="25"/>
  <c r="B20" i="7" s="1"/>
  <c r="H20" i="25"/>
  <c r="B21" i="7" s="1"/>
  <c r="H21" i="25"/>
  <c r="B22" i="7" s="1"/>
  <c r="H22" i="25"/>
  <c r="B23" i="7" s="1"/>
  <c r="H24" i="25"/>
  <c r="P14" i="65"/>
  <c r="P15" i="65"/>
  <c r="P16" i="65"/>
  <c r="P17" i="65"/>
  <c r="P18" i="65"/>
  <c r="K20" i="65"/>
  <c r="P20" i="65" s="1"/>
  <c r="K104" i="65"/>
  <c r="K109" i="65" s="1"/>
  <c r="C20" i="7" l="1"/>
  <c r="C22" i="7"/>
  <c r="J24" i="25"/>
  <c r="M24" i="25" s="1"/>
  <c r="J21" i="25"/>
  <c r="M21" i="25" s="1"/>
  <c r="J19" i="25"/>
  <c r="M19" i="25" s="1"/>
  <c r="J17" i="25"/>
  <c r="M17" i="25" s="1"/>
  <c r="J15" i="25"/>
  <c r="M15" i="25" s="1"/>
  <c r="J13" i="25"/>
  <c r="E27" i="25"/>
  <c r="J22" i="25"/>
  <c r="M22" i="25" s="1"/>
  <c r="J20" i="25"/>
  <c r="M20" i="25" s="1"/>
  <c r="J18" i="25"/>
  <c r="M18" i="25" s="1"/>
  <c r="J16" i="25"/>
  <c r="M16" i="25" s="1"/>
  <c r="J14" i="25"/>
  <c r="M14" i="25" s="1"/>
  <c r="P13" i="65"/>
  <c r="P15" i="64"/>
  <c r="P16" i="64"/>
  <c r="P17" i="64"/>
  <c r="P18" i="64"/>
  <c r="K20" i="64"/>
  <c r="P20" i="64" s="1"/>
  <c r="K116" i="64"/>
  <c r="K121" i="64"/>
  <c r="P14" i="64" l="1"/>
  <c r="P15" i="63"/>
  <c r="P16" i="63"/>
  <c r="P17" i="63"/>
  <c r="P18" i="63"/>
  <c r="K20" i="63"/>
  <c r="P20" i="63" s="1"/>
  <c r="K114" i="63"/>
  <c r="K119" i="63"/>
  <c r="D28" i="25" l="1"/>
  <c r="H27" i="25"/>
  <c r="P14" i="63"/>
  <c r="P15" i="62"/>
  <c r="P16" i="62"/>
  <c r="P17" i="62"/>
  <c r="P18" i="62"/>
  <c r="K20" i="62"/>
  <c r="P20" i="62" s="1"/>
  <c r="K122" i="62"/>
  <c r="K127" i="62"/>
  <c r="P14" i="62" l="1"/>
  <c r="P15" i="61"/>
  <c r="P16" i="61"/>
  <c r="P17" i="61"/>
  <c r="P18" i="61"/>
  <c r="K20" i="61"/>
  <c r="P20" i="61" s="1"/>
  <c r="K129" i="61"/>
  <c r="K134" i="61"/>
  <c r="P14" i="61" l="1"/>
  <c r="P15" i="60"/>
  <c r="P16" i="60"/>
  <c r="P17" i="60"/>
  <c r="P18" i="60"/>
  <c r="K20" i="60"/>
  <c r="P20" i="60" s="1"/>
  <c r="K129" i="60"/>
  <c r="K134" i="60"/>
  <c r="P14" i="60" l="1"/>
  <c r="P15" i="59"/>
  <c r="P14" i="59" s="1"/>
  <c r="P16" i="59"/>
  <c r="P17" i="59"/>
  <c r="J61" i="59"/>
  <c r="J64" i="59"/>
  <c r="J69" i="59"/>
  <c r="P14" i="58" l="1"/>
  <c r="P15" i="58"/>
  <c r="J56" i="58"/>
  <c r="J60" i="58" s="1"/>
  <c r="P15" i="57" l="1"/>
  <c r="P14" i="57" s="1"/>
  <c r="P16" i="57"/>
  <c r="P17" i="57"/>
  <c r="K62" i="57"/>
  <c r="K67" i="57" s="1"/>
  <c r="P15" i="56" l="1"/>
  <c r="P14" i="56" s="1"/>
  <c r="P16" i="56"/>
  <c r="P17" i="56"/>
  <c r="J88" i="56"/>
  <c r="J92" i="56" s="1"/>
  <c r="P14" i="55" l="1"/>
  <c r="P15" i="55"/>
  <c r="P16" i="55"/>
  <c r="P17" i="55"/>
  <c r="K19" i="55"/>
  <c r="P19" i="55" s="1"/>
  <c r="K95" i="55"/>
  <c r="K100" i="55"/>
  <c r="P13" i="55" l="1"/>
  <c r="L13" i="25" l="1"/>
  <c r="K13" i="25" l="1"/>
  <c r="M13" i="25" s="1"/>
  <c r="H13" i="25" l="1"/>
  <c r="B14" i="7" s="1"/>
  <c r="G28" i="25" l="1"/>
  <c r="G29" i="25" s="1"/>
  <c r="F28" i="25"/>
  <c r="F29" i="25" s="1"/>
  <c r="C29" i="7" l="1"/>
  <c r="C31" i="7" s="1"/>
  <c r="E28" i="25"/>
  <c r="E29" i="25" s="1"/>
  <c r="H28" i="25" l="1"/>
  <c r="D29" i="25" l="1"/>
  <c r="H29" i="25" s="1"/>
</calcChain>
</file>

<file path=xl/sharedStrings.xml><?xml version="1.0" encoding="utf-8"?>
<sst xmlns="http://schemas.openxmlformats.org/spreadsheetml/2006/main" count="3252" uniqueCount="939">
  <si>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</si>
  <si>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</si>
  <si>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</si>
  <si>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</si>
  <si>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</si>
  <si>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</si>
  <si>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</si>
  <si>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</si>
  <si>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</si>
  <si>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</si>
  <si>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</si>
  <si>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</si>
  <si>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</si>
  <si>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</si>
  <si>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</si>
  <si>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</si>
  <si>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</si>
  <si>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</si>
  <si>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</si>
  <si>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</si>
  <si>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</si>
  <si>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</si>
  <si>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</si>
  <si>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</si>
  <si>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</si>
  <si>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</si>
  <si>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</si>
  <si>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</si>
  <si>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</si>
  <si>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</si>
  <si>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</si>
  <si>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</si>
  <si>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</si>
  <si>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</si>
  <si>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</si>
  <si>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</si>
  <si>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</si>
  <si>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</si>
  <si>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</si>
  <si>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</si>
  <si>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</si>
  <si>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</si>
  <si>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</si>
  <si>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</si>
  <si>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</si>
  <si>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</si>
  <si>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</si>
  <si>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</si>
  <si>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</si>
  <si>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</si>
  <si>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</si>
  <si>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</si>
  <si>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</si>
  <si>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</si>
  <si>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</si>
  <si>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</si>
  <si>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</si>
  <si>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</si>
  <si>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</si>
  <si>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</si>
  <si>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</si>
  <si>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</si>
  <si>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</si>
  <si>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</si>
  <si>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</si>
  <si>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</si>
  <si>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</si>
  <si>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</si>
  <si>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</si>
  <si>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</si>
  <si>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</si>
  <si>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</si>
  <si>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</si>
  <si>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</si>
  <si>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</si>
  <si>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</si>
  <si>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100 м кабеля</t>
  </si>
  <si>
    <t>км</t>
  </si>
  <si>
    <t>Сметная стоимость монтажных работ _______________________________________________________________________________________________</t>
  </si>
  <si>
    <t>Согласовано</t>
  </si>
  <si>
    <t>отдел 028</t>
  </si>
  <si>
    <t>Выполнение работ по монтажу автоматической пожарной сигнализации и системы оповещения и управления эвакуации людей при пожаре на объектах ФГУП «Комбинат «Электрохимприбор»</t>
  </si>
  <si>
    <t xml:space="preserve">  Итого Оборудование</t>
  </si>
  <si>
    <t xml:space="preserve">  Итого Монтажные работы</t>
  </si>
  <si>
    <t xml:space="preserve">   65% ФОТ (от 5250)  (Поз. 3-8, 12, 14-15)</t>
  </si>
  <si>
    <t xml:space="preserve">   60% ФОТ (от 143)  (Поз. 10)</t>
  </si>
  <si>
    <t xml:space="preserve">  В том числе, справочно:</t>
  </si>
  <si>
    <t xml:space="preserve">   95% ФОТ (от 5250)  (Поз. 3-8, 12, 14-15)</t>
  </si>
  <si>
    <t xml:space="preserve">   80% ФОТ (от 143)  (Поз. 10)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</si>
  <si>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3-8, 12, 14-15, 10)</t>
  </si>
  <si>
    <t xml:space="preserve">   Заготовительно-складские расходы на оборудование - согласно п.4.64 из МДС 81-35.2004 ПЗ=1,012 (ОЗП=1,012; ЭМ=1,012; МАТ=1,012)  (Поз. 9)</t>
  </si>
  <si>
    <t xml:space="preserve">   Транспортные расходы на оборудование - согласно п.4.60 из МДС 81-35.2004 ПЗ=1,03 (ОЗП=1,03; ЭМ=1,03; МАТ=1,03)  (Поз. 9)</t>
  </si>
  <si>
    <t xml:space="preserve">   Районный к-т 4,3%  (Поз. 3-8, 12, 14-15, 10)</t>
  </si>
  <si>
    <t>1 проход кабеля</t>
  </si>
  <si>
    <t>Герметизация проходов при вводе кабелей во взрывоопасные помещения уплотнительной массой</t>
  </si>
  <si>
    <t>ТЕРм08-02-155-01</t>
  </si>
  <si>
    <t>Труба стальная по установленным конструкциям, в готовых бороздах, по основанию пола, диаметр до 25 мм</t>
  </si>
  <si>
    <t>ТЕРм08-02-407-06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</si>
  <si>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</si>
  <si>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ТСЦ-103-0002</t>
  </si>
  <si>
    <t>Монтаж: труба стальная (гильза)</t>
  </si>
  <si>
    <t>Трубы стальные сварные водогазопроводные с резьбой черные легкие (неоцинкованные) диаметр условного прохода 15 мм, толщина стенки 2,5 мм</t>
  </si>
  <si>
    <t>ТСЦ-103-0001</t>
  </si>
  <si>
    <t>Монтаж: устройство сигнально-пусковое УСПП "Диабаз-БМ"</t>
  </si>
  <si>
    <t>ТЕРм10-08-001-01 прим.</t>
  </si>
  <si>
    <t>Устройство сигнально-пусковое УСПП "Диабаз-БМ"  НС 199.000.04 (Ц:565805,98:1,18:4,19) счет № 02-9050-42 от 11.12.2012г.</t>
  </si>
  <si>
    <t>Цена поставщика</t>
  </si>
  <si>
    <t>Подготовка электрической машины переменного тока с короткозамкнутым ротором, со щитовыми подшипниками, поступающей в собранном виде, к испытанию, сдаче под наладку и пуску, присоединение к электрической сети, масса до 0,15 т</t>
  </si>
  <si>
    <t>ТЕРм08-03-481-20</t>
  </si>
  <si>
    <t>Присоединение к зажимам жил проводов или кабелей сечением до 2,5 мм2</t>
  </si>
  <si>
    <t>ТЕРм08-02-144-01</t>
  </si>
  <si>
    <t>Заделка концевая сухая для контрольного кабеля сечением одной жилы до 2,5 мм2, количество жил до 4</t>
  </si>
  <si>
    <t>ТЕРм08-02-158-04</t>
  </si>
  <si>
    <t>Труба стальная по установленным конструкциям, по стенам с креплением скобами, диаметр до 25 мм</t>
  </si>
  <si>
    <t>ТЕРм08-02-407-01</t>
  </si>
  <si>
    <t>Кабель до 35 кВ с креплением накладными скобами, масса 1 м кабеля до 0,5 кг</t>
  </si>
  <si>
    <t>ТЕРм08-02-146-01</t>
  </si>
  <si>
    <t>Кабель до 35 кВ в проложенных трубах, блоках и коробах, масса 1 м кабеля до 1 кг</t>
  </si>
  <si>
    <t>ТЕРм08-02-148-01</t>
  </si>
  <si>
    <t>Кабели контрольные с медными жилами с поливинилхлоридной изоляцией и оболочкой марки КВВГ, с числом жил - 4 и сечением 1 мм2</t>
  </si>
  <si>
    <t>ТСЦ-501-0796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</si>
  <si>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</si>
  <si>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ФССЦ-501-8443</t>
  </si>
  <si>
    <t xml:space="preserve">                           Раздел 1. Монтажные работы</t>
  </si>
  <si>
    <t>З/пМех</t>
  </si>
  <si>
    <t>Эк.Маш</t>
  </si>
  <si>
    <t>Осн.З/п</t>
  </si>
  <si>
    <t>В том числе</t>
  </si>
  <si>
    <t>Обору-дование</t>
  </si>
  <si>
    <t>Общая масса обору-дования, т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</si>
  <si>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</si>
  <si>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</si>
  <si>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</si>
  <si>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</si>
  <si>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</si>
  <si>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>Обоснова-ние</t>
  </si>
  <si>
    <t xml:space="preserve">Составлен(а) в базовых ценах 2001г. в редакции 2009г. </t>
  </si>
  <si>
    <t>_______________________________________________________________________________________________274,74</t>
  </si>
  <si>
    <t>с К=5,56</t>
  </si>
  <si>
    <t>тыс. руб.</t>
  </si>
  <si>
    <t>___________________________5,393</t>
  </si>
  <si>
    <t>Средства на оплату труда _______________________________________________________________________________________________</t>
  </si>
  <si>
    <t>с К=4,19</t>
  </si>
  <si>
    <t>_______________________________________________________________________________________________119,285</t>
  </si>
  <si>
    <t>_______________________________________________________________________________________________41,621</t>
  </si>
  <si>
    <t xml:space="preserve">ВСЕГО: </t>
  </si>
  <si>
    <t>___________________________160,906</t>
  </si>
  <si>
    <t>Справочно, в тыс.руб. :</t>
  </si>
  <si>
    <t>Основание: проект № 23926-11-ЭМ "И"  Тема КПМ Т6243.220</t>
  </si>
  <si>
    <t>(наименование работ и затрат, наименование объекта)</t>
  </si>
  <si>
    <t xml:space="preserve">Раздел: электроснабжение огнезадерживающих клапанов. </t>
  </si>
  <si>
    <r>
      <t xml:space="preserve">монтаж СОУЭ, системы отключения вентиляции при пожаре. Здание 292. </t>
    </r>
    <r>
      <rPr>
        <b/>
        <i/>
        <sz val="10"/>
        <rFont val="Arial"/>
        <family val="2"/>
        <charset val="204"/>
      </rPr>
      <t>Инв. № 7612877</t>
    </r>
  </si>
  <si>
    <t>(пересчет сметы № 23938)</t>
  </si>
  <si>
    <t>ЛОКАЛЬНЫЙ СМЕТНЫЙ РАСЧЕТ № 23938-П13</t>
  </si>
  <si>
    <t>"______ " __________2013 г.</t>
  </si>
  <si>
    <t>" _____ " ________________ 2013 г.</t>
  </si>
  <si>
    <t>_________________</t>
  </si>
  <si>
    <t>Е.В.Гордеев</t>
  </si>
  <si>
    <t>Зам. генерального директора</t>
  </si>
  <si>
    <t xml:space="preserve">   65% ФОТ (от 20280)  (Поз. 2, 4, 6-12)</t>
  </si>
  <si>
    <t xml:space="preserve">   95% ФОТ (от 20280)  (Поз. 2, 4, 6-12)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</si>
  <si>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6-12)</t>
  </si>
  <si>
    <t xml:space="preserve">   Заготовительно-складские расходы на материалы - согласно п.4.64 из МДС 81-35.2004 МАТ=1,02  (Поз. 13-16)</t>
  </si>
  <si>
    <t xml:space="preserve">   Районный к-т 4,3%  (Поз. 2, 4, 6-12)</t>
  </si>
  <si>
    <t>Кабели марок КУПР с неэкранированными жилами: сечение жилы 1,0 мм2, 14 жил (Цена:80530руб:1,18:4,38)</t>
  </si>
  <si>
    <t>Кабели марок КУПР с неэкранированными жилами: сечение жилы 1,0 мм2, 7 жил (Цена:47590руб:1,18:4,38)</t>
  </si>
  <si>
    <t>Кабели марок КУПР с неэкранированными жилами: сечение жилы 1,0 мм2, 4 жил (Цена:37490руб:1,18:4,38)</t>
  </si>
  <si>
    <t>Кабель судовой марки КНР с медными жилами: сечение жилы 1,0 мм2, 2 жилы (Цена:50800руб:1,18:4,38)</t>
  </si>
  <si>
    <t>Заделка концевая сухая для контрольного кабеля сечением одной жилы до 2,5 мм2, количество жил до 14</t>
  </si>
  <si>
    <t>ТЕРм08-02-158-07</t>
  </si>
  <si>
    <t>Заделка концевая сухая для контрольного кабеля сечением одной жилы до 2,5 мм2, количество жил до 10</t>
  </si>
  <si>
    <t>ТЕРм08-02-158-06</t>
  </si>
  <si>
    <r>
      <t>Кабель до 35 кВ с креплением накладными скобами, масса 1 м кабеля до 1 кг</t>
    </r>
    <r>
      <rPr>
        <i/>
        <sz val="7"/>
        <rFont val="Arial"/>
        <family val="2"/>
        <charset val="204"/>
      </rPr>
      <t xml:space="preserve">
КОЭФ. К ПОЗИЦИИ:
0.6 При производстве работ на высоте свыше расстояний, указанных в вводных указаниях к разделам: св.2 до 8м ОЗП=1,05; ТЗ=1,05</t>
    </r>
  </si>
  <si>
    <t>ТЕРм08-02-146-02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</si>
  <si>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20</t>
  </si>
  <si>
    <t>ТЕРм08-03-545-02</t>
  </si>
  <si>
    <r>
      <t>Разветвительная коробка У-615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</si>
  <si>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ФССЦ-503-0534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</si>
  <si>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</si>
  <si>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t>ТЕРм08-03-545-01</t>
  </si>
  <si>
    <r>
      <t>Разветвительная коробка У-614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</si>
  <si>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ФССЦ-503-0533</t>
  </si>
  <si>
    <t>Т/з мех.
Всего</t>
  </si>
  <si>
    <t>Т/з мех. на ед.</t>
  </si>
  <si>
    <t>Обоснование</t>
  </si>
  <si>
    <t>_______________________________________________________________________________________________960,78</t>
  </si>
  <si>
    <t>___________________________20,280</t>
  </si>
  <si>
    <t>Средства  на оплату труда _______________________________________________________________________________________________</t>
  </si>
  <si>
    <t>___________________________187,278</t>
  </si>
  <si>
    <t>Основание: проект № 22262-04-АЭЛ  "И" Тема КПМ Т6243.220</t>
  </si>
  <si>
    <t>Раздел: управление пожарной автоматикой</t>
  </si>
  <si>
    <t>(пересчет сметы № 24221)</t>
  </si>
  <si>
    <t>ЛОКАЛЬНЫЙ СМЕТНЫЙ РАСЧЕТ № 24221-П13</t>
  </si>
  <si>
    <t xml:space="preserve">    Справочно, в ценах 2001г.:</t>
  </si>
  <si>
    <t xml:space="preserve">   65% ФОТ (от 99)  (Поз. 5-8, 10-13)</t>
  </si>
  <si>
    <t xml:space="preserve">   60% ФОТ (от 1358)  (Поз. 2, 9, 14, 16-19)</t>
  </si>
  <si>
    <t xml:space="preserve">   95% ФОТ (от 99)  (Поз. 5-8, 10-13)</t>
  </si>
  <si>
    <t xml:space="preserve">   80% ФОТ (от 1358)  (Поз. 2, 9, 14, 16-19)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</si>
  <si>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2, 9, 14, 16-19, 5-8, 10-13)</t>
  </si>
  <si>
    <t xml:space="preserve">   Районный к-т 4,3%  (Поз. 2, 9, 14, 16-19, 5-8, 10-13)</t>
  </si>
  <si>
    <t>Электрические проводки в щитах и пультах шкафных и панельных</t>
  </si>
  <si>
    <t>ТЕРм11-06-002-01</t>
  </si>
  <si>
    <t>Кабели силовые переносные с гибкими медными жилами в резиновой оболочке марки КГ, с числом жил - 3 и сечением 1 мм2</t>
  </si>
  <si>
    <t>ТСЦ-501-0625</t>
  </si>
  <si>
    <t>Провода монтажные с волокнистой или пленочной и поливинилхлоридной изоляцией марки МГШВ экранированные с двумя жилами из медной луженной проволоки сечением 0,50 мм</t>
  </si>
  <si>
    <t>ТСЦ-502-0578</t>
  </si>
  <si>
    <t>Реле, ключ, кнопка и др. с подготовкой места установки</t>
  </si>
  <si>
    <t>ТЕРм10-01-039-06</t>
  </si>
  <si>
    <t>Блок (реле Finder; модуль  Finder; модуль индикации  Finder)</t>
  </si>
  <si>
    <t>ТСЦ-509-0587 прим.</t>
  </si>
  <si>
    <t>1 м</t>
  </si>
  <si>
    <t>Монтаж DIN-рейки</t>
  </si>
  <si>
    <t>ТЕРм10-01-039-02 прим.</t>
  </si>
  <si>
    <t>Профиль монтажный (DIN-рейка)</t>
  </si>
  <si>
    <t>ТСЦ-509-0064</t>
  </si>
  <si>
    <t>Плакат по ТБ</t>
  </si>
  <si>
    <t>ТСЦ-509-0158</t>
  </si>
  <si>
    <t>Монтаж вилки</t>
  </si>
  <si>
    <t>ТЕРм08-03-545-05 прим.</t>
  </si>
  <si>
    <t>Вилка</t>
  </si>
  <si>
    <t>ТСЦ-509-0210</t>
  </si>
  <si>
    <t>Монтаж: оконечный стопор</t>
  </si>
  <si>
    <t>ТЕРм11-01-001-01 прим.</t>
  </si>
  <si>
    <t>комп-кт</t>
  </si>
  <si>
    <t>Оконечный стопор</t>
  </si>
  <si>
    <t>ТСЦ-509-0245 прим.</t>
  </si>
  <si>
    <t>уп</t>
  </si>
  <si>
    <t>Клемма</t>
  </si>
  <si>
    <t>ТСЦ-509-0224 прим.</t>
  </si>
  <si>
    <t>компл.</t>
  </si>
  <si>
    <t>Кронштейн</t>
  </si>
  <si>
    <t>ТСЦ-509-1032</t>
  </si>
  <si>
    <t>Монтаж: шкаф (пульт) управления навесной, высота, ширина и глубина до 600х600х350 мм</t>
  </si>
  <si>
    <t>ТЕРм08-03-573-04</t>
  </si>
  <si>
    <r>
      <t>Бокс металлический размером 600х300х155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</si>
  <si>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ФССЦ-503-0438 прим.</t>
  </si>
  <si>
    <r>
      <t>Батарея аккумуляторная АКБ-12 12В/12 А/ч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</si>
  <si>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ФССЦ-509-1811</t>
  </si>
  <si>
    <t>Монтаж: резервированный источник питания</t>
  </si>
  <si>
    <t>ТЕРм10-02-016-06 прим.</t>
  </si>
  <si>
    <r>
      <t>Источник бесперебойного питания СКАТ-1200, без аккумулятора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</si>
  <si>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ФССЦ-509-1778</t>
  </si>
  <si>
    <t>_______________________________________________________________________________________________108,59</t>
  </si>
  <si>
    <t>___________________________1,457</t>
  </si>
  <si>
    <t>Основание: проект № ЖАЕ 10120 Тема КПМ Т6243.220</t>
  </si>
  <si>
    <t>(пересчет сметы № 24289)</t>
  </si>
  <si>
    <t>ЛОКАЛЬНЫЙ СМЕТНЫЙ РАСЧЕТ № 24289-П13</t>
  </si>
  <si>
    <t xml:space="preserve">  Итого Прочие затраты</t>
  </si>
  <si>
    <t xml:space="preserve">   65% ФОТ (от 8086)  (Поз. 21, 23, 25, 27, 53, 39-40, 50, 52, 55, 44)</t>
  </si>
  <si>
    <t xml:space="preserve">   60% ФОТ (от 10403)  (Поз. 2, 4, 10, 12, 14, 17, 19, 29, 31, 43)</t>
  </si>
  <si>
    <t xml:space="preserve">   40% ФОТ (от 4018)  (Поз. 67-70)</t>
  </si>
  <si>
    <t xml:space="preserve">   100% ФОТ (от 36)  (Поз. 44)</t>
  </si>
  <si>
    <t xml:space="preserve">   95% ФОТ (от 5604)  (Поз. 39-40, 50, 52, 55)</t>
  </si>
  <si>
    <t xml:space="preserve">   92% ФОТ (от 2446)  (Поз. 21, 23, 25, 27, 53)</t>
  </si>
  <si>
    <t xml:space="preserve">   80% ФОТ (от 10403)  (Поз. 2, 4, 10, 12, 14, 17, 19, 29, 31, 43)</t>
  </si>
  <si>
    <t xml:space="preserve">   65% ФОТ (от 4018)  (Поз. 67-70)</t>
  </si>
  <si>
    <t xml:space="preserve">   Пусконаладочные работы (в холостую 80%) ПЗ=0,8 (ОЗП=0,8; ЭМ=0,8; ЗПМ=0,8; МАТ=0,8; ТЗ=0,8; ТЗМ=0,8)  (Поз. 67-70)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</si>
  <si>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67-70)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</si>
  <si>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10, 12, 14, 17, 19, 29, 31, 43, 21, 23, 25, 27, 53, 39-40, 50, 52, 55, 44)</t>
  </si>
  <si>
    <t xml:space="preserve">   Заготовительно-складские расходы на оборудование - согласно п.4.64 из МДС 81-35.2004 ПЗ=1,012 (ОЗП=1,012; ЭМ=1,012; МАТ=1,012)  (Поз. 1, 6-9, 28, 30, 3, 13)</t>
  </si>
  <si>
    <t xml:space="preserve">   Транспортные расходы на оборудование - согласно п.4.60 из МДС 81-35.2004 ПЗ=1,03 (ОЗП=1,03; ЭМ=1,03; МАТ=1,03)  (Поз. 1, 6-9, 28, 30, 3, 13)</t>
  </si>
  <si>
    <t xml:space="preserve">   Районный к-т 4,3%  (Поз. 2, 4, 10, 12, 14, 17, 19, 29, 31, 43, 21, 23, 25, 27, 53, 39-40, 50, 52, 55, 44, 67-70)</t>
  </si>
  <si>
    <t>Функциональная группа управления релейно-контакторная с общим числом внешних блокировочных связей до 20</t>
  </si>
  <si>
    <t>ТЕРп01-09-010-04</t>
  </si>
  <si>
    <t xml:space="preserve">                           Пусконаладочные работы автоматического отключения вентиляции при пожаре</t>
  </si>
  <si>
    <t>1 система</t>
  </si>
  <si>
    <t>Автоматизированная система управления II категории технической сложности с количеством каналов (Кобщ) 2</t>
  </si>
  <si>
    <t>ТЕРп02-01-002-01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</si>
  <si>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</si>
  <si>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</si>
  <si>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</si>
  <si>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</si>
  <si>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</si>
  <si>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</si>
  <si>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Пусконаладочные работы пожарной сигнализации и СОУЭ</t>
  </si>
  <si>
    <t xml:space="preserve">                           Раздел 2. Пусконаладочные работы (в холостую 80%)</t>
  </si>
  <si>
    <t>Т-образный угол КМТ 25х16   "ЭЛЕКОР" CKK10D-T-025-016-K01 (Ц:10,30руб:1,18:5,56)</t>
  </si>
  <si>
    <t>Соединитель на стык КМС 25х16   "ЭЛЕКОР" CKK10D-S-025-016-K01 (Ц:9,44руб:1,18:5.56)</t>
  </si>
  <si>
    <t>Внешний угол КМН 25х16   "ЭЛЕКОР" CKK10D-N-025-016-K01 (Ц:10,30руб:1,18:5.56)</t>
  </si>
  <si>
    <t>Внутренний угол КМВ 25х16   "ЭЛЕКОР" CKK10D-V-025-016-K01 (Ц:10,30руб:1,18:5.56)</t>
  </si>
  <si>
    <t>Кабель-канал  25х16 "ЭЛЕКОР" CKK10-025-016-1-K01 (Ц:25,40руб:1,18:5.56)</t>
  </si>
  <si>
    <t>Внешний угол КМН 40х25   "ЭЛЕКОР" CKK10D-N-040-025-K01 (Ц:17,70руб:1,18:5,56)</t>
  </si>
  <si>
    <t>Внутренний угол КМВ 40х25   "ЭЛЕКОР" CKK10D-V-040-025-K01 (Ц:17,70руб:1,18:5,56)</t>
  </si>
  <si>
    <t>Т-образный угол КМТ 40х25   "ЭЛЕКОР" CKK10D-T-040-025-K01 (Ц:17,70руб:1,18:5,56)</t>
  </si>
  <si>
    <t>Поворот 90 гр. КМП 40х25  "ЭЛЕКОР" CKK10D-P-040-025-K01 (Ц:17,70руб:1,18:5,56)</t>
  </si>
  <si>
    <t>Соединитель на стык КМС 40х25   "ЭЛЕКОР" CKK10D-S-040-025-K01 (Ц:14,91руб:1,18:5,56)</t>
  </si>
  <si>
    <t>Кабель-канал  40х25 "ЭЛЕКОР"  CKK10-040-025-1-K01-018 (Ц:43,43руб:1,18:5,56)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</si>
  <si>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</si>
  <si>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</si>
  <si>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Клеммная колодка 43412NY DKC (Цена:47,65руб :1,18:5,56)</t>
  </si>
  <si>
    <t>Дополнительная установка на пультах и панелях колодки клеммной на 20 клемм</t>
  </si>
  <si>
    <t>ТЕРм10-04-030-04</t>
  </si>
  <si>
    <t>Шкаф (пульт) управления навесной, высота, ширина и глубина до 600х600х350 мм</t>
  </si>
  <si>
    <t>Бокс КМПн 1/2 (25,51руб:1,18:5,56)</t>
  </si>
  <si>
    <t>Автомат одно-, двух-, трехполюсный, устанавливаемый на конструкции, на ток до 25 А</t>
  </si>
  <si>
    <t>ТЕРм08-03-526-01</t>
  </si>
  <si>
    <t>Выключатели автоматические ВА47-29</t>
  </si>
  <si>
    <t>ТСЦ-509-0324 прим.</t>
  </si>
  <si>
    <t>Комплект стоек длиной 50 мм (12 шт) АА 8050 (Ц:839,23руб :1,18:5,56)</t>
  </si>
  <si>
    <t>копл-кт</t>
  </si>
  <si>
    <t>Петли для крепления шкафа АА 1206 (Ц:351,13руб :1,18:5,56)</t>
  </si>
  <si>
    <t>Плата монтажная PF 8060 (Ц:2817,94руб :1,18:5,56)</t>
  </si>
  <si>
    <t>Шкаф автоматики со стеклянной дверцей 800х600х250 SR 8625V (Ц:9262,94руб :1,18:5,56)</t>
  </si>
  <si>
    <t>Шкаф настенный для приборов, размер 800х600х250мм</t>
  </si>
  <si>
    <t>ТЕРм10-06-037-05</t>
  </si>
  <si>
    <t>Монтаж: резисторы, диоды</t>
  </si>
  <si>
    <t>ТЕРм11-03-001-01</t>
  </si>
  <si>
    <t>Резисторы, диоды</t>
  </si>
  <si>
    <t>ТСЦ-509-0584</t>
  </si>
  <si>
    <t>Коробка распределительная DKC 150х110x70 IP55 54000  (Ц:151руб:1,18:5,56)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</si>
  <si>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</si>
  <si>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</si>
  <si>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t>Провод (кабель) в коробах, сечением до 6 мм2</t>
  </si>
  <si>
    <t>ТЕРм08-02-399-01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</si>
  <si>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</si>
  <si>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</si>
  <si>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КПСнг(А)-FRLS 1х2х1,5  (Ц:52921руб :1,18:5,56)</t>
  </si>
  <si>
    <t>Кабель КПСнг(А)-FRLS 1х2х1,0  (Ц:39620руб :1,18:5,56)</t>
  </si>
  <si>
    <t>Кабель КПСнг(А)-FRLS 1х4х0,5  (Ц:45877руб :1,18:5,56)</t>
  </si>
  <si>
    <t>Кабель КПСнг(А)-FRLS 1х2х0,5  (Ц:24301руб :1,18:5,56)</t>
  </si>
  <si>
    <t>1000м</t>
  </si>
  <si>
    <t>Кабель для информационных сетей UT 105нг(А)-FRLS FE180 1х2х0,52мм (Ц:17500руб :1,18:5,56)</t>
  </si>
  <si>
    <t>АКБ 12в 26 А/ч  (Ц:2952,40руб:1,18:5.56)</t>
  </si>
  <si>
    <t>Монтаж: блок защиты от скачков напряжения "АЛЬБАТРОС-500"</t>
  </si>
  <si>
    <t>ТЕРм10-08-003-03</t>
  </si>
  <si>
    <t>Блок защиты от скачков напряжения "Альбатрос-500" (Ц:528руб:1,18:4,19)</t>
  </si>
  <si>
    <t>Монтаж: размыкатель линии РЛ-1</t>
  </si>
  <si>
    <t>ТЕРм10-08-003-05 прим.</t>
  </si>
  <si>
    <t>Размыкатель линии "РЛ-1" (Ц:192руб :1,18:4,19)</t>
  </si>
  <si>
    <t>Монтаж: оповещатель комбинированный</t>
  </si>
  <si>
    <t>ТЕРм10-04-066-06</t>
  </si>
  <si>
    <t>Оповещатель комбинированный "Маяк-24КП" (Ц:330руб :1,18:5,56)</t>
  </si>
  <si>
    <t>Монтаж: оповещатель звуковой</t>
  </si>
  <si>
    <t>ТЕРм10-04-066-05</t>
  </si>
  <si>
    <t>Оповещатель звуковой "Маяк-24-3М" (Ц:150руб :1,18:5,56)</t>
  </si>
  <si>
    <t>Монтаж: оповещатель световой</t>
  </si>
  <si>
    <t>Светоуказатель Выход "Люкс-24" (Ц:165руб :1,18:5,56)</t>
  </si>
  <si>
    <t>Монтаж: извещатель пожарный ручной</t>
  </si>
  <si>
    <t>Извещатель пожарный ручной "ИПР-3СУ"  (Ц:171,93руб :1,18:5,56)</t>
  </si>
  <si>
    <t>Конструкция для установки извещателя:  крепежно-юстировочное устройство К-03</t>
  </si>
  <si>
    <t>ТЕРм10-08-002-06</t>
  </si>
  <si>
    <t>Крепежно-юстировочное устройство к извещателю Спектрон К-03  (Ц:100руб:1,18:5.56)</t>
  </si>
  <si>
    <t>Прокладка оптоволоконного кабеля  в металлорукаве для "ПУЛЬСАР 3-015"</t>
  </si>
  <si>
    <t>ТЕРм10-01-055-02</t>
  </si>
  <si>
    <t>Муфта герметизирующая для извещателя пламени (Ц:900руб :1,18:5,56)</t>
  </si>
  <si>
    <t>Кабель оптоволоконный в металлорукаве для извещателя пламени пожарный "Пульсар 3-015 (Ц:944руб :1,18:5,56)</t>
  </si>
  <si>
    <t>1 компл.</t>
  </si>
  <si>
    <t>Монтаж извещателей пламени "Пульсар 3-015"</t>
  </si>
  <si>
    <t>ТЕРм10-08-003-07</t>
  </si>
  <si>
    <t>Извещатель пламени т.Пульсар 3-015 НК (Ц:16697руб :1,18:4,19)</t>
  </si>
  <si>
    <t>Извещатель ПС автоматический дымовой, фотоэлектрический, радиоизотопный, световой в нормальном исполнении</t>
  </si>
  <si>
    <t>ТЕРм10-08-002-02</t>
  </si>
  <si>
    <t>Дымовой извещатель "ИП-212-92" (Ц:595руб :1,18:5,56)</t>
  </si>
  <si>
    <t>Монтаж: метка адресная  "Юнитроник"  "МА-УОП"; "МА-4У"; "МА-У"; "МА-7ТСН"</t>
  </si>
  <si>
    <t>Метка адресная управляющая "МА-УОП" (Ц:1150руб :1,18:4,19)</t>
  </si>
  <si>
    <t>Метка адресная управляющая "МА-У" (Ц:1750руб :1,18:4,19)</t>
  </si>
  <si>
    <t>Метка адресная управляющая "МА-4У" (Ц:3520руб :1,18:4,19)</t>
  </si>
  <si>
    <t>Метка пожарная адресная МА-7ТСН (Ц:590руб :1,18:4,19)</t>
  </si>
  <si>
    <t>АКБ 12в 4,5 А/ч  (Ц:429,77руб:1,18:5.56)</t>
  </si>
  <si>
    <t>Монтаж: преобразователь или блок питания</t>
  </si>
  <si>
    <t>ТЕРм10-02-016-06</t>
  </si>
  <si>
    <t>Источник питания СКАТ2400И7  (Ц:4752руб:1,18:4,19)</t>
  </si>
  <si>
    <t>Приборы ПС приемно-контрольные, пусковые, концентратор блок базовый на 10 лучей  "Юнитроник-496"</t>
  </si>
  <si>
    <t>ТЕРм10-08-001-01</t>
  </si>
  <si>
    <t>ППКОПУ 03041-4-1 "Юнитроник-496" (Ц:14240руб :1,18:4,19)</t>
  </si>
  <si>
    <t>тыс.руб.</t>
  </si>
  <si>
    <t>Материалы ______________________________________</t>
  </si>
  <si>
    <t>_______________________________________________________________________________________________1483,93</t>
  </si>
  <si>
    <t>___________________________22,507</t>
  </si>
  <si>
    <t>_______________________________________________________________________________________________91,604</t>
  </si>
  <si>
    <t>с К=9,32</t>
  </si>
  <si>
    <t>_______________________________________________________________________________________________8,237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</si>
  <si>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</si>
  <si>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_______________________________________________________________________________________________94,058</t>
  </si>
  <si>
    <t>___________________________193,899</t>
  </si>
  <si>
    <t>Основание: проект № 24447-12-ПТ  Тема КПМ Т6267.121Н</t>
  </si>
  <si>
    <t>(локальная смета)</t>
  </si>
  <si>
    <t>ЛОКАЛЬНЫЙ СМЕТНЫЙ РАСЧЕТ № 24671</t>
  </si>
  <si>
    <t>"______ " __________2012 г.</t>
  </si>
  <si>
    <t>" _____ " ________________ 2012 г.</t>
  </si>
  <si>
    <t xml:space="preserve">   65% ФОТ (от 5824)  (Поз. 13, 15, 18, 35, 37, 47, 25, 31-32, 40, 42)</t>
  </si>
  <si>
    <t xml:space="preserve">   60% ФОТ (от 2471)  (Поз. 2, 5, 9, 11, 20, 22, 24)</t>
  </si>
  <si>
    <t xml:space="preserve">   40% ФОТ (от 2166)  (Поз. 51-54)</t>
  </si>
  <si>
    <t xml:space="preserve">   100% ФОТ (от 36)  (Поз. 42)</t>
  </si>
  <si>
    <t xml:space="preserve">   95% ФОТ (от 2162)  (Поз. 25, 31-32, 40)</t>
  </si>
  <si>
    <t xml:space="preserve">   92% ФОТ (от 3626)  (Поз. 13, 15, 18, 35, 37, 47)</t>
  </si>
  <si>
    <t xml:space="preserve">   80% ФОТ (от 2471)  (Поз. 2, 5, 9, 11, 20, 22, 24)</t>
  </si>
  <si>
    <t xml:space="preserve">   65% ФОТ (от 2166)  (Поз. 51-54)</t>
  </si>
  <si>
    <t xml:space="preserve">   Пусконаладочные работы (в холостую 80%) ПЗ=0,8 (ОЗП=0,8; ЭМ=0,8; ЗПМ=0,8; МАТ=0,8; ТЗ=0,8; ТЗМ=0,8)  (Поз. 51-54)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</si>
  <si>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51-54)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</si>
  <si>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5, 9, 11, 20, 22, 24, 13, 15, 18, 35, 37, 47, 25, 31-32, 40, 42)</t>
  </si>
  <si>
    <t xml:space="preserve">   Заготовительно-складские расходы на оборудование - согласно п.4.64 из МДС 81-35.2004 ПЗ=1,012 (ОЗП=1,012; ЭМ=1,012; МАТ=1,012)  (Поз. 1, 6-8, 19, 21, 4)</t>
  </si>
  <si>
    <t xml:space="preserve">   Транспортные расходы на оборудование - согласно п.4.60 из МДС 81-35.2004 ПЗ=1,03 (ОЗП=1,03; ЭМ=1,03; МАТ=1,03)  (Поз. 1, 6-8, 19, 21, 4)</t>
  </si>
  <si>
    <t xml:space="preserve">   Заготовительно-складские расходы на материалы - согласно п.4.64 из МДС 81-35.2004 МАТ=1,02  (Поз. 3, 10, 14, 27-30, 43, 12, 16-17, 41, 44-46, 49-50)</t>
  </si>
  <si>
    <t xml:space="preserve">   Районный к-т 4,3%  (Поз. 2, 5, 9, 11, 20, 22, 24, 13, 15, 18, 35, 37, 47, 25, 31-32, 40, 42, 51-54)</t>
  </si>
  <si>
    <t>АКБ 12в 7,0 А/ч  (Ц:551,65руб:1,18:5.56)</t>
  </si>
  <si>
    <t>Разветвительная коробка</t>
  </si>
  <si>
    <t>ТСЦ-503-0461</t>
  </si>
  <si>
    <t>Коробка кабельная соединительная или разветвительная</t>
  </si>
  <si>
    <t>ТЕРм10-04-066-04</t>
  </si>
  <si>
    <t>Панель модульная PF 7050 (Ц:2180,56руб :1,18:5,56)</t>
  </si>
  <si>
    <t>Шкаф автоматики со стеклянной дверцей 700х500х250 SR 7525V (Ц:7093,40руб :1,18:5,56)</t>
  </si>
  <si>
    <t>Ящик для трубных проводок протяжной или коробка, размер до 500х500 мм</t>
  </si>
  <si>
    <t>ТЕРм10-06-037-09</t>
  </si>
  <si>
    <t>Бокс КМПн 1/2 для 1-2-х авт.выкл. наружн. уст. ИЭК MKP31-N-02-30-252 (Ц:25,51руб :1,18:5,56)</t>
  </si>
  <si>
    <t>ТСЦ-509-0323</t>
  </si>
  <si>
    <t>Клеммная колодка</t>
  </si>
  <si>
    <t>ТСЦ-509-0100 прим.</t>
  </si>
  <si>
    <t>Монтаж: коробка ответвительная с кабельными вводами DKC</t>
  </si>
  <si>
    <r>
      <t>Кабель-канал (короб) "Электропласт" 25x16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</si>
  <si>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ФССЦ-509-1831</t>
  </si>
  <si>
    <r>
      <t>Кабель-канал (короб) "Электропласт" 40x25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</si>
  <si>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ФССЦ-509-1834</t>
  </si>
  <si>
    <t>Кабель КПСнг(А)-FRLS 1х2х1,5  (Ц:65373руб :1,18:5,56)</t>
  </si>
  <si>
    <t>Кабель КПСнг(А)-FRLS 1х2х1,0  (Ц:48942руб :1,18:5,56)</t>
  </si>
  <si>
    <t>Кабель КПСнг(А)-FRLS 1х2х0,5  (Ц:30018руб :1,18:5,56)</t>
  </si>
  <si>
    <t>Кабель для информационных сетей UT 105нг(А)-FRLS FE180 1х2х0,5мм (Ц:17500руб :1,18:5,56)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</si>
  <si>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</si>
  <si>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</si>
  <si>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>Оповещатель "Маяк-24-3М" (Ц:293,64руб :1,18:5,56)</t>
  </si>
  <si>
    <t>Оповещатель звуковой "Антишок" (Ц:520,20руб :1,18:5,56)</t>
  </si>
  <si>
    <t>Монтаж: метка адресная  "Юнитроник"</t>
  </si>
  <si>
    <t>Источник питания СКАТ2400М  (Ц:3175руб:1,18:4,19)</t>
  </si>
  <si>
    <t>АКБ 12в 7,0 А/ч  (Ц:399руб :1,18:5,56)</t>
  </si>
  <si>
    <t>_______________________________________________________________________________________________709,72</t>
  </si>
  <si>
    <t>___________________________10,461</t>
  </si>
  <si>
    <t>_______________________________________________________________________________________________5,378</t>
  </si>
  <si>
    <t>_______________________________________________________________________________________________4,440</t>
  </si>
  <si>
    <t>_______________________________________________________________________________________________37,979</t>
  </si>
  <si>
    <t>___________________________47,797</t>
  </si>
  <si>
    <t>Основание: проект № 24530-13-ПС  Тема КПМ Т6177.005</t>
  </si>
  <si>
    <r>
      <t>Площадка 1. Цех 005. Здание 141.</t>
    </r>
    <r>
      <rPr>
        <b/>
        <i/>
        <sz val="10"/>
        <rFont val="Arial"/>
        <family val="2"/>
        <charset val="204"/>
      </rPr>
      <t xml:space="preserve"> Инв.№ 5700278</t>
    </r>
  </si>
  <si>
    <t>ЛОКАЛЬНЫЙ СМЕТНЫЙ РАСЧЕТ № 24780</t>
  </si>
  <si>
    <t xml:space="preserve">   65% ФОТ (от 2242)  (Поз. 17, 25, 27, 41, 31, 34, 38, 48, 43)</t>
  </si>
  <si>
    <t xml:space="preserve">   60% ФОТ (от 2765)  (Поз. 2, 4, 6, 8, 10, 13, 15, 19, 21, 23, 29, 40, 51)</t>
  </si>
  <si>
    <t xml:space="preserve">   40% ФОТ (от 1787)  (Поз. 56-58)</t>
  </si>
  <si>
    <t xml:space="preserve">   100% ФОТ (от 39)  (Поз. 43)</t>
  </si>
  <si>
    <t xml:space="preserve">   95% ФОТ (от 1413)  (Поз. 31, 34, 38, 48)</t>
  </si>
  <si>
    <t xml:space="preserve">   92% ФОТ (от 790)  (Поз. 17, 25, 27, 41)</t>
  </si>
  <si>
    <t xml:space="preserve">   80% ФОТ (от 2765)  (Поз. 2, 4, 6, 8, 10, 13, 15, 19, 21, 23, 29, 40, 51)</t>
  </si>
  <si>
    <t xml:space="preserve">   65% ФОТ (от 1787)  (Поз. 56-58)</t>
  </si>
  <si>
    <t xml:space="preserve">   Пусконаладочные работы (в холостую 80%) ПЗ=0,8 (ОЗП=0,8; ЭМ=0,8; ЗПМ=0,8; МАТ=0,8; ТЗ=0,8; ТЗМ=0,8)  (Поз. 56-58)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</si>
  <si>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56-58)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</si>
  <si>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6, 8, 10, 13, 15, 19, 21, 23, 29, 40, 51, 17, 25, 27, 41, 31, 34, 38, 48, 43)</t>
  </si>
  <si>
    <t xml:space="preserve">   Заготовительно-складские расходы на оборудование - согласно п.4.64 из МДС 81-35.2004 ПЗ=1,012 (ОЗП=1,012; ЭМ=1,012; МАТ=1,012)  (Поз. 1, 3, 5, 7, 9, 18, 20, 28)</t>
  </si>
  <si>
    <t xml:space="preserve">   Транспортные расходы на оборудование - согласно п.4.60 из МДС 81-35.2004 ПЗ=1,03 (ОЗП=1,03; ЭМ=1,03; МАТ=1,03)  (Поз. 1, 3, 5, 7, 9, 18, 20, 28)</t>
  </si>
  <si>
    <t xml:space="preserve">   Заготовительно-складские расходы на материалы - согласно п.4.64 из МДС 81-35.2004 МАТ=1,02  (Поз. 11, 22, 24, 45-47, 52-55, 12, 14, 16, 26, 35-37, 39, 44)</t>
  </si>
  <si>
    <t xml:space="preserve">   Районный к-т 4,3%  (Поз. 2, 4, 6, 8, 10, 13, 15, 19, 21, 23, 29, 40, 51, 17, 25, 27, 41, 31, 34, 38, 48, 43, 56-58)</t>
  </si>
  <si>
    <t>Изолятор DIN желтый YIS21 (Ц:8,75руб :1,18:5,56)</t>
  </si>
  <si>
    <t>Шина "N"нулевая 6х9мм 14/2 (14групп/крепеж по краям) ИЭК YNN11-14-100 (Ц:64,96руб :1,18:5,56)</t>
  </si>
  <si>
    <t>DIN-рейка  (40см) оцинкованная (Ц:40,40руб :1,18:5,56)</t>
  </si>
  <si>
    <t>Шина нул в корп изол на DIN-рейку ШНИ-6х9-12-К-З ИЭК YNN10-69-12KD-K06 (Ц:59,37руб :1,18:5,56)</t>
  </si>
  <si>
    <r>
      <t>Кабель-канал (короб) "Электропласт" 15x17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</si>
  <si>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ФССЦ-509-1831 прим.</t>
  </si>
  <si>
    <t>Комплект стоек длиной 25 мм (12 шт) АА 8025 (Ц:554,68руб :1,18:5,56)</t>
  </si>
  <si>
    <t>Шкаф автоматики со стеклянной дверцей 700х500х200 SR 7520V (Ц:6838,11руб :1,18:5,56)</t>
  </si>
  <si>
    <t>Шкаф для трубных проводок настенный, размер до 700х1000 мм</t>
  </si>
  <si>
    <t>ТЕРм10-06-037-06</t>
  </si>
  <si>
    <t>Коробка ответвительная на стене</t>
  </si>
  <si>
    <t>ТЕРм10-08-019-01</t>
  </si>
  <si>
    <t>Разветвительная коробка УК-2</t>
  </si>
  <si>
    <t>ТСЦ-503-0460</t>
  </si>
  <si>
    <t>КИПЭВнг(А)-LS 1х2х0,6  (Ц:54600руб :1,18:5,56)</t>
  </si>
  <si>
    <t>КПСЭнг(А)-FRLS 2х2х0,5  (Ц:61843руб :1,18:5,56)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</si>
  <si>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</si>
  <si>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ТСЦ-501-8183</t>
  </si>
  <si>
    <t>Светоуказатель Выход "Люкс-24" (Ц:175руб :1,18:5,56)</t>
  </si>
  <si>
    <t>Кабель оптоволоконный в металлорукаве для извещателя пламени пожарный "Пульсар 3-015 (Ц:859руб :1,18:5,56)</t>
  </si>
  <si>
    <t>Извещатель пламени т.Пульсар 3-015НК  (Ц:16520руб :1,18:4,19)(Ц:479,71руб:1,18:4,19)</t>
  </si>
  <si>
    <t>Монтаж: адресный расширитель</t>
  </si>
  <si>
    <t>ТЕРм10-08-001-13</t>
  </si>
  <si>
    <t>Адресный расширитель на 2 шл. С2000-АР2  (Ц:479,71руб:1,18:4,19)</t>
  </si>
  <si>
    <t>Извещатель ручной "ИПР 513-ЗАМ" исп. 01 (Ц:600руб 1,18:5,56)</t>
  </si>
  <si>
    <t>Извещатель пожарный тепловой адресно-аналоговый С2000-ИП-02-02 (Ц:723,25руб :1,18:5,56)</t>
  </si>
  <si>
    <t>Дымовой адресно-аналоговый извещатель "ИП 212-34А"  (ДИП-34А-) (Ц:770руб :1,18:5,56)</t>
  </si>
  <si>
    <t>АКБ 12в 12,0 А/ч  (Ц:1403,60руб:1,18:5.56)</t>
  </si>
  <si>
    <t>Монтаж преобразователя интерфейсов</t>
  </si>
  <si>
    <t>Преобразователь интерфейса RS-232 – RS-485 С2000-Ethernet  (Ц:3143.80руб:1,18:4,19)</t>
  </si>
  <si>
    <t>Монтаж: блок сигнально-пусковой С2000-СП2</t>
  </si>
  <si>
    <t>Адресный релейный блок на два реле С2000-СП2  (Ц:1084,16руб:1,18:4,19)</t>
  </si>
  <si>
    <t>Монтаж: контроллер С2000-КДЛ-2И</t>
  </si>
  <si>
    <t>Контроль по двухпроводной линии С2000-КДЛ-2И (Ц:2168,10руб:1,18:4,19)</t>
  </si>
  <si>
    <t>Монтаж: пульт контроля и управления С2000-М</t>
  </si>
  <si>
    <t>Пульт контроля и управления С2000-М (Ц:6504,30руб:1,18:4,19)</t>
  </si>
  <si>
    <t>_______________________________________________________________________________________________436,28</t>
  </si>
  <si>
    <t>___________________________6,794</t>
  </si>
  <si>
    <t>_______________________________________________________________________________________________15,069</t>
  </si>
  <si>
    <t>_______________________________________________________________________________________________3,664</t>
  </si>
  <si>
    <t>_______________________________________________________________________________________________36,851</t>
  </si>
  <si>
    <t>___________________________55,584</t>
  </si>
  <si>
    <t>Основание: проект № 24531-13-ПС  Тема КПМ Т6265.015</t>
  </si>
  <si>
    <t xml:space="preserve">Площадка 6.  Здание 714. </t>
  </si>
  <si>
    <t>ЛОКАЛЬНЫЙ СМЕТНЫЙ РАСЧЕТ № 24798</t>
  </si>
  <si>
    <t>23938</t>
  </si>
  <si>
    <t>24221</t>
  </si>
  <si>
    <t>24289</t>
  </si>
  <si>
    <t>24671</t>
  </si>
  <si>
    <t>24780</t>
  </si>
  <si>
    <t>24798</t>
  </si>
  <si>
    <t xml:space="preserve">монтаж СОУЭ, системы отключения вентиляции при пожаре. Здание 292. Инв. № 7612877. Раздел: электроснабжение огнезадерживающих клапанов. </t>
  </si>
  <si>
    <t>монтаж автоматической установки пожарной сигнализации и СОУЭ. Отключение вентиляции. Площадка 1. Цех 005. Здание 141. Инв.№ 5700278</t>
  </si>
  <si>
    <t xml:space="preserve">монтаж автоматической установки пожарной сигнализации и СОУЭ. Площадка 6.  Здание 714. </t>
  </si>
  <si>
    <t>монтаж СОУЭ, системы отключения вентиляции при пожаре. Здание 292. Инв. № 7612877. Раздел: управление пожарной автоматикой</t>
  </si>
  <si>
    <t>Всего в ценах 2013 (Ксмр=5,56, Коб.=4,19, Кпрочие = 9,32)</t>
  </si>
  <si>
    <t>В.В. Моляков</t>
  </si>
  <si>
    <t xml:space="preserve">   65% ФОТ (от 927)  (Поз. 13, 16, 18, 25-26, 32)</t>
  </si>
  <si>
    <t xml:space="preserve">   60% ФОТ (от 3067)  (Поз. 2, 4, 7, 9, 11, 20, 28, 31)</t>
  </si>
  <si>
    <t xml:space="preserve">   40% ФОТ (от 1358)  (Поз. 37-38)</t>
  </si>
  <si>
    <t xml:space="preserve">   100% ФОТ (от 36)  (Поз. 25)</t>
  </si>
  <si>
    <t xml:space="preserve">   95% ФОТ (от 343)  (Поз. 26, 32)</t>
  </si>
  <si>
    <t xml:space="preserve">   92% ФОТ (от 548)  (Поз. 13, 16, 18)</t>
  </si>
  <si>
    <t xml:space="preserve">   80% ФОТ (от 3067)  (Поз. 2, 4, 7, 9, 11, 20, 28, 31)</t>
  </si>
  <si>
    <t xml:space="preserve">   65% ФОТ (от 1358)  (Поз. 37-38)</t>
  </si>
  <si>
    <t xml:space="preserve">   Пусконаладочные работы (в холостую 80%) ПЗ=0,8 (ОЗП=0,8; ЭМ=0,8; ЗПМ=0,8; МАТ=0,8; ТЗ=0,8; ТЗМ=0,8)  (Поз. 37-38)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</si>
  <si>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37-38)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</si>
  <si>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7, 9, 11, 20, 28, 31, 13, 16, 18, 25-26, 32)</t>
  </si>
  <si>
    <t xml:space="preserve">   Заготовительно-складские расходы на оборудование - согласно п.4.64 из МДС 81-35.2004 ПЗ=1,012 (ОЗП=1,012; ЭМ=1,012; МАТ=1,012)  (Поз. 1, 3, 6, 8, 19)</t>
  </si>
  <si>
    <t xml:space="preserve">   Транспортные расходы на оборудование - согласно п.4.60 из МДС 81-35.2004 ПЗ=1,03 (ОЗП=1,03; ЭМ=1,03; МАТ=1,03)  (Поз. 1, 3, 6, 8, 19)</t>
  </si>
  <si>
    <t xml:space="preserve">   Заготовительно-складские расходы на материалы - согласно п.4.64 из МДС 81-35.2004 МАТ=1,02  (Поз. 5, 10, 12, 14-15, 17, 21-24, 34)</t>
  </si>
  <si>
    <t xml:space="preserve">   Районный к-т 4,3%  (Поз. 2, 4, 7, 9, 11, 20, 28, 31, 13, 16, 18, 25-26, 32, 37-38)</t>
  </si>
  <si>
    <r>
  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– 2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</si>
  <si>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ФССЦ-501-8183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</si>
  <si>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</si>
  <si>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</si>
  <si>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t>Кабель для информационных сетей UT1 Cat 5 (500м) 1х2х0,52мм (Ц:1980руб :1,18:5,56)</t>
  </si>
  <si>
    <t>Провода кроссовые станционные с изоляцией из поливинилхлоридного пластиката марки ПКСВ с двумя медными однопроволочными жилами диаметром 0,5 мм</t>
  </si>
  <si>
    <t>ТСЦ-502-0581</t>
  </si>
  <si>
    <t>Провод в коробах, сечением до 6 мм2</t>
  </si>
  <si>
    <t>Резисторы</t>
  </si>
  <si>
    <r>
      <t>Кабель-канал (короб) 15х15 мм с комплектующими элементами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</si>
  <si>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ФССЦ-509-1841</t>
  </si>
  <si>
    <t>Монтаж: короб металлический</t>
  </si>
  <si>
    <t>ТЕРм10-01-038-08</t>
  </si>
  <si>
    <t>DIN-рейка</t>
  </si>
  <si>
    <t>Монтаж: рейка зажимов</t>
  </si>
  <si>
    <t>ТЕРм08-01-082-01</t>
  </si>
  <si>
    <t>Шкаф для приборов</t>
  </si>
  <si>
    <t>цена поставщика</t>
  </si>
  <si>
    <t>Оповещатель световой "Блик-С12" (Ц:219,12руб :1,18:5,56)</t>
  </si>
  <si>
    <t>Сирена "ТОН-1С-12"  (Ц:274,56руб :1,18:5,56)</t>
  </si>
  <si>
    <t>Сирена "Колибри"  (Ц:189,97руб :1,18:5,56)</t>
  </si>
  <si>
    <t>Монтаж: извещатель ручной</t>
  </si>
  <si>
    <t>ТЕРм10-04-066-05 прим.</t>
  </si>
  <si>
    <t>Извещатель ИП-212-45  (Ц:240,79руб :1,18:5,56)</t>
  </si>
  <si>
    <t>Преобразователь интерфейса RS-232 – RS-485, повторитель интерфейса RS-485 с гальванической развязкой, разделитель интерфейса. От +1 до +45С. С2000-ПИ (Ц:3443,80руб:1,18:4,19)</t>
  </si>
  <si>
    <t>Монтаж: пульт контроля и управления С2000-БИ</t>
  </si>
  <si>
    <t>Пульт контроля и управления С2000-БИ (Ц:4336,20руб:1,18:4,19)</t>
  </si>
  <si>
    <t>Отдельно устанавливаемый преобразователь или блок питания</t>
  </si>
  <si>
    <t>ИБП "СКАТ-1200Д" (Ц:3910руб:1,18:4,19)</t>
  </si>
  <si>
    <t>Приборы приемно-контрольные сигнальные, концентратор блок базовый на 10 лучей</t>
  </si>
  <si>
    <t>ТЕРм10-08-001-06</t>
  </si>
  <si>
    <t>ППК "Сигнал-10"  (Ц:3698,10руб:1,18:4,19)</t>
  </si>
  <si>
    <t>_______________________________________________________________________________________________357,76</t>
  </si>
  <si>
    <t>___________________________5,352</t>
  </si>
  <si>
    <t>_______________________________________________________________________________________________4,597</t>
  </si>
  <si>
    <t>_______________________________________________________________________________________________2,784</t>
  </si>
  <si>
    <t>_______________________________________________________________________________________________16,120</t>
  </si>
  <si>
    <t>___________________________23,501</t>
  </si>
  <si>
    <t>Основание: проект № 23769-10-СС Тема КПМ Т6228.220</t>
  </si>
  <si>
    <t xml:space="preserve">                    на монтаж АПС и СОУЭ. Здание 411. Инв.№ 5500453 </t>
  </si>
  <si>
    <t>(пересчет сметы № 23727)</t>
  </si>
  <si>
    <t>ЛОКАЛЬНЫЙ СМЕТНЫЙ РАСЧЕТ № 23727-П13</t>
  </si>
  <si>
    <t xml:space="preserve">   65% ФОТ (от 12885)  (Поз. 5, 8, 11, 13, 26, 15-16, 22)</t>
  </si>
  <si>
    <t xml:space="preserve">   60% ФОТ (от 14280)  (Поз. 2, 19, 25, 27)</t>
  </si>
  <si>
    <t xml:space="preserve">   40% ФОТ (от 2433)  (Поз. 31-33)</t>
  </si>
  <si>
    <t xml:space="preserve">   100% ФОТ (от 266)  (Поз. 13, 26)</t>
  </si>
  <si>
    <t xml:space="preserve">   95% ФОТ (от 4500)  (Поз. 15-16, 22)</t>
  </si>
  <si>
    <t xml:space="preserve">   92% ФОТ (от 8119)  (Поз. 5, 8, 11)</t>
  </si>
  <si>
    <t xml:space="preserve">   80% ФОТ (от 14280)  (Поз. 2, 19, 25, 27)</t>
  </si>
  <si>
    <t xml:space="preserve">   65% ФОТ (от 2433)  (Поз. 31-33)</t>
  </si>
  <si>
    <t xml:space="preserve">   Пусконаладочные работы (в холостую 80%) ПЗ=0,8 (ОЗП=0,8; ЭМ=0,8; ЗПМ=0,8; МАТ=0,8; ТЗ=0,8; ТЗМ=0,8)  (Поз. 31-33)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</si>
  <si>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31-33)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</si>
  <si>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19, 25, 27, 5, 8, 11, 13, 26, 15-16, 22)</t>
  </si>
  <si>
    <t xml:space="preserve">   Заготовительно-складские расходы на материалы - согласно п.4.64 из МДС 81-35.2004 МАТ=1,02  (Поз. 9-10, 17-18, 23-24, 28-30)</t>
  </si>
  <si>
    <t xml:space="preserve">   Районный к-т 4,3%  (Поз. 2, 19, 25, 27, 5, 8, 11, 13, 26, 15-16, 22, 31-33)</t>
  </si>
  <si>
    <t>Функциональная группа управления релейно-контакторная с общим числом внешних блокировочных связей до 10</t>
  </si>
  <si>
    <t>ТЕРп01-09-010-03</t>
  </si>
  <si>
    <t>Петли для крепления шкафа АА 1206 (Ц:320,31руб :1,18:5,56)</t>
  </si>
  <si>
    <t>Плата монтажная для шкафов SR 8630V  TQ 1280  (Ц:15822,38руб :1,18:5,56)</t>
  </si>
  <si>
    <t>Шкаф автоматики со стеклянной дверцей 800х600х300 SR 8630V (Ц:8667,29руб :1,18:5,56)</t>
  </si>
  <si>
    <t>Монтаж: модульная панель в шкаф</t>
  </si>
  <si>
    <t>ТЕРм10-03-001-04</t>
  </si>
  <si>
    <t>Шкаф настенный для приборов</t>
  </si>
  <si>
    <t>Монтаж: Релейный усилитель  УК-ВК</t>
  </si>
  <si>
    <t>ТЕРм10-08-003-04 прим.</t>
  </si>
  <si>
    <t>Релейный усилитель на 2 канала УК-ВК/02 (Ц:381,26руб:1,18:5,56)</t>
  </si>
  <si>
    <t>Кабель КВБбШв 4х1,5  (Ц:46440руб :1,18:5,56)</t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</si>
  <si>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КОЭФ. К ПОЗИЦИИ:
0.6 При производстве работ на высоте свыше расстояний, указанных в вводных указаниях к разделам: св.2 до 8м ОЗП=1,05; ТЗ=1,05</t>
    </r>
  </si>
  <si>
    <r>
      <t>Кабель-канал (короб) 20х25 мм с комплектующими элементами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</si>
  <si>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ФССЦ-509-1842</t>
  </si>
  <si>
    <t>Провода марки ТСВ 10х2х0,5 (Ц:23710руб:1,18:5,56)</t>
  </si>
  <si>
    <t>Провода кроссовые станционные с изоляцией из поливинилхлоридного пластиката марки ПКСВ с двумя медными однопроволочными жилами диаметром 1,5 мм (Ц:7070руб:1,18:5,56)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</si>
  <si>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</si>
  <si>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t>ТЕРм08-03-545-05</t>
  </si>
  <si>
    <r>
      <t>Разветвительная коробка КЗНС-08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</si>
  <si>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ФССЦ-503-0541 прим.</t>
  </si>
  <si>
    <t>1 коробка</t>
  </si>
  <si>
    <t>Коробка распределительная настенная на кабеле с пластмассовой оболочкой</t>
  </si>
  <si>
    <t>ТЕРм10-06-034-12</t>
  </si>
  <si>
    <t>Коробка телефонная распределительная марки КРТ-10</t>
  </si>
  <si>
    <t>ТСЦ-503-0455</t>
  </si>
  <si>
    <t>Монтаж оповещателя светового</t>
  </si>
  <si>
    <t>Оповещатель световой "Блик-С24" (Ц:219,12руб :1,18:5,56)</t>
  </si>
  <si>
    <t>Монтаж оповещателя комбинированного</t>
  </si>
  <si>
    <t>ТЕРм10-04-066-06 прим.</t>
  </si>
  <si>
    <r>
      <t>Извещатель охранный для закрытых помещений, совмещенный СОВА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</si>
  <si>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ФССЦ-509-1919</t>
  </si>
  <si>
    <r>
      <t>Извещатель охранный для закрытых помещений, совмещенный СОВА-3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</si>
  <si>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Монтаж оповещателя светового Маяк</t>
  </si>
  <si>
    <r>
      <t>Оповещатель комбинированный светозвуковой МАЯК 12-3М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</si>
  <si>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ФССЦ-509-1930 прим.</t>
  </si>
  <si>
    <r>
      <t>Батарея аккумуляторная АКБ-7 12В/7 А/ч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</si>
  <si>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ФССЦ-509-1810</t>
  </si>
  <si>
    <t>_______________________________________________________________________________________________2078,05</t>
  </si>
  <si>
    <t>___________________________29,598</t>
  </si>
  <si>
    <t>_______________________________________________________________________________________________4,987</t>
  </si>
  <si>
    <t>_______________________________________________________________________________________________147,488</t>
  </si>
  <si>
    <t>___________________________152,475</t>
  </si>
  <si>
    <t>Основание: проект №23854-10-СС  Тема КПМ Т6243.220</t>
  </si>
  <si>
    <t>Раздел: Система оповещения и управления эвакуацией людей при пожаре</t>
  </si>
  <si>
    <t>(пересчет сметы № 23857)</t>
  </si>
  <si>
    <t>ЛОКАЛЬНЫЙ СМЕТНЫЙ РАСЧЕТ № 23857-П13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</si>
  <si>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</si>
  <si>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 65% ФОТ (от 4937)  (Поз. 12, 14, 26, 37, 64-65, 18, 42, 58, 27)</t>
  </si>
  <si>
    <t xml:space="preserve">   60% ФОТ (от 6638)  (Поз. 1, 3, 5, 7, 10, 16, 20, 23, 33, 35, 40, 44, 46, 48, 50, 52, 54, 62)</t>
  </si>
  <si>
    <t xml:space="preserve">   40% ФОТ (от 810)  (Поз. 69-70)</t>
  </si>
  <si>
    <t xml:space="preserve">   100% ФОТ (от 36)  (Поз. 27)</t>
  </si>
  <si>
    <t xml:space="preserve">   95% ФОТ (от 3463)  (Поз. 18, 42, 58)</t>
  </si>
  <si>
    <t xml:space="preserve">   92% ФОТ (от 1438)  (Поз. 12, 14, 26, 37, 64-65)</t>
  </si>
  <si>
    <t xml:space="preserve">   80% ФОТ (от 6638)  (Поз. 1, 3, 5, 7, 10, 16, 20, 23, 33, 35, 40, 44, 46, 48, 50, 52, 54, 62)</t>
  </si>
  <si>
    <t xml:space="preserve">   65% ФОТ (от 810)  (Поз. 69-70)</t>
  </si>
  <si>
    <t xml:space="preserve">   Пусконаладочные работы (в холостую 80%) ПЗ=0,8 (ОЗП=0,8; ЭМ=0,8; ЗПМ=0,8; МАТ=0,8; ТЗ=0,8; ТЗМ=0,8)  (Поз. 69-70)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</si>
  <si>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69-70)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</si>
  <si>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3, 5, 7, 10, 16, 20, 23, 33, 35, 40, 44, 46, 48, 50, 52, 54, 62, 12, 14, 26, 37, 64-65, 18, 42, 58, 27)</t>
  </si>
  <si>
    <t xml:space="preserve">   Заготовительно-складские расходы на оборудование - согласно п.4.64 из МДС 81-35.2004 ПЗ=1,012 (ОЗП=1,012; ЭМ=1,012; МАТ=1,012)  (Поз. 2, 6, 19, 32, 45, 49)</t>
  </si>
  <si>
    <t xml:space="preserve">   Транспортные расходы на оборудование - согласно п.4.60 из МДС 81-35.2004 ПЗ=1,03 (ОЗП=1,03; ЭМ=1,03; МАТ=1,03)  (Поз. 2, 6)</t>
  </si>
  <si>
    <t xml:space="preserve">   Заготовительно-складские расходы на материалы - согласно п.4.64 из МДС 81-35.2004 МАТ=1,02  (Поз. 4, 8, 21-22, 29-31, 34, 36, 38-39, 63, 9, 11, 15, 24-25, 28, 43, 47, 53, 57, 59-61, 66-68)</t>
  </si>
  <si>
    <t xml:space="preserve">   Районный к-т 4,3%  (Поз. 1, 3, 5, 7, 10, 16, 20, 23, 33, 35, 40, 44, 46, 48, 50, 52, 54, 62, 12, 14, 26, 37, 64-65, 18, 42, 58, 27, 69-70)</t>
  </si>
  <si>
    <t xml:space="preserve">                           Раздел 3. Пусконаладочные работы  (в холостую 80%)</t>
  </si>
  <si>
    <t>Пластина монтажная DKC 240х190мм 59607 (Цена:76руб :1,18:5,56)</t>
  </si>
  <si>
    <t>Коробка ответвительная DKC 240х190мм 54200 (Цена:377руб :1,18:5,56)</t>
  </si>
  <si>
    <t>Коробка ответвительная DKC 100х100мм 53800 (Цена:68руб :1,18:5,56)</t>
  </si>
  <si>
    <t>Монтаж: коробка коммутационная</t>
  </si>
  <si>
    <t>Коробка взрывозащищенная ККВ-07е-Т (Ц:1915руб :1,18:5,56)</t>
  </si>
  <si>
    <t>Прокладка кабеля, масса 1 м до 1 кг, по стене кирпичной</t>
  </si>
  <si>
    <t>Кабель КПСЭнг(А)-FRLS 4х1,5  (Ц:138095руб :1,18:5,56)</t>
  </si>
  <si>
    <t>Кабель КПСнг(А)-FRLS 1х2х0,5  (Ц:26709руб :1,18:5,56)</t>
  </si>
  <si>
    <t>Кабель КПСнг(А)-FRLS 2х2х0,5  (Ц:50064руб :1,18:5,56)</t>
  </si>
  <si>
    <t>Кабель КВБбШзнг 4х0,75  (Ц:46442руб :1,18:5,56)</t>
  </si>
  <si>
    <t>Кабели контрольные с медными жилами с поливинилхлоридной изоляцией и оболочкой марки КВВГ, с числом жил - 14 и сечением 0,75 мм2</t>
  </si>
  <si>
    <t>ТСЦ-501-0790</t>
  </si>
  <si>
    <t>Монтаж: модуль порошкового пожаротушения в помещении. Масса оборудования, т: 0,05</t>
  </si>
  <si>
    <t>ТЕРм37-01-002-02</t>
  </si>
  <si>
    <t>Модуль порошкового пожаротушения МПП(Н-Взр)-2(п)-И-ГЭ-У2 (Тунгус) Ц:2244руб:1,18:4,19)</t>
  </si>
  <si>
    <t>Монтаж: блок контрольно-пусковой С2000-КПБ</t>
  </si>
  <si>
    <t>Контрольно-пусковой блок с 6 исполнительными реле С2000-КПБ (Ц:2710,40руб:1,18:4,19)</t>
  </si>
  <si>
    <t>Релейный усилитель на 2 канала УК-ВК/04 (Ц:381,26руб:1,18:5,56)</t>
  </si>
  <si>
    <t>Приборы ПС приемно-контрольные, пусковые, концентратор блок базовый на 10 лучей</t>
  </si>
  <si>
    <t>ППК ВЭРС-ПК-8М  (Ц:2986,80руб:1,18:4,19)</t>
  </si>
  <si>
    <t>Блок защиты от скачков напряжения "Альбатрос-500" (Ц:528руб:1,18:5,56)</t>
  </si>
  <si>
    <t>Автомат одно-, двух-, трехполюсный, устанавливаемый на конструкции на стене или колонне, на ток до 25 А</t>
  </si>
  <si>
    <t>Выключатели автоматические ВА47-29М</t>
  </si>
  <si>
    <t>Извещатель ПС автоматический тепловой, дымовой, световой во взрывозащищенном исполнении</t>
  </si>
  <si>
    <t>ТЕРм10-08-002-03</t>
  </si>
  <si>
    <t>Оповещатель звуковой взрывозащищенный ВС-07е (Ц:4749руб :1,18:5,56)</t>
  </si>
  <si>
    <t>Извещатель магнитоконтактный взрывозащищенный ЕхИО102-1В-02-К (Ц:4568руб :1,18:5,56)</t>
  </si>
  <si>
    <t>Извещатель пожарный ручной уличного исполнения WCP3A-R000SF  (Ц:4823руб :1,18:5.56)</t>
  </si>
  <si>
    <t>Извещатель пламени т.Пульсар 3-015 Н  (Ц:15989руб :1,18:4,19)</t>
  </si>
  <si>
    <t>Шкаф автоматики со стеклянной дверцей 700х500х200 SR 7520V (Ц:9083,13руб :1,18:5,56)</t>
  </si>
  <si>
    <t>Шкаф настенный для приборов, размер до 640х840 мм</t>
  </si>
  <si>
    <t>Оповещатель световой "Молния-24В" с надписью "АВТОМАТИКА ОТКЛЮЧЕНА" (Ц:180руб:1,18:5,56)</t>
  </si>
  <si>
    <t>Оповещатель световой "Молния-24В" с надписью "ПОРОШОК! НЕ ВХОДИ!" (Ц:180руб:1,18:5,56)</t>
  </si>
  <si>
    <t>Световое табло ЭКРАН-С (компл. 01), Uпит. 12-24В, 300mA, Токр. среды  -550…+850,  1Exm[ib]IICT4X, IP65 (Ц: 7208руб:1.18:5,56)</t>
  </si>
  <si>
    <t>АКБ 12В 7А/ч  (Ц:551,65руб:1,18:5.56)</t>
  </si>
  <si>
    <t>Прибор управления порошковым, аэрозольным или газовым пожаротушением ППК С2000-АСТП (Цена 5916.90руб.:1.18:4.19)</t>
  </si>
  <si>
    <t xml:space="preserve">                           Раздел 2. Установка порошкового пожаротушения</t>
  </si>
  <si>
    <t>Дополнительная установка на пультах и панелях кнопки</t>
  </si>
  <si>
    <t>ТЕРм10-04-030-03</t>
  </si>
  <si>
    <t>Микровыключатели</t>
  </si>
  <si>
    <t>ТСЦ-509-7053</t>
  </si>
  <si>
    <t>Дополнительная установка на пультах и панелях реле</t>
  </si>
  <si>
    <t>ТЕРм10-04-030-02</t>
  </si>
  <si>
    <t>Реле промежуточное РПУ-2М211 6022  (Ц:505руб :1,18:5,56)</t>
  </si>
  <si>
    <r>
      <t>Демонтаж извещателей пламени "Спектрон 101"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</si>
  <si>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 xml:space="preserve">                           Раздел 1. Замена извещателей в малярном отделении</t>
  </si>
  <si>
    <t>_______________________________________________________________________________________________789,13</t>
  </si>
  <si>
    <t>___________________________12,385</t>
  </si>
  <si>
    <t>_______________________________________________________________________________________________37,506</t>
  </si>
  <si>
    <t>_______________________________________________________________________________________________1,661</t>
  </si>
  <si>
    <t>_______________________________________________________________________________________________103,899</t>
  </si>
  <si>
    <t>___________________________143,066</t>
  </si>
  <si>
    <t>Основание: проект № 24420-12-ПТ  Тема КПМ Т6270.121Н</t>
  </si>
  <si>
    <t>в помещении большой окрасочной камеры. Здание 142 участок 2. Инв. № 6200279</t>
  </si>
  <si>
    <t xml:space="preserve">Монтаж автоматических установок пожаротушения с подключением к существующей АПС </t>
  </si>
  <si>
    <t>(пересчет сметы № 24659)</t>
  </si>
  <si>
    <t>ЛОКАЛЬНЫЙ СМЕТНЫЙ РАСЧЕТ № 24659-П13</t>
  </si>
  <si>
    <t>Площадка 1. Здание 301</t>
  </si>
  <si>
    <t>автоматическую установку пожарной сигнализации и СОУЭ. Отключение вентсистем</t>
  </si>
  <si>
    <t xml:space="preserve">   65% ФОТ (от 7450)  (Поз. 2, 17, 19, 21, 43, 29, 31, 40, 42, 46, 34)</t>
  </si>
  <si>
    <t xml:space="preserve">   60% ФОТ (от 7466)  (Поз. 1, 4, 6, 11, 13, 15, 23, 25, 33)</t>
  </si>
  <si>
    <t xml:space="preserve">   40% ФОТ (от 4970)  (Поз. 60-62)</t>
  </si>
  <si>
    <t xml:space="preserve">   100% ФОТ (от 36)  (Поз. 34)</t>
  </si>
  <si>
    <t xml:space="preserve">   95% ФОТ (от 4681)  (Поз. 29, 31, 40, 42, 46)</t>
  </si>
  <si>
    <t xml:space="preserve">   92% ФОТ (от 1958)  (Поз. 17, 19, 21, 43)</t>
  </si>
  <si>
    <t xml:space="preserve">   85% ФОТ (от 775)  (Поз. 2)</t>
  </si>
  <si>
    <t xml:space="preserve">   80% ФОТ (от 7466)  (Поз. 1, 4, 6, 11, 13, 15, 23, 25, 33)</t>
  </si>
  <si>
    <t xml:space="preserve">   65% ФОТ (от 4970)  (Поз. 60-62)</t>
  </si>
  <si>
    <t xml:space="preserve">   Пусконаладочные работы (в холостую 80%) ПЗ=0,8 (ОЗП=0,8; ЭМ=0,8; ЗПМ=0,8; МАТ=0,8; ТЗ=0,8; ТЗМ=0,8)  (Поз. 60-62)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</si>
  <si>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60-62)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</si>
  <si>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4, 6, 11, 13, 15, 23, 25, 33, 17, 19, 21, 43, 29, 31, 40, 42, 46, 34)</t>
  </si>
  <si>
    <t xml:space="preserve">   Заготовительно-складские расходы на оборудование - согласно п.4.64 из МДС 81-35.2004 ПЗ=1,012 (ОЗП=1,012; ЭМ=1,012; МАТ=1,012)  (Поз. 3, 9-10, 22, 24, 5)</t>
  </si>
  <si>
    <t xml:space="preserve">   Транспортные расходы на оборудование - согласно п.4.60 из МДС 81-35.2004 ПЗ=1,03 (ОЗП=1,03; ЭМ=1,03; МАТ=1,03)  (Поз. 3, 9-10, 22, 24, 5)</t>
  </si>
  <si>
    <t xml:space="preserve">   Заготовительно-складские расходы на материалы - согласно п.4.64 из МДС 81-35.2004 МАТ=1,02  (Поз. 7-8, 14, 16, 20, 35-38, 44, 12, 18, 26-28, 41, 45, 47-59)</t>
  </si>
  <si>
    <t xml:space="preserve">   Районный к-т 4,3%  (Поз. 1, 4, 6, 11, 13, 15, 23, 25, 33, 2, 17, 19, 21, 43, 29, 31, 40, 42, 46, 34, 60-62)</t>
  </si>
  <si>
    <t xml:space="preserve">                           Раздел 3. Пусконаладочные работы (в холостую 80%)</t>
  </si>
  <si>
    <t>Коробка универсальная КМКУ 88х88х44 "ЭЛЕКОР"  CKK10D-U-1-K01 (Ц:40,81руб:1,18:5,56)</t>
  </si>
  <si>
    <t>Поворот 90 гр. КМП 25х16  "ЭЛЕКОР" CKK10D-P-025-016-K01 (Ц:10,30руб:1,18:5.56)</t>
  </si>
  <si>
    <t>Шкаф настенный для приборов, размер 700х500х250мм</t>
  </si>
  <si>
    <t>Извещатель пожарный тепловой взрывозащищенный ИП 101-7е (комп.06) (Ц:3744руб:1,18:5,56)</t>
  </si>
  <si>
    <t>Монтаж: метка адресная  "Юнитроник"  "МА-УОП"; "МА-7ТС24"</t>
  </si>
  <si>
    <t>Метка пожарная адресная МА-7ТС24 (Ц:590руб :1,18:4,19)</t>
  </si>
  <si>
    <t xml:space="preserve">                           Раздел 2. Монтажные работы</t>
  </si>
  <si>
    <t>Демонтаж кабеля</t>
  </si>
  <si>
    <t>ТЕРр67-3-1</t>
  </si>
  <si>
    <r>
      <t>Демонтаж извещателя ИП-104</t>
    </r>
    <r>
      <rPr>
        <i/>
        <sz val="7"/>
        <rFont val="Arial"/>
        <family val="2"/>
        <charset val="204"/>
      </rPr>
      <t xml:space="preserve">
КОЭФ. К ПОЗИЦИИ:
демонтаж ОЗП=0,4; ЭМ=0,4 к расх.; ЗПМ=0,4; МАТ=0 к расх.; ТЗ=0,4; ТЗМ=0,4</t>
    </r>
  </si>
  <si>
    <t xml:space="preserve">                           Раздел 1. Демонтажные работы</t>
  </si>
  <si>
    <t>_______________________________________________________________________________________________1321,8</t>
  </si>
  <si>
    <t>___________________________19,886</t>
  </si>
  <si>
    <t>_______________________________________________________________________________________________5,471</t>
  </si>
  <si>
    <t>_______________________________________________________________________________________________10,189</t>
  </si>
  <si>
    <t>_______________________________________________________________________________________________79,238</t>
  </si>
  <si>
    <t>___________________________94,898</t>
  </si>
  <si>
    <t>Основание: проект № 24480-12-ПТ  Тема КПМ Т6274.121</t>
  </si>
  <si>
    <r>
      <t>Площадка 1. АБК здания 141. МСП121.</t>
    </r>
    <r>
      <rPr>
        <b/>
        <i/>
        <sz val="10"/>
        <rFont val="Arial"/>
        <family val="2"/>
        <charset val="204"/>
      </rPr>
      <t xml:space="preserve"> Инв.№ 5700278</t>
    </r>
  </si>
  <si>
    <t>автоматическую установку пожарной сигнализации и СОУЭ. Отключение вентиляции</t>
  </si>
  <si>
    <t>ЛОКАЛЬНЫЙ СМЕТНЫЙ РАСЧЕТ № 24715</t>
  </si>
  <si>
    <t xml:space="preserve">автоматическую установку пожарной сигнализации и СОУЭ. </t>
  </si>
  <si>
    <t xml:space="preserve">  Итого Строительные работы</t>
  </si>
  <si>
    <t xml:space="preserve">   70% ФОТ (от 53)  (Поз. 40-41)</t>
  </si>
  <si>
    <t xml:space="preserve">   65% ФОТ (от 1578)  (Поз. 4, 14, 19, 21, 25-26, 32, 35, 37-39)</t>
  </si>
  <si>
    <t xml:space="preserve">   60% ФОТ (от 2250)  (Поз. 2, 6, 9, 12, 16, 23, 31)</t>
  </si>
  <si>
    <t xml:space="preserve">   40% ФОТ (от 797)  (Поз. 42-44)</t>
  </si>
  <si>
    <t xml:space="preserve">   110% ФОТ (от 53)  (Поз. 40-41)</t>
  </si>
  <si>
    <t xml:space="preserve">   95% ФОТ (от 664)  (Поз. 25-26, 32, 35, 37-39)</t>
  </si>
  <si>
    <t xml:space="preserve">   92% ФОТ (от 914)  (Поз. 4, 14, 19, 21)</t>
  </si>
  <si>
    <t xml:space="preserve">   80% ФОТ (от 2250)  (Поз. 2, 6, 9, 12, 16, 23, 31)</t>
  </si>
  <si>
    <t xml:space="preserve">   65% ФОТ (от 797)  (Поз. 42-44)</t>
  </si>
  <si>
    <t xml:space="preserve">   Пусконаладочные работы (в холостую 80%) ПЗ=0,8 (ОЗП=0,8; ЭМ=0,8; ЗПМ=0,8; МАТ=0,8; ТЗ=0,8; ТЗМ=0,8)  (Поз. 42-44)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</si>
  <si>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42-44)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</si>
  <si>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6, 9, 12, 16, 23, 31, 4, 14, 19, 21, 25-26, 32, 35, 37-39)</t>
  </si>
  <si>
    <t xml:space="preserve">   Заготовительно-складские расходы на оборудование - согласно п.4.64 из МДС 81-35.2004 ПЗ=1,012 (ОЗП=1,012; ЭМ=1,012; МАТ=1,012)  (Поз. 10-11)</t>
  </si>
  <si>
    <t xml:space="preserve">   Транспортные расходы на оборудование - согласно п.4.60 из МДС 81-35.2004 ПЗ=1,03 (ОЗП=1,03; ЭМ=1,03; МАТ=1,03)  (Поз. 10-11)</t>
  </si>
  <si>
    <t xml:space="preserve">   Заготовительно-складские расходы на материалы - согласно п.4.64 из МДС 81-35.2004 МАТ=1,02  (Поз. 1, 15, 17-18, 24, 27-29, 3, 5, 7-8, 13, 20)</t>
  </si>
  <si>
    <t xml:space="preserve">   Районный к-т 4,3%  (Поз. 40-41, 2, 6, 9, 12, 16, 23, 31, 4, 14, 19, 21, 25-26, 32, 35, 37-39, 42-44)</t>
  </si>
  <si>
    <t xml:space="preserve">                           Раздел 2. Пусконаладочные работы</t>
  </si>
  <si>
    <t>1 м3 заделки</t>
  </si>
  <si>
    <t>Заделка отверстий, гнезд и борозд в стенах и перегородках бетонных площадью до 0,1 м2</t>
  </si>
  <si>
    <t>ТЕР46-03-017-05</t>
  </si>
  <si>
    <t>Пробивка в кирпичных стенах отверстий круглых диаметром до 50 мм при толщине стен до 51 см</t>
  </si>
  <si>
    <t>ТЕР46-03-009-08</t>
  </si>
  <si>
    <t>Герметизация проходов при вводе кабелей в помещения уплотнительной массой</t>
  </si>
  <si>
    <t>Устройство ввода в здание в стальной трубе, провод сечением до 16 мм2, количество проводов в линии 2</t>
  </si>
  <si>
    <t>ТЕРм08-02-374-01</t>
  </si>
  <si>
    <t>Труба винипластовая по установленным конструкциям, по стенам и колоннам с креплением скобами, диаметр до 25 мм</t>
  </si>
  <si>
    <t>ТЕРм08-02-409-01</t>
  </si>
  <si>
    <t>Трубки защитные гофрированные</t>
  </si>
  <si>
    <t>ТСЦ-301-1380</t>
  </si>
  <si>
    <t>10 м</t>
  </si>
  <si>
    <t>Канат двойной свивки типа ТК, конструкции 6х19(1+6+12)+1 о.с., без покрытия из проволок марки В, маркировочная группа 1770 н/мм2, диаметром 6,5 мм</t>
  </si>
  <si>
    <t>ТСЦ-508-0087</t>
  </si>
  <si>
    <t>Кабель до 35 кВ, подвешиваемый на тросе, масса 1 м кабеля до 1 кг</t>
  </si>
  <si>
    <t>ТЕРм08-02-149-01</t>
  </si>
  <si>
    <t>Кабель КВБбШзнг 2х075</t>
  </si>
  <si>
    <t>ТСЦ-501-8365 прим.</t>
  </si>
  <si>
    <t>Кабель КВПП-5Е 4х2х0,5 (Ц:17670руб :1,18:5,56)</t>
  </si>
  <si>
    <t>Кабель-канал  16х16 "ЭЛЕКОР" CKK10-016-016-1-K01   (Ц:15,82руб:1,18:5.56)</t>
  </si>
  <si>
    <t>Коробка распределительная DKC 150х110х70 IP55  54000 (Цена:151руб :1,18:5,56)</t>
  </si>
  <si>
    <t>Коробка распределительная DKC 65мм  53500 (Цена:23руб :1,18:5,56)</t>
  </si>
  <si>
    <t>Монтаж: выносное устройство оптической сигнализации УШК  (ВУОС)</t>
  </si>
  <si>
    <t>Выносное устройство оптической сигнализации УШК-02 (Ц:194,70руб.:1,18:5,56)</t>
  </si>
  <si>
    <t>Оповещатель "Маяк-24-КПМ2" (Ц:250руб :1,18:5,56)</t>
  </si>
  <si>
    <t>Метка пожарно-охранная адресная МА-7ТС (Ц:490руб :1,18:4,19)</t>
  </si>
  <si>
    <t>Извещатель пожарный тепловой взрывозащищенный ИП 101-7е (комп.06) (Ц:3497руб:1,18:5,56)</t>
  </si>
  <si>
    <t>Извещатель пожарный тепловой взрывозащищенный ИП 101-7е (комп.02) (Ц:3382руб:1,18:5,56)</t>
  </si>
  <si>
    <t>Извещатель ПС автоматический тепловой электро-контактный, магнитоконтактный в нормальном исполнении</t>
  </si>
  <si>
    <t>ТЕРм10-08-002-01</t>
  </si>
  <si>
    <t>Дымовой пожарный извещатель ИП 103-5/С2-А1 (Ц:47,50руб :1,18:5,56)</t>
  </si>
  <si>
    <t>Дымовой пожарный извещатель ИП-212-90 (Ц:230руб :1,18:5,56)</t>
  </si>
  <si>
    <t>_______________________________________________________________________________________________302,76</t>
  </si>
  <si>
    <t>___________________________4,678</t>
  </si>
  <si>
    <t>_______________________________________________________________________________________________0,656</t>
  </si>
  <si>
    <t>_______________________________________________________________________________________________1,634</t>
  </si>
  <si>
    <t>_______________________________________________________________________________________________22,936</t>
  </si>
  <si>
    <t>_______________________________________________________________________________________________0,244</t>
  </si>
  <si>
    <t xml:space="preserve">      строительных работ _______________________________________________________________________________________________</t>
  </si>
  <si>
    <t>___________________________25,470</t>
  </si>
  <si>
    <t>Основание: проект № 24436-12-ПС Изм №53-13 Тема КПМ Т6268.121Н</t>
  </si>
  <si>
    <r>
      <t xml:space="preserve">        на монтаж АПС.  Площадка 1. Здание 133. </t>
    </r>
    <r>
      <rPr>
        <b/>
        <i/>
        <sz val="10"/>
        <rFont val="Arial"/>
        <family val="2"/>
        <charset val="204"/>
      </rPr>
      <t xml:space="preserve">Инв.№ 6510001 </t>
    </r>
  </si>
  <si>
    <t>(взамен сметы № 24712)</t>
  </si>
  <si>
    <t>ЛОКАЛЬНЫЙ СМЕТНЫЙ РАСЧЕТ № 24865</t>
  </si>
  <si>
    <t>23727</t>
  </si>
  <si>
    <t>23857</t>
  </si>
  <si>
    <t>24659</t>
  </si>
  <si>
    <t>24715</t>
  </si>
  <si>
    <t>24865</t>
  </si>
  <si>
    <t xml:space="preserve">монтаж АПС и СОУЭ. Здание 411. Инв.№ 5500453 </t>
  </si>
  <si>
    <t>монтаж СОУЭ, системы отключения вентиляции при пожаре. Здание 292. Инв. № 7612877. Раздел: Система оповещения и управления эвакуацией людей при пожаре</t>
  </si>
  <si>
    <t>Монтаж автоматических установок пожаротушения с подключением к существующей АПС в помещении большой окрасочной камеры. Здание 142 участок 2. Инв. № 6200279</t>
  </si>
  <si>
    <t>монтаж автоматической установки пожарной сигнализации и СОУЭ. Отключение вентсистем. Площадка 1. Здание 301</t>
  </si>
  <si>
    <t>монтаж автоматической установки пожарной сигнализации и СОУЭ. Отключение вентиляции. Площадка 1. АБК здания 141. МСП121. Инв.№ 5700278</t>
  </si>
  <si>
    <t xml:space="preserve">монтаж АПС.  Площадка 1. Здание 133. Инв.№ 6510001 </t>
  </si>
  <si>
    <t xml:space="preserve">   65% ФОТ (от 2526)  (Поз. 17, 21, 23, 36, 27, 30, 33, 43, 45, 38)</t>
  </si>
  <si>
    <t xml:space="preserve">   60% ФОТ (от 3288)  (Поз. 2, 4, 6, 8, 10, 13, 15, 19, 25, 35, 48)</t>
  </si>
  <si>
    <t xml:space="preserve">   40% ФОТ (от 2636)  (Поз. 53-56)</t>
  </si>
  <si>
    <t xml:space="preserve">   100% ФОТ (от 39)  (Поз. 38)</t>
  </si>
  <si>
    <t xml:space="preserve">   95% ФОТ (от 1573)  (Поз. 27, 30, 33, 43, 45)</t>
  </si>
  <si>
    <t xml:space="preserve">   92% ФОТ (от 914)  (Поз. 17, 21, 23, 36)</t>
  </si>
  <si>
    <t xml:space="preserve">   80% ФОТ (от 3288)  (Поз. 2, 4, 6, 8, 10, 13, 15, 19, 25, 35, 48)</t>
  </si>
  <si>
    <t xml:space="preserve">   65% ФОТ (от 2636)  (Поз. 53-56)</t>
  </si>
  <si>
    <t xml:space="preserve">   Пусконаладочные работы (в холостую 80%) ПЗ=0,8 (ОЗП=0,8; ЭМ=0,8; ЗПМ=0,8; МАТ=0,8; ТЗ=0,8; ТЗМ=0,8)  (Поз. 53-56)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</si>
  <si>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53-56)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</si>
  <si>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6, 8, 10, 13, 15, 19, 25, 35, 48, 17, 21, 23, 36, 27, 30, 33, 43, 45, 38)</t>
  </si>
  <si>
    <t xml:space="preserve">   Заготовительно-складские расходы на оборудование - согласно п.4.64 из МДС 81-35.2004 ПЗ=1,012 (ОЗП=1,012; ЭМ=1,012; МАТ=1,012)  (Поз. 1, 3, 5, 7, 9, 14, 24)</t>
  </si>
  <si>
    <t xml:space="preserve">   Транспортные расходы на оборудование - согласно п.4.60 из МДС 81-35.2004 ПЗ=1,03 (ОЗП=1,03; ЭМ=1,03; МАТ=1,03)  (Поз. 1, 3, 5, 7, 9, 14, 24)</t>
  </si>
  <si>
    <t xml:space="preserve">   Заготовительно-складские расходы на материалы - согласно п.4.64 из МДС 81-35.2004 МАТ=1,02  (Поз. 11, 20, 39-42, 49-52, 12, 16, 18, 22, 31-32)</t>
  </si>
  <si>
    <t xml:space="preserve">   Районный к-т 4,3%  (Поз. 2, 4, 6, 8, 10, 13, 15, 19, 25, 35, 48, 17, 21, 23, 36, 27, 30, 33, 43, 45, 38, 53-56)</t>
  </si>
  <si>
    <r>
      <t>Кабель-канал (короб) "Электропласт" 50x20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</si>
  <si>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ФССЦ-509-1835 прим.</t>
  </si>
  <si>
    <r>
      <t>Короба пластмассовые: шириной до 63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</si>
  <si>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ФЕРм08-02-390-02</t>
  </si>
  <si>
    <t>Выключатели автоматические</t>
  </si>
  <si>
    <t>Монтаж: блок БРИЗ</t>
  </si>
  <si>
    <t>Блок разветвительно-изолирующий "Бриз" (Ц:385руб 1,18:5,56)</t>
  </si>
  <si>
    <t>Извещатель ручной "ИПР 513-ЗАМ" исп. 01 (Ц:550руб 1,18:5,56)</t>
  </si>
  <si>
    <t>Монтаж: блок индикации С2000-БИ</t>
  </si>
  <si>
    <t>Блок индикации С2000-БИ  (Ц:4336,20руб:1,18:4,19)</t>
  </si>
  <si>
    <t>АКБ 12в 17,0 А/ч  (Ц:1755.60руб:1,18:5.56)</t>
  </si>
  <si>
    <t>SKAT -V.24DC-18 исп. 5000 (Ц:25006руб:1,18:4,19)</t>
  </si>
  <si>
    <t>Адресный релейный блок на два реле С2000-СП1  (Ц:1700,60руб:1,18:4,19)</t>
  </si>
  <si>
    <t>_______________________________________________________________________________________________535,1</t>
  </si>
  <si>
    <t>___________________________8,450</t>
  </si>
  <si>
    <t>_______________________________________________________________________________________________10,421</t>
  </si>
  <si>
    <t>_______________________________________________________________________________________________5,403</t>
  </si>
  <si>
    <t>_______________________________________________________________________________________________33,325</t>
  </si>
  <si>
    <t>___________________________49,149</t>
  </si>
  <si>
    <t>Основание: проект № 24546-13-ПС  Тема КПМ Т6264.015</t>
  </si>
  <si>
    <t>Площадка V А.  Здание 700. Инв. № 9912226</t>
  </si>
  <si>
    <t>ЛОКАЛЬНЫЙ СМЕТНЫЙ РАСЧЕТ № 24817</t>
  </si>
  <si>
    <t xml:space="preserve">   65% ФОТ (от 14702)  (Поз. 19, 21, 23, 44, 46, 52, 54, 64, 74, 26, 35, 48, 66, 38, 50, 55)</t>
  </si>
  <si>
    <t xml:space="preserve">   60% ФОТ (от 28711)  (Поз. 2, 4, 8, 10, 12, 14, 16, 25, 37, 61, 67, 69-70, 76, 79, 81, 83)</t>
  </si>
  <si>
    <t xml:space="preserve">   40% ФОТ (от 6046)  (Поз. 84-88)</t>
  </si>
  <si>
    <t xml:space="preserve">   100% ФОТ (от 112)  (Поз. 38, 50, 55)</t>
  </si>
  <si>
    <t xml:space="preserve">   95% ФОТ (от 5506)  (Поз. 26, 35, 48, 66)</t>
  </si>
  <si>
    <t xml:space="preserve">   92% ФОТ (от 9084)  (Поз. 19, 21, 23, 44, 46, 52, 54, 64, 74)</t>
  </si>
  <si>
    <t xml:space="preserve">   80% ФОТ (от 28711)  (Поз. 2, 4, 8, 10, 12, 14, 16, 25, 37, 61, 67, 69-70, 76, 79, 81, 83)</t>
  </si>
  <si>
    <t xml:space="preserve">   65% ФОТ (от 6046)  (Поз. 84-88)</t>
  </si>
  <si>
    <t xml:space="preserve">   Пусконаладочные работы (в холостую 80%) ПЗ=0,8 (ОЗП=0,8; ЭМ=0,8; ЗПМ=0,8; МАТ=0,8; ТЗ=0,8; ТЗМ=0,8)  (Поз. 84-88)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</si>
  <si>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84-88)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</si>
  <si>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8, 10, 12, 14, 16, 25, 37, 61, 67, 69-70, 76, 79, 81, 83, 19, 21, 23, 44, 46, 52, 54, 64, 74, 26, 35, 48, 66, 38, 50, 55)</t>
  </si>
  <si>
    <t xml:space="preserve">   Заготовительно-складские расходы на оборудование - согласно п.4.64 из МДС 81-35.2004 ПЗ=1,012 (ОЗП=1,012; ЭМ=1,012; МАТ=1,012)  (Поз. 1, 3, 6-7, 9, 11, 60, 80, 24, 53, 73, 75, 77)</t>
  </si>
  <si>
    <t xml:space="preserve">   Транспортные расходы на оборудование - согласно п.4.60 из МДС 81-35.2004 ПЗ=1,03 (ОЗП=1,03; ЭМ=1,03; МАТ=1,03)  (Поз. 1, 3, 6-7, 9, 11, 60, 80, 24, 53, 73, 75, 77)</t>
  </si>
  <si>
    <t xml:space="preserve">   Заготовительно-складские расходы на материалы - согласно п.4.64 из МДС 81-35.2004 МАТ=1,02  (Поз. 5, 17, 22, 29-30, 40-42, 49, 56-59, 62, 68, 71-72, 82, 13, 15, 18, 20, 32, 39, 51, 63, 65, 78)</t>
  </si>
  <si>
    <t xml:space="preserve">   Районный к-т 4,3%  (Поз. 2, 4, 8, 10, 12, 14, 16, 25, 37, 61, 67, 69-70, 76, 79, 81, 83, 19, 21, 23, 44, 46, 52, 54, 64, 74, 26, 35, 48, 66, 38, 50, 55, 84-88)</t>
  </si>
  <si>
    <t>1 полукомплект</t>
  </si>
  <si>
    <t>Высокочастотный канал одного полукомплекта защиты или аппаратуры противоаварийной автоматики на линии без ответвлений</t>
  </si>
  <si>
    <t>ТЕРп01-04-075-01</t>
  </si>
  <si>
    <t>Извещатель пламени т.Пульсар 3-015НК  (Ц: 16520руб:1,18:4,19)</t>
  </si>
  <si>
    <t>Монтаж: блок разветвительно-изолирующий "Бриз"</t>
  </si>
  <si>
    <t>ТЕРм10-08-003-01</t>
  </si>
  <si>
    <t>Блок разветвительно-изолирующий "Бриз" (Ц:320,60руб 1,18:5,56)</t>
  </si>
  <si>
    <t>Устройство поиска места срабатывания термокабеля MFL-92 (Ц:32000руб :1,18:4,19)</t>
  </si>
  <si>
    <t>Монтаж: модуль интерфейсный</t>
  </si>
  <si>
    <t>ТЕРм10-01-001-10</t>
  </si>
  <si>
    <t>Модуль интерфейсный  PIM-430D (Ц:18275руб :1,18:4,19)</t>
  </si>
  <si>
    <t>Монтаж: передатчик-коммуникатор RS-202ТD</t>
  </si>
  <si>
    <t>ТЕРм10-04-088-01</t>
  </si>
  <si>
    <t>Передатчик-коммутатор RS-202TD (Ц:5787руб :1,18:4,19)</t>
  </si>
  <si>
    <t>ВЧ-кабельный разъём N-211B (Ц:122руб :1,18:4,42)</t>
  </si>
  <si>
    <t>ВЧ-кабельный разъём N-111B (Ц:100руб :1,18:4,42)</t>
  </si>
  <si>
    <t>10 концов кабеля</t>
  </si>
  <si>
    <t>Разделка и включение кабеля или провода однопарного высокочастотного</t>
  </si>
  <si>
    <t>ТЕРм10-01-051-33</t>
  </si>
  <si>
    <t>Кабель антенный высокочастотный RG213U (50Ом) (Ц:205.93руб :1,18:4,42)</t>
  </si>
  <si>
    <t>Разделка и включение кабеля или провода однопарного</t>
  </si>
  <si>
    <t>ТЕРм10-01-051-32</t>
  </si>
  <si>
    <t>Провод в лотках, сечением до 6 мм2</t>
  </si>
  <si>
    <t>ТЕРм08-02-398-01</t>
  </si>
  <si>
    <t>Кабель КСБнг(А)-FRHF 4х2х0,64  (Ц:85192руб :1,18:4,42)</t>
  </si>
  <si>
    <t>Монтаж: релейный модуль</t>
  </si>
  <si>
    <t>ТЕРм11-04-008-01</t>
  </si>
  <si>
    <t>Релейный модуль РМ-03 исп. 12VDC (Ц:360руб.:1,18:4,42)</t>
  </si>
  <si>
    <t>Источник питания СКАТ1200  (Ц:3524руб:1,18:4,19)</t>
  </si>
  <si>
    <t>Коплект замка DKC 502003  (Ц:295руб :1,18:4,42)</t>
  </si>
  <si>
    <t>Коплект стандартных петель DKC 502001  (Ц:66,95руб :1,18:4,42)</t>
  </si>
  <si>
    <t>Монтажная плата 600х400мм DKC 503640  (Ц:834,62руб :1,18:4,42)</t>
  </si>
  <si>
    <t>Корпус пластиковый 600х400х160мм с прозрачной крышкой DKC 564301  (Ц:3352,65руб :1,18:4,42)</t>
  </si>
  <si>
    <t>Монтаж: антенна объектовая</t>
  </si>
  <si>
    <t>ТЕРм10-04-077-03</t>
  </si>
  <si>
    <t>Антенна АН2-433 (Ц:1224,30руб :1,18:4,19)</t>
  </si>
  <si>
    <t>Монтаж: коробка ответвительная DKC</t>
  </si>
  <si>
    <t>Коробка распределительная DKC 80х80х40 IP55  53700 (Цена:34руб :1,18:5,56)</t>
  </si>
  <si>
    <t>ТСЦ-509-0213 прим.</t>
  </si>
  <si>
    <t>Монтажная коробка</t>
  </si>
  <si>
    <t>Монтажная панель PF 1080 (Ц:2817,94руб :1,18:5,56)</t>
  </si>
  <si>
    <t>Шкаф автоматики со стеклянной дверцей 1000х600х300 SRN 10830V (Ц:14796,16руб :1,18:5,56)</t>
  </si>
  <si>
    <t>Шкаф настенный для приборов, размер до 700х1000 мм</t>
  </si>
  <si>
    <t>Кабели контрольные с медными жилами с поливинилхлоридной изоляцией и оболочкой марки КВВГ, с числом жил - 5 и сечением 0,75 мм2</t>
  </si>
  <si>
    <t>ТСЦ-501-0787</t>
  </si>
  <si>
    <t>Кабель КПСнг(А)-FRLS 1х2х0,75 (Ц:38764руб :1,18:5,56)</t>
  </si>
  <si>
    <t>Кабель КПСнг(А)-FRLS 1х2х0,5 (Ц:30018руб :1,18:5,56)</t>
  </si>
  <si>
    <r>
      <t>Кабель-канал (короб) 25х16 мм с комплектующими элементами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</si>
  <si>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r>
      <t>Кабель-канал (короб) 40х26 мм с комплектующими элементами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</si>
  <si>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ФССЦ-509-1844</t>
  </si>
  <si>
    <t>Извещатель ручной "ИПР 513-ЗАМ" исп. 01 (Ц:650руб 1,18:5,56)</t>
  </si>
  <si>
    <t>Крепежное устройство (зажимам монтажный) WAW-N (Ц:0,89руб :1,18:5,56)</t>
  </si>
  <si>
    <t>Прокладка термокабеля с креплением зажимами монтажными по стене кирпичной</t>
  </si>
  <si>
    <t>ТЕРм10-01-055-08 прим.</t>
  </si>
  <si>
    <t>Извещатель тепловой PHSC-155-EPR (термокабель)  (Ц:360руб 1,18:5,56)</t>
  </si>
  <si>
    <t>Монтаж: извещатель пожарный дымовой оптико-электронный ДИП-34А</t>
  </si>
  <si>
    <t>Извещатель пожарный дымовой оптико-электронный ДИП-34А  (Ц:650руб :1,18:5,56)</t>
  </si>
  <si>
    <t>Монтаж: блок сигнально-пусковой С2000-СП1</t>
  </si>
  <si>
    <t>Монтаж: адресный расширитель "С2000-АР"</t>
  </si>
  <si>
    <t>Адресный расширитель "С2000-АР8" (Ц:1601,60руб:1,18:4,19)</t>
  </si>
  <si>
    <t>Адресный расширитель "С2000-АР2" (Ц:479,71руб:1,18:4,19)</t>
  </si>
  <si>
    <t>АКБ 12в 65 А/ч  (Ц:2015руб:1,18:5.56)</t>
  </si>
  <si>
    <t>_______________________________________________________________________________________________3426,98</t>
  </si>
  <si>
    <t>___________________________49,459</t>
  </si>
  <si>
    <t>_______________________________________________________________________________________________268,584</t>
  </si>
  <si>
    <t>_______________________________________________________________________________________________12,394</t>
  </si>
  <si>
    <t>_______________________________________________________________________________________________382,158</t>
  </si>
  <si>
    <t>___________________________663,136</t>
  </si>
  <si>
    <t>Основание: проект № 24524-13-ПТ  Тема КПМ Т6263.015</t>
  </si>
  <si>
    <t>Площадка 1. Отдел 015. Здание 144А-1. Инв. № 0012108</t>
  </si>
  <si>
    <t>реконструкцию автоматической пожарной сигнализации и СОУЭ. Отключение вентиляции</t>
  </si>
  <si>
    <t>ЛОКАЛЬНЫЙ СМЕТНЫЙ РАСЧЕТ № 24903</t>
  </si>
  <si>
    <t>24817</t>
  </si>
  <si>
    <t>24903</t>
  </si>
  <si>
    <t>монтаж автоматической установки пожарной сигнализации и СОУЭ. Отключение вентиляции. Площадка V А.  Здание 700. Инв. № 9912226</t>
  </si>
  <si>
    <t>реконструкция автоматической пожарной сигнализации и СОУЭ. Отключение вентиляции. Площадка 1. Отдел 015. Здание 144А-1. Инв. № 0012108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</si>
</sst>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0.000"/>
  </numFmts>
  <fonts count="50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i/>
      <sz val="10"/>
      <name val="Arial Cyr"/>
      <charset val="204"/>
    </font>
    <font>
      <b/>
      <i/>
      <sz val="9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00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49" fontId="10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1" fillId="0" borderId="21" xfId="72" applyNumberFormat="1" applyFont="1" applyFill="1" applyBorder="1" applyAlignment="1">
      <alignment vertical="center" wrapText="1"/>
    </xf>
    <xf numFmtId="0" fontId="35" fillId="0" borderId="16" xfId="72" applyNumberFormat="1" applyFont="1" applyFill="1" applyBorder="1" applyAlignment="1">
      <alignment horizontal="left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49" fontId="31" fillId="24" borderId="12" xfId="73" applyNumberFormat="1" applyFont="1" applyFill="1" applyBorder="1" applyAlignment="1">
      <alignment horizontal="left" vertical="center" wrapText="1"/>
    </xf>
    <xf numFmtId="49" fontId="39" fillId="0" borderId="14" xfId="72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right" vertical="top"/>
    </xf>
    <xf numFmtId="0" fontId="5" fillId="0" borderId="12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41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165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42" fillId="0" borderId="0" xfId="0" applyNumberFormat="1" applyFont="1" applyAlignment="1">
      <alignment horizontal="left" vertical="top"/>
    </xf>
    <xf numFmtId="0" fontId="42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2" fillId="0" borderId="11" xfId="0" applyFont="1" applyBorder="1" applyAlignment="1">
      <alignment horizontal="center" vertical="top"/>
    </xf>
    <xf numFmtId="0" fontId="4" fillId="0" borderId="11" xfId="0" applyFont="1" applyBorder="1"/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0" fontId="4" fillId="0" borderId="10" xfId="0" applyFont="1" applyBorder="1"/>
    <xf numFmtId="0" fontId="4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2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0" fontId="6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3" fontId="4" fillId="0" borderId="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0" fontId="1" fillId="0" borderId="0" xfId="0" applyFont="1"/>
    <xf numFmtId="0" fontId="46" fillId="0" borderId="0" xfId="0" applyFont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vertical="top"/>
    </xf>
    <xf numFmtId="3" fontId="4" fillId="0" borderId="0" xfId="0" applyNumberFormat="1" applyFont="1" applyAlignment="1">
      <alignment horizontal="right"/>
    </xf>
    <xf numFmtId="0" fontId="4" fillId="0" borderId="22" xfId="0" applyFont="1" applyBorder="1" applyAlignment="1"/>
    <xf numFmtId="4" fontId="31" fillId="24" borderId="0" xfId="73" applyNumberFormat="1" applyFont="1" applyFill="1" applyAlignment="1">
      <alignment horizontal="center" vertical="center"/>
    </xf>
    <xf numFmtId="4" fontId="31" fillId="24" borderId="0" xfId="73" applyNumberFormat="1" applyFont="1" applyFill="1" applyAlignment="1">
      <alignment horizontal="center" vertical="center" wrapText="1"/>
    </xf>
    <xf numFmtId="4" fontId="35" fillId="24" borderId="0" xfId="73" applyNumberFormat="1" applyFont="1" applyFill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right" vertical="top"/>
    </xf>
    <xf numFmtId="0" fontId="44" fillId="0" borderId="0" xfId="0" applyFont="1"/>
    <xf numFmtId="49" fontId="47" fillId="0" borderId="0" xfId="0" applyNumberFormat="1" applyFont="1" applyBorder="1" applyAlignment="1">
      <alignment horizontal="left" vertical="top" wrapText="1"/>
    </xf>
    <xf numFmtId="0" fontId="48" fillId="0" borderId="0" xfId="0" applyFont="1" applyBorder="1" applyAlignment="1">
      <alignment horizontal="right" vertical="top"/>
    </xf>
    <xf numFmtId="0" fontId="48" fillId="0" borderId="0" xfId="0" applyFont="1" applyAlignment="1">
      <alignment horizontal="right" vertical="top"/>
    </xf>
    <xf numFmtId="0" fontId="49" fillId="0" borderId="0" xfId="0" applyFont="1" applyAlignment="1">
      <alignment horizontal="center" vertical="top"/>
    </xf>
    <xf numFmtId="0" fontId="4" fillId="0" borderId="22" xfId="0" applyFont="1" applyBorder="1" applyAlignment="1">
      <alignment horizontal="left" vertical="top"/>
    </xf>
    <xf numFmtId="3" fontId="41" fillId="0" borderId="0" xfId="0" applyNumberFormat="1" applyFont="1" applyAlignment="1">
      <alignment horizontal="left"/>
    </xf>
    <xf numFmtId="3" fontId="4" fillId="0" borderId="22" xfId="0" applyNumberFormat="1" applyFont="1" applyBorder="1" applyAlignment="1">
      <alignment horizontal="right" vertical="top"/>
    </xf>
    <xf numFmtId="49" fontId="31" fillId="24" borderId="22" xfId="73" applyNumberFormat="1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5" fillId="0" borderId="12" xfId="0" applyFont="1" applyBorder="1" applyAlignment="1">
      <alignment horizontal="left" vertical="top" wrapText="1"/>
    </xf>
    <xf numFmtId="0" fontId="44" fillId="0" borderId="12" xfId="0" applyFont="1" applyBorder="1" applyAlignment="1">
      <alignment vertical="top" wrapText="1"/>
    </xf>
    <xf numFmtId="0" fontId="4" fillId="0" borderId="22" xfId="0" applyFont="1" applyBorder="1" applyAlignment="1">
      <alignment horizontal="center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1"/>
  <sheetViews>
    <sheetView showGridLines="0" topLeftCell="A76" zoomScaleNormal="100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6.42578125" style="1" customWidth="1"/>
    <col min="3" max="3" width="34.28515625" style="8" customWidth="1"/>
    <col min="4" max="4" width="7.7109375" style="7" customWidth="1"/>
    <col min="5" max="5" width="8.8554687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11.1406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outlineLevel="1" x14ac:dyDescent="0.2">
      <c r="A6" s="99"/>
      <c r="B6" s="102"/>
      <c r="C6" s="100"/>
      <c r="D6" s="4"/>
      <c r="E6" s="98"/>
      <c r="F6" s="98"/>
      <c r="G6" s="121" t="s">
        <v>561</v>
      </c>
      <c r="H6" s="121"/>
      <c r="I6" s="121"/>
      <c r="J6" s="98"/>
      <c r="K6" s="125"/>
      <c r="L6" s="98"/>
      <c r="M6" s="98"/>
      <c r="N6" s="98"/>
      <c r="O6" s="98"/>
      <c r="P6" s="98"/>
    </row>
    <row r="7" spans="1:18" x14ac:dyDescent="0.2">
      <c r="A7" s="99"/>
      <c r="B7" s="102"/>
      <c r="C7" s="100"/>
      <c r="D7" s="4"/>
      <c r="E7" s="98"/>
      <c r="F7" s="98"/>
      <c r="G7" s="120" t="s">
        <v>560</v>
      </c>
      <c r="H7" s="99"/>
      <c r="I7" s="99"/>
      <c r="J7" s="98"/>
      <c r="K7" s="125"/>
      <c r="L7" s="98"/>
      <c r="M7" s="98"/>
      <c r="N7" s="98"/>
      <c r="O7" s="98"/>
      <c r="P7" s="98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/>
      <c r="D9" s="140" t="s">
        <v>559</v>
      </c>
      <c r="E9" s="139"/>
      <c r="F9" s="118"/>
      <c r="G9" s="118"/>
      <c r="H9" s="138"/>
      <c r="I9" s="118"/>
      <c r="J9" s="118"/>
      <c r="K9" s="126"/>
      <c r="L9" s="118"/>
      <c r="M9" s="98"/>
      <c r="N9" s="98"/>
      <c r="O9" s="98"/>
      <c r="P9" s="98"/>
      <c r="Q9" s="98"/>
    </row>
    <row r="10" spans="1:18" x14ac:dyDescent="0.2">
      <c r="A10" s="99"/>
      <c r="B10" s="102"/>
      <c r="C10" s="101"/>
      <c r="D10" s="100"/>
      <c r="E10" s="116"/>
      <c r="F10" s="114"/>
      <c r="G10" s="114"/>
      <c r="H10" s="115" t="s">
        <v>149</v>
      </c>
      <c r="I10" s="115"/>
      <c r="J10" s="114"/>
      <c r="K10" s="127"/>
      <c r="L10" s="98"/>
      <c r="M10" s="98"/>
      <c r="N10" s="98"/>
      <c r="O10" s="98"/>
      <c r="P10" s="98"/>
      <c r="Q10" s="98"/>
    </row>
    <row r="11" spans="1:18" x14ac:dyDescent="0.2">
      <c r="A11" s="112"/>
      <c r="B11" s="111"/>
      <c r="C11" s="101"/>
      <c r="D11" s="100"/>
      <c r="E11" s="4"/>
      <c r="F11" s="98"/>
      <c r="G11" s="98"/>
      <c r="H11" s="98"/>
      <c r="I11" s="98"/>
      <c r="J11" s="98"/>
      <c r="K11" s="125"/>
      <c r="L11" s="98"/>
      <c r="M11" s="98"/>
      <c r="N11" s="98"/>
      <c r="O11" s="98"/>
      <c r="P11" s="98"/>
      <c r="Q11" s="98"/>
    </row>
    <row r="12" spans="1:18" x14ac:dyDescent="0.2">
      <c r="A12" s="99"/>
      <c r="B12" s="102"/>
      <c r="C12" s="100"/>
      <c r="D12" s="95" t="s">
        <v>558</v>
      </c>
      <c r="E12" s="98"/>
      <c r="F12" s="98"/>
      <c r="G12" s="98"/>
      <c r="H12" s="95"/>
      <c r="I12" s="95"/>
      <c r="J12" s="95"/>
      <c r="K12" s="125"/>
      <c r="L12" s="98"/>
      <c r="M12" s="98"/>
      <c r="N12" s="110" t="s">
        <v>147</v>
      </c>
      <c r="O12" s="108"/>
      <c r="P12" s="108"/>
      <c r="Q12" s="98"/>
    </row>
    <row r="13" spans="1:18" x14ac:dyDescent="0.2">
      <c r="A13" s="99"/>
      <c r="B13" s="102"/>
      <c r="C13" s="100"/>
      <c r="D13" s="95" t="s">
        <v>51</v>
      </c>
      <c r="E13" s="98"/>
      <c r="F13" s="98"/>
      <c r="G13" s="98"/>
      <c r="H13" s="95"/>
      <c r="I13" s="95"/>
      <c r="J13" s="175" t="s">
        <v>557</v>
      </c>
      <c r="K13" s="176"/>
      <c r="L13" s="5" t="s">
        <v>139</v>
      </c>
      <c r="M13" s="98"/>
      <c r="N13" s="109" t="s">
        <v>145</v>
      </c>
      <c r="O13" s="108"/>
      <c r="P13" s="107">
        <f>P14+P15+P16</f>
        <v>134.83551</v>
      </c>
    </row>
    <row r="14" spans="1:18" outlineLevel="1" x14ac:dyDescent="0.2">
      <c r="A14" s="99"/>
      <c r="B14" s="102"/>
      <c r="C14" s="100"/>
      <c r="D14" s="95" t="s">
        <v>52</v>
      </c>
      <c r="E14" s="98"/>
      <c r="F14" s="98"/>
      <c r="G14" s="98"/>
      <c r="H14" s="95"/>
      <c r="I14" s="95"/>
      <c r="J14" s="175" t="s">
        <v>556</v>
      </c>
      <c r="K14" s="176"/>
      <c r="L14" s="5" t="s">
        <v>139</v>
      </c>
      <c r="M14" s="98"/>
      <c r="N14" s="109" t="s">
        <v>138</v>
      </c>
      <c r="O14" s="108"/>
      <c r="P14" s="107">
        <f>16.12*5.56</f>
        <v>89.627200000000002</v>
      </c>
    </row>
    <row r="15" spans="1:18" outlineLevel="1" x14ac:dyDescent="0.2">
      <c r="A15" s="99"/>
      <c r="B15" s="102"/>
      <c r="C15" s="100"/>
      <c r="D15" s="95" t="s">
        <v>372</v>
      </c>
      <c r="E15" s="98"/>
      <c r="F15" s="98"/>
      <c r="G15" s="98"/>
      <c r="H15" s="95"/>
      <c r="I15" s="95"/>
      <c r="J15" s="175" t="s">
        <v>555</v>
      </c>
      <c r="K15" s="176"/>
      <c r="L15" s="5" t="s">
        <v>139</v>
      </c>
      <c r="M15" s="98"/>
      <c r="N15" s="109" t="s">
        <v>370</v>
      </c>
      <c r="O15" s="108"/>
      <c r="P15" s="107">
        <f>9.32*2.784</f>
        <v>25.94688</v>
      </c>
    </row>
    <row r="16" spans="1:18" outlineLevel="1" x14ac:dyDescent="0.2">
      <c r="A16" s="99"/>
      <c r="B16" s="102"/>
      <c r="C16" s="100"/>
      <c r="D16" s="95" t="s">
        <v>20</v>
      </c>
      <c r="E16" s="98"/>
      <c r="F16" s="98"/>
      <c r="G16" s="98"/>
      <c r="H16" s="95"/>
      <c r="I16" s="95"/>
      <c r="J16" s="175" t="s">
        <v>554</v>
      </c>
      <c r="K16" s="176"/>
      <c r="L16" s="5" t="s">
        <v>139</v>
      </c>
      <c r="M16" s="98"/>
      <c r="N16" s="109" t="s">
        <v>142</v>
      </c>
      <c r="O16" s="108"/>
      <c r="P16" s="107">
        <f>4.19*4.597</f>
        <v>19.261430000000004</v>
      </c>
    </row>
    <row r="17" spans="1:17" x14ac:dyDescent="0.2">
      <c r="A17" s="99"/>
      <c r="B17" s="102"/>
      <c r="C17" s="100"/>
      <c r="D17" s="95" t="s">
        <v>141</v>
      </c>
      <c r="E17" s="98"/>
      <c r="F17" s="98"/>
      <c r="G17" s="98"/>
      <c r="H17" s="95"/>
      <c r="I17" s="95"/>
      <c r="J17" s="175" t="s">
        <v>553</v>
      </c>
      <c r="K17" s="176"/>
      <c r="L17" s="5" t="s">
        <v>139</v>
      </c>
      <c r="M17" s="98"/>
      <c r="N17" s="109" t="s">
        <v>138</v>
      </c>
      <c r="O17" s="108"/>
      <c r="P17" s="107">
        <f>5.352*5.56</f>
        <v>29.75712</v>
      </c>
    </row>
    <row r="18" spans="1:17" outlineLevel="1" x14ac:dyDescent="0.2">
      <c r="A18" s="99"/>
      <c r="B18" s="102"/>
      <c r="C18" s="100"/>
      <c r="D18" s="95" t="s">
        <v>49</v>
      </c>
      <c r="E18" s="98"/>
      <c r="F18" s="98"/>
      <c r="G18" s="98"/>
      <c r="H18" s="95"/>
      <c r="I18" s="95"/>
      <c r="J18" s="175" t="s">
        <v>552</v>
      </c>
      <c r="K18" s="176"/>
      <c r="L18" s="5" t="s">
        <v>50</v>
      </c>
      <c r="M18" s="98"/>
      <c r="N18" s="109"/>
      <c r="O18" s="108"/>
      <c r="P18" s="107"/>
    </row>
    <row r="19" spans="1:17" s="135" customFormat="1" outlineLevel="1" x14ac:dyDescent="0.2">
      <c r="A19" s="106"/>
      <c r="B19" s="105"/>
      <c r="C19" s="104"/>
      <c r="D19" s="95" t="s">
        <v>366</v>
      </c>
      <c r="E19" s="95"/>
      <c r="F19" s="95"/>
      <c r="G19" s="95"/>
      <c r="H19" s="95"/>
      <c r="I19" s="95"/>
      <c r="J19" s="95"/>
      <c r="K19" s="141">
        <f>K94/1000</f>
        <v>5.9770000000000003</v>
      </c>
      <c r="L19" s="95" t="s">
        <v>365</v>
      </c>
      <c r="M19" s="96"/>
      <c r="N19" s="109" t="s">
        <v>138</v>
      </c>
      <c r="O19" s="136"/>
      <c r="P19" s="107">
        <f>K19*5.56</f>
        <v>33.232120000000002</v>
      </c>
    </row>
    <row r="20" spans="1:17" customFormat="1" x14ac:dyDescent="0.2">
      <c r="A20" s="106"/>
      <c r="B20" s="105"/>
      <c r="C20" s="104"/>
      <c r="D20" s="103" t="s">
        <v>136</v>
      </c>
      <c r="E20" s="95"/>
      <c r="F20" s="95"/>
      <c r="G20" s="95"/>
      <c r="H20" s="95"/>
      <c r="I20" s="95"/>
      <c r="J20" s="95"/>
      <c r="K20" s="128"/>
      <c r="L20" s="95"/>
      <c r="M20" s="96"/>
      <c r="N20" s="96"/>
      <c r="O20" s="96"/>
      <c r="P20" s="96"/>
    </row>
    <row r="21" spans="1:17" x14ac:dyDescent="0.2">
      <c r="A21" s="99"/>
      <c r="B21" s="102"/>
      <c r="C21" s="101"/>
      <c r="D21" s="100"/>
      <c r="E21" s="99"/>
      <c r="F21" s="98"/>
      <c r="G21" s="98"/>
      <c r="H21" s="98"/>
      <c r="I21" s="98"/>
      <c r="J21" s="98"/>
      <c r="K21" s="125"/>
      <c r="L21" s="98"/>
      <c r="M21" s="98"/>
      <c r="N21" s="98"/>
      <c r="O21" s="98"/>
      <c r="P21" s="98"/>
    </row>
    <row r="22" spans="1:17" ht="19.5" customHeight="1" x14ac:dyDescent="0.2">
      <c r="A22" s="161" t="s">
        <v>23</v>
      </c>
      <c r="B22" s="171" t="s">
        <v>135</v>
      </c>
      <c r="C22" s="161" t="s">
        <v>134</v>
      </c>
      <c r="D22" s="161" t="s">
        <v>24</v>
      </c>
      <c r="E22" s="161" t="s">
        <v>25</v>
      </c>
      <c r="F22" s="161" t="s">
        <v>133</v>
      </c>
      <c r="G22" s="165"/>
      <c r="H22" s="165"/>
      <c r="I22" s="165"/>
      <c r="J22" s="161" t="s">
        <v>132</v>
      </c>
      <c r="K22" s="162"/>
      <c r="L22" s="162"/>
      <c r="M22" s="162"/>
      <c r="N22" s="162"/>
      <c r="O22" s="161" t="s">
        <v>131</v>
      </c>
      <c r="P22" s="161" t="s">
        <v>130</v>
      </c>
      <c r="Q22" s="169" t="s">
        <v>129</v>
      </c>
    </row>
    <row r="23" spans="1:17" ht="18.75" customHeight="1" x14ac:dyDescent="0.2">
      <c r="A23" s="165"/>
      <c r="B23" s="172"/>
      <c r="C23" s="170"/>
      <c r="D23" s="161"/>
      <c r="E23" s="161"/>
      <c r="F23" s="161" t="s">
        <v>26</v>
      </c>
      <c r="G23" s="161" t="s">
        <v>127</v>
      </c>
      <c r="H23" s="165"/>
      <c r="I23" s="165"/>
      <c r="J23" s="161" t="s">
        <v>128</v>
      </c>
      <c r="K23" s="163" t="s">
        <v>26</v>
      </c>
      <c r="L23" s="161" t="s">
        <v>127</v>
      </c>
      <c r="M23" s="165"/>
      <c r="N23" s="165"/>
      <c r="O23" s="161"/>
      <c r="P23" s="161"/>
      <c r="Q23" s="169"/>
    </row>
    <row r="24" spans="1:17" ht="22.5" customHeight="1" x14ac:dyDescent="0.2">
      <c r="A24" s="165"/>
      <c r="B24" s="172"/>
      <c r="C24" s="170"/>
      <c r="D24" s="161"/>
      <c r="E24" s="161"/>
      <c r="F24" s="165"/>
      <c r="G24" s="147" t="s">
        <v>126</v>
      </c>
      <c r="H24" s="147" t="s">
        <v>125</v>
      </c>
      <c r="I24" s="147" t="s">
        <v>124</v>
      </c>
      <c r="J24" s="170"/>
      <c r="K24" s="164"/>
      <c r="L24" s="147" t="s">
        <v>126</v>
      </c>
      <c r="M24" s="147" t="s">
        <v>125</v>
      </c>
      <c r="N24" s="147" t="s">
        <v>124</v>
      </c>
      <c r="O24" s="161"/>
      <c r="P24" s="161"/>
      <c r="Q24" s="169"/>
    </row>
    <row r="25" spans="1:17" x14ac:dyDescent="0.2">
      <c r="A25" s="6">
        <v>1</v>
      </c>
      <c r="B25" s="148">
        <v>2</v>
      </c>
      <c r="C25" s="147">
        <v>3</v>
      </c>
      <c r="D25" s="147">
        <v>4</v>
      </c>
      <c r="E25" s="91">
        <v>5</v>
      </c>
      <c r="F25" s="149">
        <v>6</v>
      </c>
      <c r="G25" s="149">
        <v>7</v>
      </c>
      <c r="H25" s="149">
        <v>8</v>
      </c>
      <c r="I25" s="149">
        <v>9</v>
      </c>
      <c r="J25" s="149">
        <v>10</v>
      </c>
      <c r="K25" s="150">
        <v>11</v>
      </c>
      <c r="L25" s="149">
        <v>12</v>
      </c>
      <c r="M25" s="149">
        <v>13</v>
      </c>
      <c r="N25" s="149">
        <v>14</v>
      </c>
      <c r="O25" s="149">
        <v>15</v>
      </c>
      <c r="P25" s="149">
        <v>16</v>
      </c>
      <c r="Q25" s="149">
        <v>17</v>
      </c>
    </row>
    <row r="26" spans="1:17" x14ac:dyDescent="0.2">
      <c r="A26" s="166" t="s">
        <v>123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</row>
    <row r="27" spans="1:17" ht="24" x14ac:dyDescent="0.2">
      <c r="A27" s="6">
        <v>1</v>
      </c>
      <c r="B27" s="92" t="s">
        <v>106</v>
      </c>
      <c r="C27" s="146" t="s">
        <v>551</v>
      </c>
      <c r="D27" s="91" t="s">
        <v>33</v>
      </c>
      <c r="E27" s="97">
        <v>1</v>
      </c>
      <c r="F27" s="12"/>
      <c r="G27" s="12"/>
      <c r="H27" s="12"/>
      <c r="I27" s="12"/>
      <c r="J27" s="12">
        <v>728</v>
      </c>
      <c r="K27" s="129">
        <v>728</v>
      </c>
      <c r="L27" s="12"/>
      <c r="M27" s="12"/>
      <c r="N27" s="12"/>
      <c r="O27" s="12"/>
      <c r="P27" s="12"/>
      <c r="Q27" s="12"/>
    </row>
    <row r="28" spans="1:17" ht="36" x14ac:dyDescent="0.2">
      <c r="A28" s="6">
        <v>2</v>
      </c>
      <c r="B28" s="92" t="s">
        <v>550</v>
      </c>
      <c r="C28" s="146" t="s">
        <v>549</v>
      </c>
      <c r="D28" s="91" t="s">
        <v>29</v>
      </c>
      <c r="E28" s="97">
        <v>1</v>
      </c>
      <c r="F28" s="89">
        <v>79.87</v>
      </c>
      <c r="G28" s="89">
        <v>68.02</v>
      </c>
      <c r="H28" s="89">
        <v>0.46</v>
      </c>
      <c r="I28" s="12"/>
      <c r="J28" s="12"/>
      <c r="K28" s="129">
        <v>80</v>
      </c>
      <c r="L28" s="12">
        <v>68</v>
      </c>
      <c r="M28" s="12"/>
      <c r="N28" s="12"/>
      <c r="O28" s="12">
        <v>4.8</v>
      </c>
      <c r="P28" s="12">
        <v>4.8</v>
      </c>
      <c r="Q28" s="12"/>
    </row>
    <row r="29" spans="1:17" ht="24" x14ac:dyDescent="0.2">
      <c r="A29" s="6">
        <v>3</v>
      </c>
      <c r="B29" s="92" t="s">
        <v>106</v>
      </c>
      <c r="C29" s="146" t="s">
        <v>548</v>
      </c>
      <c r="D29" s="91" t="s">
        <v>33</v>
      </c>
      <c r="E29" s="97">
        <v>1</v>
      </c>
      <c r="F29" s="12"/>
      <c r="G29" s="12"/>
      <c r="H29" s="12"/>
      <c r="I29" s="12"/>
      <c r="J29" s="12">
        <v>791</v>
      </c>
      <c r="K29" s="129">
        <v>791</v>
      </c>
      <c r="L29" s="12"/>
      <c r="M29" s="12"/>
      <c r="N29" s="12"/>
      <c r="O29" s="12"/>
      <c r="P29" s="12"/>
      <c r="Q29" s="12"/>
    </row>
    <row r="30" spans="1:17" ht="24" x14ac:dyDescent="0.2">
      <c r="A30" s="6">
        <v>4</v>
      </c>
      <c r="B30" s="92" t="s">
        <v>360</v>
      </c>
      <c r="C30" s="146" t="s">
        <v>547</v>
      </c>
      <c r="D30" s="91" t="s">
        <v>29</v>
      </c>
      <c r="E30" s="97">
        <v>1</v>
      </c>
      <c r="F30" s="89">
        <v>256.7</v>
      </c>
      <c r="G30" s="89">
        <v>157.76</v>
      </c>
      <c r="H30" s="89">
        <v>33.83</v>
      </c>
      <c r="I30" s="89">
        <v>6.87</v>
      </c>
      <c r="J30" s="12"/>
      <c r="K30" s="129">
        <v>257</v>
      </c>
      <c r="L30" s="12">
        <v>158</v>
      </c>
      <c r="M30" s="12">
        <v>34</v>
      </c>
      <c r="N30" s="12">
        <v>7</v>
      </c>
      <c r="O30" s="12">
        <v>10.1</v>
      </c>
      <c r="P30" s="12">
        <v>10.1</v>
      </c>
      <c r="Q30" s="12"/>
    </row>
    <row r="31" spans="1:17" x14ac:dyDescent="0.2">
      <c r="A31" s="6">
        <v>5</v>
      </c>
      <c r="B31" s="92" t="s">
        <v>106</v>
      </c>
      <c r="C31" s="146" t="s">
        <v>322</v>
      </c>
      <c r="D31" s="91" t="s">
        <v>33</v>
      </c>
      <c r="E31" s="97">
        <v>1</v>
      </c>
      <c r="F31" s="89">
        <v>450.01</v>
      </c>
      <c r="G31" s="12"/>
      <c r="H31" s="12"/>
      <c r="I31" s="12"/>
      <c r="J31" s="12"/>
      <c r="K31" s="129">
        <v>450</v>
      </c>
      <c r="L31" s="12"/>
      <c r="M31" s="12"/>
      <c r="N31" s="12"/>
      <c r="O31" s="12"/>
      <c r="P31" s="12"/>
      <c r="Q31" s="12"/>
    </row>
    <row r="32" spans="1:17" ht="24" x14ac:dyDescent="0.2">
      <c r="A32" s="6">
        <v>6</v>
      </c>
      <c r="B32" s="92" t="s">
        <v>106</v>
      </c>
      <c r="C32" s="146" t="s">
        <v>546</v>
      </c>
      <c r="D32" s="91" t="s">
        <v>29</v>
      </c>
      <c r="E32" s="97">
        <v>1</v>
      </c>
      <c r="F32" s="12"/>
      <c r="G32" s="12"/>
      <c r="H32" s="12"/>
      <c r="I32" s="12"/>
      <c r="J32" s="12">
        <v>877</v>
      </c>
      <c r="K32" s="129">
        <v>877</v>
      </c>
      <c r="L32" s="12"/>
      <c r="M32" s="12"/>
      <c r="N32" s="12"/>
      <c r="O32" s="12"/>
      <c r="P32" s="12"/>
      <c r="Q32" s="12"/>
    </row>
    <row r="33" spans="1:17" ht="24" x14ac:dyDescent="0.2">
      <c r="A33" s="6">
        <v>7</v>
      </c>
      <c r="B33" s="92" t="s">
        <v>470</v>
      </c>
      <c r="C33" s="146" t="s">
        <v>545</v>
      </c>
      <c r="D33" s="91" t="s">
        <v>29</v>
      </c>
      <c r="E33" s="97">
        <v>1</v>
      </c>
      <c r="F33" s="89">
        <v>64.92</v>
      </c>
      <c r="G33" s="89">
        <v>57.52</v>
      </c>
      <c r="H33" s="89">
        <v>0.37</v>
      </c>
      <c r="I33" s="12"/>
      <c r="J33" s="12"/>
      <c r="K33" s="129">
        <v>65</v>
      </c>
      <c r="L33" s="12">
        <v>58</v>
      </c>
      <c r="M33" s="12"/>
      <c r="N33" s="12"/>
      <c r="O33" s="12">
        <v>4</v>
      </c>
      <c r="P33" s="12">
        <v>4</v>
      </c>
      <c r="Q33" s="12"/>
    </row>
    <row r="34" spans="1:17" ht="72" x14ac:dyDescent="0.2">
      <c r="A34" s="6">
        <v>8</v>
      </c>
      <c r="B34" s="92" t="s">
        <v>106</v>
      </c>
      <c r="C34" s="146" t="s">
        <v>544</v>
      </c>
      <c r="D34" s="91" t="s">
        <v>29</v>
      </c>
      <c r="E34" s="97">
        <v>1</v>
      </c>
      <c r="F34" s="12"/>
      <c r="G34" s="12"/>
      <c r="H34" s="12"/>
      <c r="I34" s="12"/>
      <c r="J34" s="12">
        <v>697</v>
      </c>
      <c r="K34" s="129">
        <v>697</v>
      </c>
      <c r="L34" s="12"/>
      <c r="M34" s="12"/>
      <c r="N34" s="12"/>
      <c r="O34" s="12"/>
      <c r="P34" s="12"/>
      <c r="Q34" s="12"/>
    </row>
    <row r="35" spans="1:17" x14ac:dyDescent="0.2">
      <c r="A35" s="6">
        <v>9</v>
      </c>
      <c r="B35" s="92" t="s">
        <v>470</v>
      </c>
      <c r="C35" s="146" t="s">
        <v>476</v>
      </c>
      <c r="D35" s="91" t="s">
        <v>29</v>
      </c>
      <c r="E35" s="97">
        <v>1</v>
      </c>
      <c r="F35" s="89">
        <v>64.92</v>
      </c>
      <c r="G35" s="89">
        <v>57.52</v>
      </c>
      <c r="H35" s="89">
        <v>0.37</v>
      </c>
      <c r="I35" s="12"/>
      <c r="J35" s="12"/>
      <c r="K35" s="129">
        <v>65</v>
      </c>
      <c r="L35" s="12">
        <v>58</v>
      </c>
      <c r="M35" s="12"/>
      <c r="N35" s="12"/>
      <c r="O35" s="12">
        <v>4</v>
      </c>
      <c r="P35" s="12">
        <v>4</v>
      </c>
      <c r="Q35" s="12"/>
    </row>
    <row r="36" spans="1:17" ht="24" x14ac:dyDescent="0.2">
      <c r="A36" s="6">
        <v>10</v>
      </c>
      <c r="B36" s="92" t="s">
        <v>106</v>
      </c>
      <c r="C36" s="146" t="s">
        <v>543</v>
      </c>
      <c r="D36" s="91" t="s">
        <v>33</v>
      </c>
      <c r="E36" s="97">
        <v>38</v>
      </c>
      <c r="F36" s="89">
        <v>36.700000000000003</v>
      </c>
      <c r="G36" s="12"/>
      <c r="H36" s="12"/>
      <c r="I36" s="12"/>
      <c r="J36" s="12"/>
      <c r="K36" s="129">
        <v>1395</v>
      </c>
      <c r="L36" s="12"/>
      <c r="M36" s="12"/>
      <c r="N36" s="12"/>
      <c r="O36" s="12"/>
      <c r="P36" s="12"/>
      <c r="Q36" s="12"/>
    </row>
    <row r="37" spans="1:17" ht="48" x14ac:dyDescent="0.2">
      <c r="A37" s="6">
        <v>11</v>
      </c>
      <c r="B37" s="92" t="s">
        <v>351</v>
      </c>
      <c r="C37" s="146" t="s">
        <v>350</v>
      </c>
      <c r="D37" s="91" t="s">
        <v>29</v>
      </c>
      <c r="E37" s="97">
        <v>34</v>
      </c>
      <c r="F37" s="89">
        <v>28.38</v>
      </c>
      <c r="G37" s="89">
        <v>22.76</v>
      </c>
      <c r="H37" s="89">
        <v>0.46</v>
      </c>
      <c r="I37" s="12"/>
      <c r="J37" s="12"/>
      <c r="K37" s="129">
        <v>965</v>
      </c>
      <c r="L37" s="12">
        <v>774</v>
      </c>
      <c r="M37" s="12">
        <v>16</v>
      </c>
      <c r="N37" s="12"/>
      <c r="O37" s="12">
        <v>1.68</v>
      </c>
      <c r="P37" s="12">
        <v>57.12</v>
      </c>
      <c r="Q37" s="12"/>
    </row>
    <row r="38" spans="1:17" ht="24" x14ac:dyDescent="0.2">
      <c r="A38" s="6">
        <v>12</v>
      </c>
      <c r="B38" s="92" t="s">
        <v>106</v>
      </c>
      <c r="C38" s="146" t="s">
        <v>338</v>
      </c>
      <c r="D38" s="91" t="s">
        <v>33</v>
      </c>
      <c r="E38" s="97">
        <v>3</v>
      </c>
      <c r="F38" s="89">
        <v>26.21</v>
      </c>
      <c r="G38" s="12"/>
      <c r="H38" s="12"/>
      <c r="I38" s="12"/>
      <c r="J38" s="12"/>
      <c r="K38" s="129">
        <v>79</v>
      </c>
      <c r="L38" s="12"/>
      <c r="M38" s="12"/>
      <c r="N38" s="12"/>
      <c r="O38" s="12"/>
      <c r="P38" s="12"/>
      <c r="Q38" s="12"/>
    </row>
    <row r="39" spans="1:17" ht="24" x14ac:dyDescent="0.2">
      <c r="A39" s="6">
        <v>13</v>
      </c>
      <c r="B39" s="92" t="s">
        <v>542</v>
      </c>
      <c r="C39" s="146" t="s">
        <v>541</v>
      </c>
      <c r="D39" s="91" t="s">
        <v>29</v>
      </c>
      <c r="E39" s="97">
        <v>3</v>
      </c>
      <c r="F39" s="89">
        <v>13.89</v>
      </c>
      <c r="G39" s="89">
        <v>12.78</v>
      </c>
      <c r="H39" s="12"/>
      <c r="I39" s="12"/>
      <c r="J39" s="12"/>
      <c r="K39" s="129">
        <v>42</v>
      </c>
      <c r="L39" s="12">
        <v>38</v>
      </c>
      <c r="M39" s="12"/>
      <c r="N39" s="12"/>
      <c r="O39" s="12">
        <v>1</v>
      </c>
      <c r="P39" s="12">
        <v>3</v>
      </c>
      <c r="Q39" s="12"/>
    </row>
    <row r="40" spans="1:17" ht="24" x14ac:dyDescent="0.2">
      <c r="A40" s="6">
        <v>14</v>
      </c>
      <c r="B40" s="92" t="s">
        <v>106</v>
      </c>
      <c r="C40" s="146" t="s">
        <v>540</v>
      </c>
      <c r="D40" s="91" t="s">
        <v>33</v>
      </c>
      <c r="E40" s="97">
        <v>3</v>
      </c>
      <c r="F40" s="89">
        <v>28.96</v>
      </c>
      <c r="G40" s="12"/>
      <c r="H40" s="12"/>
      <c r="I40" s="12"/>
      <c r="J40" s="12"/>
      <c r="K40" s="129">
        <v>87</v>
      </c>
      <c r="L40" s="12"/>
      <c r="M40" s="12"/>
      <c r="N40" s="12"/>
      <c r="O40" s="12"/>
      <c r="P40" s="12"/>
      <c r="Q40" s="12"/>
    </row>
    <row r="41" spans="1:17" ht="24" x14ac:dyDescent="0.2">
      <c r="A41" s="6">
        <v>15</v>
      </c>
      <c r="B41" s="92" t="s">
        <v>106</v>
      </c>
      <c r="C41" s="146" t="s">
        <v>539</v>
      </c>
      <c r="D41" s="91" t="s">
        <v>33</v>
      </c>
      <c r="E41" s="97">
        <v>1</v>
      </c>
      <c r="F41" s="89">
        <v>41.85</v>
      </c>
      <c r="G41" s="12"/>
      <c r="H41" s="12"/>
      <c r="I41" s="12"/>
      <c r="J41" s="12"/>
      <c r="K41" s="129">
        <v>42</v>
      </c>
      <c r="L41" s="12"/>
      <c r="M41" s="12"/>
      <c r="N41" s="12"/>
      <c r="O41" s="12"/>
      <c r="P41" s="12"/>
      <c r="Q41" s="12"/>
    </row>
    <row r="42" spans="1:17" x14ac:dyDescent="0.2">
      <c r="A42" s="6">
        <v>16</v>
      </c>
      <c r="B42" s="92" t="s">
        <v>333</v>
      </c>
      <c r="C42" s="146" t="s">
        <v>332</v>
      </c>
      <c r="D42" s="91" t="s">
        <v>29</v>
      </c>
      <c r="E42" s="90">
        <v>4</v>
      </c>
      <c r="F42" s="89">
        <v>13.89</v>
      </c>
      <c r="G42" s="89">
        <v>12.78</v>
      </c>
      <c r="H42" s="12"/>
      <c r="I42" s="12"/>
      <c r="J42" s="12"/>
      <c r="K42" s="129">
        <v>56</v>
      </c>
      <c r="L42" s="12">
        <v>51</v>
      </c>
      <c r="M42" s="12"/>
      <c r="N42" s="12"/>
      <c r="O42" s="12">
        <v>1</v>
      </c>
      <c r="P42" s="12">
        <v>4</v>
      </c>
      <c r="Q42" s="12"/>
    </row>
    <row r="43" spans="1:17" ht="24" x14ac:dyDescent="0.2">
      <c r="A43" s="6">
        <v>17</v>
      </c>
      <c r="B43" s="92" t="s">
        <v>106</v>
      </c>
      <c r="C43" s="146" t="s">
        <v>538</v>
      </c>
      <c r="D43" s="91" t="s">
        <v>33</v>
      </c>
      <c r="E43" s="97">
        <v>4</v>
      </c>
      <c r="F43" s="89">
        <v>33.4</v>
      </c>
      <c r="G43" s="12"/>
      <c r="H43" s="12"/>
      <c r="I43" s="12"/>
      <c r="J43" s="12"/>
      <c r="K43" s="129">
        <v>134</v>
      </c>
      <c r="L43" s="12"/>
      <c r="M43" s="12"/>
      <c r="N43" s="12"/>
      <c r="O43" s="12"/>
      <c r="P43" s="12"/>
      <c r="Q43" s="12"/>
    </row>
    <row r="44" spans="1:17" x14ac:dyDescent="0.2">
      <c r="A44" s="6">
        <v>18</v>
      </c>
      <c r="B44" s="92" t="s">
        <v>330</v>
      </c>
      <c r="C44" s="146" t="s">
        <v>335</v>
      </c>
      <c r="D44" s="91" t="s">
        <v>29</v>
      </c>
      <c r="E44" s="97">
        <v>4</v>
      </c>
      <c r="F44" s="89">
        <v>98.76</v>
      </c>
      <c r="G44" s="89">
        <v>74.88</v>
      </c>
      <c r="H44" s="12"/>
      <c r="I44" s="12"/>
      <c r="J44" s="12"/>
      <c r="K44" s="129">
        <v>395</v>
      </c>
      <c r="L44" s="12">
        <v>300</v>
      </c>
      <c r="M44" s="12"/>
      <c r="N44" s="12"/>
      <c r="O44" s="12">
        <v>6</v>
      </c>
      <c r="P44" s="12">
        <v>24</v>
      </c>
      <c r="Q44" s="12"/>
    </row>
    <row r="45" spans="1:17" ht="24" x14ac:dyDescent="0.2">
      <c r="A45" s="6">
        <v>19</v>
      </c>
      <c r="B45" s="92" t="s">
        <v>106</v>
      </c>
      <c r="C45" s="146" t="s">
        <v>483</v>
      </c>
      <c r="D45" s="91" t="s">
        <v>29</v>
      </c>
      <c r="E45" s="97">
        <v>1</v>
      </c>
      <c r="F45" s="12"/>
      <c r="G45" s="12"/>
      <c r="H45" s="12"/>
      <c r="I45" s="12"/>
      <c r="J45" s="12">
        <v>1316</v>
      </c>
      <c r="K45" s="129">
        <v>1316</v>
      </c>
      <c r="L45" s="12"/>
      <c r="M45" s="12"/>
      <c r="N45" s="12"/>
      <c r="O45" s="12"/>
      <c r="P45" s="12"/>
      <c r="Q45" s="12"/>
    </row>
    <row r="46" spans="1:17" ht="24" x14ac:dyDescent="0.2">
      <c r="A46" s="6">
        <v>20</v>
      </c>
      <c r="B46" s="92" t="s">
        <v>470</v>
      </c>
      <c r="C46" s="146" t="s">
        <v>482</v>
      </c>
      <c r="D46" s="91" t="s">
        <v>29</v>
      </c>
      <c r="E46" s="97">
        <v>1</v>
      </c>
      <c r="F46" s="89">
        <v>64.92</v>
      </c>
      <c r="G46" s="89">
        <v>57.52</v>
      </c>
      <c r="H46" s="89">
        <v>0.37</v>
      </c>
      <c r="I46" s="12"/>
      <c r="J46" s="12"/>
      <c r="K46" s="129">
        <v>65</v>
      </c>
      <c r="L46" s="12">
        <v>58</v>
      </c>
      <c r="M46" s="12"/>
      <c r="N46" s="12"/>
      <c r="O46" s="12">
        <v>4</v>
      </c>
      <c r="P46" s="12">
        <v>4</v>
      </c>
      <c r="Q46" s="12"/>
    </row>
    <row r="47" spans="1:17" ht="36" x14ac:dyDescent="0.2">
      <c r="A47" s="6">
        <v>21</v>
      </c>
      <c r="B47" s="92" t="s">
        <v>537</v>
      </c>
      <c r="C47" s="146" t="s">
        <v>302</v>
      </c>
      <c r="D47" s="91" t="s">
        <v>33</v>
      </c>
      <c r="E47" s="97">
        <v>1</v>
      </c>
      <c r="F47" s="89">
        <v>1411.86</v>
      </c>
      <c r="G47" s="12"/>
      <c r="H47" s="12"/>
      <c r="I47" s="12"/>
      <c r="J47" s="12"/>
      <c r="K47" s="129">
        <v>1412</v>
      </c>
      <c r="L47" s="12"/>
      <c r="M47" s="12"/>
      <c r="N47" s="12"/>
      <c r="O47" s="12"/>
      <c r="P47" s="12"/>
      <c r="Q47" s="12"/>
    </row>
    <row r="48" spans="1:17" ht="24" x14ac:dyDescent="0.2">
      <c r="A48" s="6">
        <v>22</v>
      </c>
      <c r="B48" s="92" t="s">
        <v>537</v>
      </c>
      <c r="C48" s="146" t="s">
        <v>301</v>
      </c>
      <c r="D48" s="91" t="s">
        <v>33</v>
      </c>
      <c r="E48" s="97">
        <v>1</v>
      </c>
      <c r="F48" s="89">
        <v>429.51</v>
      </c>
      <c r="G48" s="12"/>
      <c r="H48" s="12"/>
      <c r="I48" s="12"/>
      <c r="J48" s="12"/>
      <c r="K48" s="129">
        <v>430</v>
      </c>
      <c r="L48" s="12"/>
      <c r="M48" s="12"/>
      <c r="N48" s="12"/>
      <c r="O48" s="12"/>
      <c r="P48" s="12"/>
      <c r="Q48" s="12"/>
    </row>
    <row r="49" spans="1:17" ht="24" x14ac:dyDescent="0.2">
      <c r="A49" s="6">
        <v>23</v>
      </c>
      <c r="B49" s="92" t="s">
        <v>537</v>
      </c>
      <c r="C49" s="146" t="s">
        <v>300</v>
      </c>
      <c r="D49" s="91" t="s">
        <v>299</v>
      </c>
      <c r="E49" s="97">
        <v>1</v>
      </c>
      <c r="F49" s="89">
        <v>53.52</v>
      </c>
      <c r="G49" s="12"/>
      <c r="H49" s="12"/>
      <c r="I49" s="12"/>
      <c r="J49" s="12"/>
      <c r="K49" s="129">
        <v>54</v>
      </c>
      <c r="L49" s="12"/>
      <c r="M49" s="12"/>
      <c r="N49" s="12"/>
      <c r="O49" s="12"/>
      <c r="P49" s="12"/>
      <c r="Q49" s="12"/>
    </row>
    <row r="50" spans="1:17" ht="24" x14ac:dyDescent="0.2">
      <c r="A50" s="6">
        <v>24</v>
      </c>
      <c r="B50" s="92" t="s">
        <v>537</v>
      </c>
      <c r="C50" s="146" t="s">
        <v>454</v>
      </c>
      <c r="D50" s="91" t="s">
        <v>33</v>
      </c>
      <c r="E50" s="97">
        <v>1</v>
      </c>
      <c r="F50" s="89">
        <v>84.54</v>
      </c>
      <c r="G50" s="12"/>
      <c r="H50" s="12"/>
      <c r="I50" s="12"/>
      <c r="J50" s="12"/>
      <c r="K50" s="129">
        <v>85</v>
      </c>
      <c r="L50" s="12"/>
      <c r="M50" s="12"/>
      <c r="N50" s="12"/>
      <c r="O50" s="12"/>
      <c r="P50" s="12"/>
      <c r="Q50" s="12"/>
    </row>
    <row r="51" spans="1:17" x14ac:dyDescent="0.2">
      <c r="A51" s="6">
        <v>25</v>
      </c>
      <c r="B51" s="92" t="s">
        <v>304</v>
      </c>
      <c r="C51" s="146" t="s">
        <v>536</v>
      </c>
      <c r="D51" s="91" t="s">
        <v>29</v>
      </c>
      <c r="E51" s="97">
        <v>1</v>
      </c>
      <c r="F51" s="89">
        <v>121.87</v>
      </c>
      <c r="G51" s="89">
        <v>26.33</v>
      </c>
      <c r="H51" s="89">
        <v>2.39</v>
      </c>
      <c r="I51" s="12"/>
      <c r="J51" s="12"/>
      <c r="K51" s="129">
        <v>122</v>
      </c>
      <c r="L51" s="12">
        <v>26</v>
      </c>
      <c r="M51" s="12">
        <v>2</v>
      </c>
      <c r="N51" s="12"/>
      <c r="O51" s="12">
        <v>2.06</v>
      </c>
      <c r="P51" s="12">
        <v>2.06</v>
      </c>
      <c r="Q51" s="12"/>
    </row>
    <row r="52" spans="1:17" x14ac:dyDescent="0.2">
      <c r="A52" s="6">
        <v>26</v>
      </c>
      <c r="B52" s="92" t="s">
        <v>535</v>
      </c>
      <c r="C52" s="146" t="s">
        <v>534</v>
      </c>
      <c r="D52" s="91" t="s">
        <v>32</v>
      </c>
      <c r="E52" s="97">
        <v>0.01</v>
      </c>
      <c r="F52" s="89">
        <v>1335.56</v>
      </c>
      <c r="G52" s="89">
        <v>636.85</v>
      </c>
      <c r="H52" s="89">
        <v>33.85</v>
      </c>
      <c r="I52" s="89">
        <v>2</v>
      </c>
      <c r="J52" s="12"/>
      <c r="K52" s="129">
        <v>13</v>
      </c>
      <c r="L52" s="12">
        <v>6</v>
      </c>
      <c r="M52" s="12"/>
      <c r="N52" s="12"/>
      <c r="O52" s="12">
        <v>47</v>
      </c>
      <c r="P52" s="12">
        <v>0.47</v>
      </c>
      <c r="Q52" s="12"/>
    </row>
    <row r="53" spans="1:17" x14ac:dyDescent="0.2">
      <c r="A53" s="6">
        <v>27</v>
      </c>
      <c r="B53" s="92" t="s">
        <v>214</v>
      </c>
      <c r="C53" s="146" t="s">
        <v>533</v>
      </c>
      <c r="D53" s="91" t="s">
        <v>35</v>
      </c>
      <c r="E53" s="97">
        <v>0.15</v>
      </c>
      <c r="F53" s="89">
        <v>51.17</v>
      </c>
      <c r="G53" s="12"/>
      <c r="H53" s="12"/>
      <c r="I53" s="12"/>
      <c r="J53" s="12"/>
      <c r="K53" s="129">
        <v>8</v>
      </c>
      <c r="L53" s="12"/>
      <c r="M53" s="12"/>
      <c r="N53" s="12"/>
      <c r="O53" s="12"/>
      <c r="P53" s="12"/>
      <c r="Q53" s="12"/>
    </row>
    <row r="54" spans="1:17" x14ac:dyDescent="0.2">
      <c r="A54" s="6">
        <v>28</v>
      </c>
      <c r="B54" s="92" t="s">
        <v>532</v>
      </c>
      <c r="C54" s="146" t="s">
        <v>531</v>
      </c>
      <c r="D54" s="91" t="s">
        <v>210</v>
      </c>
      <c r="E54" s="97">
        <v>74</v>
      </c>
      <c r="F54" s="89">
        <v>11.87</v>
      </c>
      <c r="G54" s="89">
        <v>9.3699999999999992</v>
      </c>
      <c r="H54" s="89">
        <v>2.31</v>
      </c>
      <c r="I54" s="89">
        <v>0.47</v>
      </c>
      <c r="J54" s="12"/>
      <c r="K54" s="129">
        <v>878</v>
      </c>
      <c r="L54" s="12">
        <v>693</v>
      </c>
      <c r="M54" s="12">
        <v>171</v>
      </c>
      <c r="N54" s="12">
        <v>35</v>
      </c>
      <c r="O54" s="12">
        <v>0.78</v>
      </c>
      <c r="P54" s="12">
        <v>57.72</v>
      </c>
      <c r="Q54" s="12"/>
    </row>
    <row r="55" spans="1:17" ht="63" x14ac:dyDescent="0.2">
      <c r="A55" s="6">
        <v>29</v>
      </c>
      <c r="B55" s="92" t="s">
        <v>530</v>
      </c>
      <c r="C55" s="146" t="s">
        <v>529</v>
      </c>
      <c r="D55" s="91" t="s">
        <v>35</v>
      </c>
      <c r="E55" s="97">
        <v>74</v>
      </c>
      <c r="F55" s="89">
        <v>7.52</v>
      </c>
      <c r="G55" s="12"/>
      <c r="H55" s="12"/>
      <c r="I55" s="12"/>
      <c r="J55" s="12"/>
      <c r="K55" s="129">
        <v>556</v>
      </c>
      <c r="L55" s="12"/>
      <c r="M55" s="12"/>
      <c r="N55" s="12"/>
      <c r="O55" s="12"/>
      <c r="P55" s="12"/>
      <c r="Q55" s="12"/>
    </row>
    <row r="56" spans="1:17" x14ac:dyDescent="0.2">
      <c r="A56" s="6">
        <v>30</v>
      </c>
      <c r="B56" s="92" t="s">
        <v>308</v>
      </c>
      <c r="C56" s="146" t="s">
        <v>528</v>
      </c>
      <c r="D56" s="91" t="s">
        <v>30</v>
      </c>
      <c r="E56" s="97">
        <v>37</v>
      </c>
      <c r="F56" s="89">
        <v>1.19</v>
      </c>
      <c r="G56" s="12"/>
      <c r="H56" s="12"/>
      <c r="I56" s="12"/>
      <c r="J56" s="12"/>
      <c r="K56" s="129">
        <v>44</v>
      </c>
      <c r="L56" s="12"/>
      <c r="M56" s="12"/>
      <c r="N56" s="12"/>
      <c r="O56" s="12"/>
      <c r="P56" s="12"/>
      <c r="Q56" s="12"/>
    </row>
    <row r="57" spans="1:17" x14ac:dyDescent="0.2">
      <c r="A57" s="6">
        <v>31</v>
      </c>
      <c r="B57" s="92" t="s">
        <v>306</v>
      </c>
      <c r="C57" s="146" t="s">
        <v>305</v>
      </c>
      <c r="D57" s="91" t="s">
        <v>29</v>
      </c>
      <c r="E57" s="97">
        <v>37</v>
      </c>
      <c r="F57" s="89">
        <v>8.41</v>
      </c>
      <c r="G57" s="89">
        <v>7.26</v>
      </c>
      <c r="H57" s="12"/>
      <c r="I57" s="12"/>
      <c r="J57" s="12"/>
      <c r="K57" s="129">
        <v>311</v>
      </c>
      <c r="L57" s="12">
        <v>269</v>
      </c>
      <c r="M57" s="12"/>
      <c r="N57" s="12"/>
      <c r="O57" s="12">
        <v>0.52</v>
      </c>
      <c r="P57" s="12">
        <v>19.239999999999998</v>
      </c>
      <c r="Q57" s="12"/>
    </row>
    <row r="58" spans="1:17" x14ac:dyDescent="0.2">
      <c r="A58" s="6">
        <v>32</v>
      </c>
      <c r="B58" s="92" t="s">
        <v>313</v>
      </c>
      <c r="C58" s="146" t="s">
        <v>527</v>
      </c>
      <c r="D58" s="91" t="s">
        <v>34</v>
      </c>
      <c r="E58" s="90">
        <v>3.33</v>
      </c>
      <c r="F58" s="89">
        <v>189.23</v>
      </c>
      <c r="G58" s="89">
        <v>46.64</v>
      </c>
      <c r="H58" s="89">
        <v>56.09</v>
      </c>
      <c r="I58" s="89">
        <v>24.55</v>
      </c>
      <c r="J58" s="12"/>
      <c r="K58" s="129">
        <v>630</v>
      </c>
      <c r="L58" s="12">
        <v>155</v>
      </c>
      <c r="M58" s="12">
        <v>187</v>
      </c>
      <c r="N58" s="12">
        <v>82</v>
      </c>
      <c r="O58" s="12">
        <v>3.52</v>
      </c>
      <c r="P58" s="12">
        <v>11.72</v>
      </c>
      <c r="Q58" s="12"/>
    </row>
    <row r="59" spans="1:17" ht="60" x14ac:dyDescent="0.2">
      <c r="A59" s="6">
        <v>33</v>
      </c>
      <c r="B59" s="92" t="s">
        <v>526</v>
      </c>
      <c r="C59" s="146" t="s">
        <v>525</v>
      </c>
      <c r="D59" s="91" t="s">
        <v>31</v>
      </c>
      <c r="E59" s="90">
        <v>0.29799999999999999</v>
      </c>
      <c r="F59" s="89">
        <v>750</v>
      </c>
      <c r="G59" s="12"/>
      <c r="H59" s="12"/>
      <c r="I59" s="12"/>
      <c r="J59" s="12"/>
      <c r="K59" s="129">
        <v>224</v>
      </c>
      <c r="L59" s="12"/>
      <c r="M59" s="12"/>
      <c r="N59" s="12"/>
      <c r="O59" s="12"/>
      <c r="P59" s="12"/>
      <c r="Q59" s="12"/>
    </row>
    <row r="60" spans="1:17" ht="24.6" customHeight="1" x14ac:dyDescent="0.2">
      <c r="A60" s="6">
        <v>34</v>
      </c>
      <c r="B60" s="92" t="s">
        <v>106</v>
      </c>
      <c r="C60" s="146" t="s">
        <v>524</v>
      </c>
      <c r="D60" s="91" t="s">
        <v>35</v>
      </c>
      <c r="E60" s="97">
        <v>12</v>
      </c>
      <c r="F60" s="89">
        <v>0.6</v>
      </c>
      <c r="G60" s="12"/>
      <c r="H60" s="12"/>
      <c r="I60" s="12"/>
      <c r="J60" s="12"/>
      <c r="K60" s="129">
        <v>7</v>
      </c>
      <c r="L60" s="12"/>
      <c r="M60" s="12"/>
      <c r="N60" s="12"/>
      <c r="O60" s="12"/>
      <c r="P60" s="12"/>
      <c r="Q60" s="12"/>
    </row>
    <row r="61" spans="1:17" ht="111" x14ac:dyDescent="0.2">
      <c r="A61" s="6">
        <v>35</v>
      </c>
      <c r="B61" s="92" t="s">
        <v>523</v>
      </c>
      <c r="C61" s="146" t="s">
        <v>522</v>
      </c>
      <c r="D61" s="91" t="s">
        <v>31</v>
      </c>
      <c r="E61" s="90">
        <v>1.0999999999999999E-2</v>
      </c>
      <c r="F61" s="89">
        <v>3194.61</v>
      </c>
      <c r="G61" s="12"/>
      <c r="H61" s="12"/>
      <c r="I61" s="12"/>
      <c r="J61" s="12"/>
      <c r="K61" s="129">
        <v>35</v>
      </c>
      <c r="L61" s="12"/>
      <c r="M61" s="12"/>
      <c r="N61" s="12"/>
      <c r="O61" s="12"/>
      <c r="P61" s="12"/>
      <c r="Q61" s="12"/>
    </row>
    <row r="62" spans="1:17" ht="111" x14ac:dyDescent="0.2">
      <c r="A62" s="6">
        <v>36</v>
      </c>
      <c r="B62" s="92" t="s">
        <v>521</v>
      </c>
      <c r="C62" s="146" t="s">
        <v>520</v>
      </c>
      <c r="D62" s="91" t="s">
        <v>31</v>
      </c>
      <c r="E62" s="90">
        <v>1.2E-2</v>
      </c>
      <c r="F62" s="89">
        <v>2414.37</v>
      </c>
      <c r="G62" s="12"/>
      <c r="H62" s="12"/>
      <c r="I62" s="12"/>
      <c r="J62" s="12"/>
      <c r="K62" s="129">
        <v>29</v>
      </c>
      <c r="L62" s="12"/>
      <c r="M62" s="12"/>
      <c r="N62" s="12"/>
      <c r="O62" s="12"/>
      <c r="P62" s="12"/>
      <c r="Q62" s="12"/>
    </row>
    <row r="63" spans="1:17" x14ac:dyDescent="0.2">
      <c r="A63" s="166" t="s">
        <v>275</v>
      </c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</row>
    <row r="64" spans="1:17" ht="77.25" x14ac:dyDescent="0.2">
      <c r="A64" s="6">
        <v>37</v>
      </c>
      <c r="B64" s="92" t="s">
        <v>273</v>
      </c>
      <c r="C64" s="146" t="s">
        <v>272</v>
      </c>
      <c r="D64" s="91" t="s">
        <v>271</v>
      </c>
      <c r="E64" s="90">
        <v>45</v>
      </c>
      <c r="F64" s="89">
        <v>27.19</v>
      </c>
      <c r="G64" s="89">
        <v>27.19</v>
      </c>
      <c r="H64" s="12"/>
      <c r="I64" s="12"/>
      <c r="J64" s="12"/>
      <c r="K64" s="129">
        <v>1224</v>
      </c>
      <c r="L64" s="12">
        <v>1224</v>
      </c>
      <c r="M64" s="12"/>
      <c r="N64" s="12"/>
      <c r="O64" s="12">
        <v>1.65</v>
      </c>
      <c r="P64" s="12">
        <v>74.25</v>
      </c>
      <c r="Q64" s="12"/>
    </row>
    <row r="65" spans="1:17" ht="36" x14ac:dyDescent="0.2">
      <c r="A65" s="6">
        <v>38</v>
      </c>
      <c r="B65" s="92" t="s">
        <v>270</v>
      </c>
      <c r="C65" s="146" t="s">
        <v>269</v>
      </c>
      <c r="D65" s="91" t="s">
        <v>268</v>
      </c>
      <c r="E65" s="97">
        <v>2</v>
      </c>
      <c r="F65" s="89">
        <v>95.38</v>
      </c>
      <c r="G65" s="89">
        <v>95.38</v>
      </c>
      <c r="H65" s="12"/>
      <c r="I65" s="12"/>
      <c r="J65" s="12"/>
      <c r="K65" s="129">
        <v>191</v>
      </c>
      <c r="L65" s="12">
        <v>191</v>
      </c>
      <c r="M65" s="12"/>
      <c r="N65" s="12"/>
      <c r="O65" s="12">
        <v>6</v>
      </c>
      <c r="P65" s="12">
        <v>12</v>
      </c>
      <c r="Q65" s="12"/>
    </row>
    <row r="66" spans="1:17" x14ac:dyDescent="0.2">
      <c r="A66" s="168" t="s">
        <v>36</v>
      </c>
      <c r="B66" s="167"/>
      <c r="C66" s="167"/>
      <c r="D66" s="167"/>
      <c r="E66" s="167"/>
      <c r="F66" s="167"/>
      <c r="G66" s="167"/>
      <c r="H66" s="167"/>
      <c r="I66" s="167"/>
      <c r="J66" s="167"/>
      <c r="K66" s="130">
        <v>14839</v>
      </c>
      <c r="L66" s="89">
        <v>4127</v>
      </c>
      <c r="M66" s="89">
        <v>410</v>
      </c>
      <c r="N66" s="89">
        <v>124</v>
      </c>
      <c r="O66" s="12"/>
      <c r="P66" s="89">
        <v>292.48</v>
      </c>
      <c r="Q66" s="12"/>
    </row>
    <row r="67" spans="1:17" x14ac:dyDescent="0.2">
      <c r="A67" s="168" t="s">
        <v>37</v>
      </c>
      <c r="B67" s="167"/>
      <c r="C67" s="167"/>
      <c r="D67" s="167"/>
      <c r="E67" s="167"/>
      <c r="F67" s="167"/>
      <c r="G67" s="167"/>
      <c r="H67" s="167"/>
      <c r="I67" s="167"/>
      <c r="J67" s="167"/>
      <c r="K67" s="130">
        <v>16313</v>
      </c>
      <c r="L67" s="89">
        <v>5177</v>
      </c>
      <c r="M67" s="89">
        <v>562</v>
      </c>
      <c r="N67" s="89">
        <v>175</v>
      </c>
      <c r="O67" s="12"/>
      <c r="P67" s="89">
        <v>357.76</v>
      </c>
      <c r="Q67" s="12"/>
    </row>
    <row r="68" spans="1:17" x14ac:dyDescent="0.2">
      <c r="A68" s="168" t="s">
        <v>86</v>
      </c>
      <c r="B68" s="167"/>
      <c r="C68" s="167"/>
      <c r="D68" s="167"/>
      <c r="E68" s="167"/>
      <c r="F68" s="167"/>
      <c r="G68" s="167"/>
      <c r="H68" s="167"/>
      <c r="I68" s="167"/>
      <c r="J68" s="167"/>
      <c r="K68" s="129"/>
      <c r="L68" s="12"/>
      <c r="M68" s="12"/>
      <c r="N68" s="12"/>
      <c r="O68" s="12"/>
      <c r="P68" s="12"/>
      <c r="Q68" s="12"/>
    </row>
    <row r="69" spans="1:17" x14ac:dyDescent="0.2">
      <c r="A69" s="168" t="s">
        <v>519</v>
      </c>
      <c r="B69" s="167"/>
      <c r="C69" s="167"/>
      <c r="D69" s="167"/>
      <c r="E69" s="167"/>
      <c r="F69" s="167"/>
      <c r="G69" s="167"/>
      <c r="H69" s="167"/>
      <c r="I69" s="167"/>
      <c r="J69" s="167"/>
      <c r="K69" s="130">
        <v>184</v>
      </c>
      <c r="L69" s="89">
        <v>177</v>
      </c>
      <c r="M69" s="89">
        <v>5</v>
      </c>
      <c r="N69" s="89">
        <v>5</v>
      </c>
      <c r="O69" s="12"/>
      <c r="P69" s="12"/>
      <c r="Q69" s="12"/>
    </row>
    <row r="70" spans="1:17" ht="15" customHeight="1" x14ac:dyDescent="0.2">
      <c r="A70" s="168" t="s">
        <v>518</v>
      </c>
      <c r="B70" s="167"/>
      <c r="C70" s="167"/>
      <c r="D70" s="167"/>
      <c r="E70" s="167"/>
      <c r="F70" s="167"/>
      <c r="G70" s="167"/>
      <c r="H70" s="167"/>
      <c r="I70" s="167"/>
      <c r="J70" s="167"/>
      <c r="K70" s="130">
        <v>84</v>
      </c>
      <c r="L70" s="12"/>
      <c r="M70" s="12"/>
      <c r="N70" s="12"/>
      <c r="O70" s="12"/>
      <c r="P70" s="12"/>
      <c r="Q70" s="12"/>
    </row>
    <row r="71" spans="1:17" ht="15" customHeight="1" x14ac:dyDescent="0.2">
      <c r="A71" s="168" t="s">
        <v>517</v>
      </c>
      <c r="B71" s="167"/>
      <c r="C71" s="167"/>
      <c r="D71" s="167"/>
      <c r="E71" s="167"/>
      <c r="F71" s="167"/>
      <c r="G71" s="167"/>
      <c r="H71" s="167"/>
      <c r="I71" s="167"/>
      <c r="J71" s="167"/>
      <c r="K71" s="130">
        <v>133</v>
      </c>
      <c r="L71" s="12"/>
      <c r="M71" s="12"/>
      <c r="N71" s="12"/>
      <c r="O71" s="12"/>
      <c r="P71" s="12"/>
      <c r="Q71" s="12"/>
    </row>
    <row r="72" spans="1:17" ht="15" customHeight="1" x14ac:dyDescent="0.2">
      <c r="A72" s="168" t="s">
        <v>516</v>
      </c>
      <c r="B72" s="167"/>
      <c r="C72" s="167"/>
      <c r="D72" s="167"/>
      <c r="E72" s="167"/>
      <c r="F72" s="167"/>
      <c r="G72" s="167"/>
      <c r="H72" s="167"/>
      <c r="I72" s="167"/>
      <c r="J72" s="167"/>
      <c r="K72" s="130">
        <v>55</v>
      </c>
      <c r="L72" s="12"/>
      <c r="M72" s="12"/>
      <c r="N72" s="12"/>
      <c r="O72" s="12"/>
      <c r="P72" s="12"/>
      <c r="Q72" s="12"/>
    </row>
    <row r="73" spans="1:17" ht="30" customHeight="1" x14ac:dyDescent="0.2">
      <c r="A73" s="168" t="s">
        <v>515</v>
      </c>
      <c r="B73" s="167"/>
      <c r="C73" s="167"/>
      <c r="D73" s="167"/>
      <c r="E73" s="167"/>
      <c r="F73" s="167"/>
      <c r="G73" s="167"/>
      <c r="H73" s="167"/>
      <c r="I73" s="167"/>
      <c r="J73" s="167"/>
      <c r="K73" s="130">
        <v>1136</v>
      </c>
      <c r="L73" s="89">
        <v>990</v>
      </c>
      <c r="M73" s="89">
        <v>146</v>
      </c>
      <c r="N73" s="89">
        <v>46</v>
      </c>
      <c r="O73" s="12"/>
      <c r="P73" s="89">
        <v>72.180499999999995</v>
      </c>
      <c r="Q73" s="12"/>
    </row>
    <row r="74" spans="1:17" ht="30" customHeight="1" x14ac:dyDescent="0.2">
      <c r="A74" s="168" t="s">
        <v>514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30">
        <v>221</v>
      </c>
      <c r="L74" s="89">
        <v>221</v>
      </c>
      <c r="M74" s="12"/>
      <c r="N74" s="12"/>
      <c r="O74" s="12"/>
      <c r="P74" s="89">
        <v>12.9375</v>
      </c>
      <c r="Q74" s="12"/>
    </row>
    <row r="75" spans="1:17" ht="15" customHeight="1" x14ac:dyDescent="0.2">
      <c r="A75" s="168" t="s">
        <v>513</v>
      </c>
      <c r="B75" s="167"/>
      <c r="C75" s="167"/>
      <c r="D75" s="167"/>
      <c r="E75" s="167"/>
      <c r="F75" s="167"/>
      <c r="G75" s="167"/>
      <c r="H75" s="167"/>
      <c r="I75" s="167"/>
      <c r="J75" s="167"/>
      <c r="K75" s="130">
        <v>-339</v>
      </c>
      <c r="L75" s="89">
        <v>-339</v>
      </c>
      <c r="M75" s="12"/>
      <c r="N75" s="12"/>
      <c r="O75" s="12"/>
      <c r="P75" s="89">
        <v>-19.838000000000001</v>
      </c>
      <c r="Q75" s="12"/>
    </row>
    <row r="76" spans="1:17" x14ac:dyDescent="0.2">
      <c r="A76" s="168" t="s">
        <v>38</v>
      </c>
      <c r="B76" s="167"/>
      <c r="C76" s="167"/>
      <c r="D76" s="167"/>
      <c r="E76" s="167"/>
      <c r="F76" s="167"/>
      <c r="G76" s="167"/>
      <c r="H76" s="167"/>
      <c r="I76" s="167"/>
      <c r="J76" s="167"/>
      <c r="K76" s="130">
        <v>4203</v>
      </c>
      <c r="L76" s="12"/>
      <c r="M76" s="12"/>
      <c r="N76" s="12"/>
      <c r="O76" s="12"/>
      <c r="P76" s="12"/>
      <c r="Q76" s="12"/>
    </row>
    <row r="77" spans="1:17" x14ac:dyDescent="0.2">
      <c r="A77" s="168" t="s">
        <v>86</v>
      </c>
      <c r="B77" s="167"/>
      <c r="C77" s="167"/>
      <c r="D77" s="167"/>
      <c r="E77" s="167"/>
      <c r="F77" s="167"/>
      <c r="G77" s="167"/>
      <c r="H77" s="167"/>
      <c r="I77" s="167"/>
      <c r="J77" s="167"/>
      <c r="K77" s="129"/>
      <c r="L77" s="12"/>
      <c r="M77" s="12"/>
      <c r="N77" s="12"/>
      <c r="O77" s="12"/>
      <c r="P77" s="12"/>
      <c r="Q77" s="12"/>
    </row>
    <row r="78" spans="1:17" x14ac:dyDescent="0.2">
      <c r="A78" s="168" t="s">
        <v>512</v>
      </c>
      <c r="B78" s="167"/>
      <c r="C78" s="167"/>
      <c r="D78" s="167"/>
      <c r="E78" s="167"/>
      <c r="F78" s="167"/>
      <c r="G78" s="167"/>
      <c r="H78" s="167"/>
      <c r="I78" s="167"/>
      <c r="J78" s="167"/>
      <c r="K78" s="130">
        <v>883</v>
      </c>
      <c r="L78" s="12"/>
      <c r="M78" s="12"/>
      <c r="N78" s="12"/>
      <c r="O78" s="12"/>
      <c r="P78" s="12"/>
      <c r="Q78" s="12"/>
    </row>
    <row r="79" spans="1:17" x14ac:dyDescent="0.2">
      <c r="A79" s="168" t="s">
        <v>511</v>
      </c>
      <c r="B79" s="167"/>
      <c r="C79" s="167"/>
      <c r="D79" s="167"/>
      <c r="E79" s="167"/>
      <c r="F79" s="167"/>
      <c r="G79" s="167"/>
      <c r="H79" s="167"/>
      <c r="I79" s="167"/>
      <c r="J79" s="167"/>
      <c r="K79" s="130">
        <v>2454</v>
      </c>
      <c r="L79" s="12"/>
      <c r="M79" s="12"/>
      <c r="N79" s="12"/>
      <c r="O79" s="12"/>
      <c r="P79" s="12"/>
      <c r="Q79" s="12"/>
    </row>
    <row r="80" spans="1:17" x14ac:dyDescent="0.2">
      <c r="A80" s="168" t="s">
        <v>510</v>
      </c>
      <c r="B80" s="167"/>
      <c r="C80" s="167"/>
      <c r="D80" s="167"/>
      <c r="E80" s="167"/>
      <c r="F80" s="167"/>
      <c r="G80" s="167"/>
      <c r="H80" s="167"/>
      <c r="I80" s="167"/>
      <c r="J80" s="167"/>
      <c r="K80" s="130">
        <v>504</v>
      </c>
      <c r="L80" s="12"/>
      <c r="M80" s="12"/>
      <c r="N80" s="12"/>
      <c r="O80" s="12"/>
      <c r="P80" s="12"/>
      <c r="Q80" s="12"/>
    </row>
    <row r="81" spans="1:17" x14ac:dyDescent="0.2">
      <c r="A81" s="168" t="s">
        <v>509</v>
      </c>
      <c r="B81" s="167"/>
      <c r="C81" s="167"/>
      <c r="D81" s="167"/>
      <c r="E81" s="167"/>
      <c r="F81" s="167"/>
      <c r="G81" s="167"/>
      <c r="H81" s="167"/>
      <c r="I81" s="167"/>
      <c r="J81" s="167"/>
      <c r="K81" s="130">
        <v>326</v>
      </c>
      <c r="L81" s="12"/>
      <c r="M81" s="12"/>
      <c r="N81" s="12"/>
      <c r="O81" s="12"/>
      <c r="P81" s="12"/>
      <c r="Q81" s="12"/>
    </row>
    <row r="82" spans="1:17" x14ac:dyDescent="0.2">
      <c r="A82" s="168" t="s">
        <v>508</v>
      </c>
      <c r="B82" s="167"/>
      <c r="C82" s="167"/>
      <c r="D82" s="167"/>
      <c r="E82" s="167"/>
      <c r="F82" s="167"/>
      <c r="G82" s="167"/>
      <c r="H82" s="167"/>
      <c r="I82" s="167"/>
      <c r="J82" s="167"/>
      <c r="K82" s="130">
        <v>36</v>
      </c>
      <c r="L82" s="12"/>
      <c r="M82" s="12"/>
      <c r="N82" s="12"/>
      <c r="O82" s="12"/>
      <c r="P82" s="12"/>
      <c r="Q82" s="12"/>
    </row>
    <row r="83" spans="1:17" x14ac:dyDescent="0.2">
      <c r="A83" s="168" t="s">
        <v>39</v>
      </c>
      <c r="B83" s="167"/>
      <c r="C83" s="167"/>
      <c r="D83" s="167"/>
      <c r="E83" s="167"/>
      <c r="F83" s="167"/>
      <c r="G83" s="167"/>
      <c r="H83" s="167"/>
      <c r="I83" s="167"/>
      <c r="J83" s="167"/>
      <c r="K83" s="130">
        <v>2985</v>
      </c>
      <c r="L83" s="12"/>
      <c r="M83" s="12"/>
      <c r="N83" s="12"/>
      <c r="O83" s="12"/>
      <c r="P83" s="12"/>
      <c r="Q83" s="12"/>
    </row>
    <row r="84" spans="1:17" x14ac:dyDescent="0.2">
      <c r="A84" s="168" t="s">
        <v>86</v>
      </c>
      <c r="B84" s="167"/>
      <c r="C84" s="167"/>
      <c r="D84" s="167"/>
      <c r="E84" s="167"/>
      <c r="F84" s="167"/>
      <c r="G84" s="167"/>
      <c r="H84" s="167"/>
      <c r="I84" s="167"/>
      <c r="J84" s="167"/>
      <c r="K84" s="129"/>
      <c r="L84" s="12"/>
      <c r="M84" s="12"/>
      <c r="N84" s="12"/>
      <c r="O84" s="12"/>
      <c r="P84" s="12"/>
      <c r="Q84" s="12"/>
    </row>
    <row r="85" spans="1:17" x14ac:dyDescent="0.2">
      <c r="A85" s="168" t="s">
        <v>507</v>
      </c>
      <c r="B85" s="167"/>
      <c r="C85" s="167"/>
      <c r="D85" s="167"/>
      <c r="E85" s="167"/>
      <c r="F85" s="167"/>
      <c r="G85" s="167"/>
      <c r="H85" s="167"/>
      <c r="I85" s="167"/>
      <c r="J85" s="167"/>
      <c r="K85" s="130">
        <v>543</v>
      </c>
      <c r="L85" s="12"/>
      <c r="M85" s="12"/>
      <c r="N85" s="12"/>
      <c r="O85" s="12"/>
      <c r="P85" s="12"/>
      <c r="Q85" s="12"/>
    </row>
    <row r="86" spans="1:17" x14ac:dyDescent="0.2">
      <c r="A86" s="168" t="s">
        <v>506</v>
      </c>
      <c r="B86" s="167"/>
      <c r="C86" s="167"/>
      <c r="D86" s="167"/>
      <c r="E86" s="167"/>
      <c r="F86" s="167"/>
      <c r="G86" s="167"/>
      <c r="H86" s="167"/>
      <c r="I86" s="167"/>
      <c r="J86" s="167"/>
      <c r="K86" s="130">
        <v>1840</v>
      </c>
      <c r="L86" s="12"/>
      <c r="M86" s="12"/>
      <c r="N86" s="12"/>
      <c r="O86" s="12"/>
      <c r="P86" s="12"/>
      <c r="Q86" s="12"/>
    </row>
    <row r="87" spans="1:17" x14ac:dyDescent="0.2">
      <c r="A87" s="168" t="s">
        <v>505</v>
      </c>
      <c r="B87" s="167"/>
      <c r="C87" s="167"/>
      <c r="D87" s="167"/>
      <c r="E87" s="167"/>
      <c r="F87" s="167"/>
      <c r="G87" s="167"/>
      <c r="H87" s="167"/>
      <c r="I87" s="167"/>
      <c r="J87" s="167"/>
      <c r="K87" s="130">
        <v>602</v>
      </c>
      <c r="L87" s="12"/>
      <c r="M87" s="12"/>
      <c r="N87" s="12"/>
      <c r="O87" s="12"/>
      <c r="P87" s="12"/>
      <c r="Q87" s="12"/>
    </row>
    <row r="88" spans="1:17" x14ac:dyDescent="0.2">
      <c r="A88" s="173" t="s">
        <v>40</v>
      </c>
      <c r="B88" s="167"/>
      <c r="C88" s="167"/>
      <c r="D88" s="167"/>
      <c r="E88" s="167"/>
      <c r="F88" s="167"/>
      <c r="G88" s="167"/>
      <c r="H88" s="167"/>
      <c r="I88" s="167"/>
      <c r="J88" s="167"/>
      <c r="K88" s="129"/>
      <c r="L88" s="12"/>
      <c r="M88" s="12"/>
      <c r="N88" s="12"/>
      <c r="O88" s="12"/>
      <c r="P88" s="12"/>
      <c r="Q88" s="12"/>
    </row>
    <row r="89" spans="1:17" x14ac:dyDescent="0.2">
      <c r="A89" s="168" t="s">
        <v>83</v>
      </c>
      <c r="B89" s="167"/>
      <c r="C89" s="167"/>
      <c r="D89" s="167"/>
      <c r="E89" s="167"/>
      <c r="F89" s="167"/>
      <c r="G89" s="167"/>
      <c r="H89" s="167"/>
      <c r="I89" s="167"/>
      <c r="J89" s="167"/>
      <c r="K89" s="130">
        <v>16120</v>
      </c>
      <c r="L89" s="12"/>
      <c r="M89" s="12"/>
      <c r="N89" s="12"/>
      <c r="O89" s="12"/>
      <c r="P89" s="89">
        <v>278.41000000000003</v>
      </c>
      <c r="Q89" s="12"/>
    </row>
    <row r="90" spans="1:17" x14ac:dyDescent="0.2">
      <c r="A90" s="168" t="s">
        <v>82</v>
      </c>
      <c r="B90" s="167"/>
      <c r="C90" s="167"/>
      <c r="D90" s="167"/>
      <c r="E90" s="167"/>
      <c r="F90" s="167"/>
      <c r="G90" s="167"/>
      <c r="H90" s="167"/>
      <c r="I90" s="167"/>
      <c r="J90" s="167"/>
      <c r="K90" s="130">
        <v>4597</v>
      </c>
      <c r="L90" s="12"/>
      <c r="M90" s="12"/>
      <c r="N90" s="12"/>
      <c r="O90" s="12"/>
      <c r="P90" s="12"/>
      <c r="Q90" s="12"/>
    </row>
    <row r="91" spans="1:17" x14ac:dyDescent="0.2">
      <c r="A91" s="168" t="s">
        <v>247</v>
      </c>
      <c r="B91" s="167"/>
      <c r="C91" s="167"/>
      <c r="D91" s="167"/>
      <c r="E91" s="167"/>
      <c r="F91" s="167"/>
      <c r="G91" s="167"/>
      <c r="H91" s="167"/>
      <c r="I91" s="167"/>
      <c r="J91" s="167"/>
      <c r="K91" s="130">
        <v>2784</v>
      </c>
      <c r="L91" s="12"/>
      <c r="M91" s="12"/>
      <c r="N91" s="12"/>
      <c r="O91" s="12"/>
      <c r="P91" s="89">
        <v>79.349999999999994</v>
      </c>
      <c r="Q91" s="12"/>
    </row>
    <row r="92" spans="1:17" x14ac:dyDescent="0.2">
      <c r="A92" s="168" t="s">
        <v>41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30">
        <v>23501</v>
      </c>
      <c r="L92" s="12"/>
      <c r="M92" s="12"/>
      <c r="N92" s="12"/>
      <c r="O92" s="12"/>
      <c r="P92" s="89">
        <v>357.76</v>
      </c>
      <c r="Q92" s="12"/>
    </row>
    <row r="93" spans="1:17" x14ac:dyDescent="0.2">
      <c r="A93" s="168" t="s">
        <v>42</v>
      </c>
      <c r="B93" s="167"/>
      <c r="C93" s="167"/>
      <c r="D93" s="167"/>
      <c r="E93" s="167"/>
      <c r="F93" s="167"/>
      <c r="G93" s="167"/>
      <c r="H93" s="167"/>
      <c r="I93" s="167"/>
      <c r="J93" s="167"/>
      <c r="K93" s="129"/>
      <c r="L93" s="12"/>
      <c r="M93" s="12"/>
      <c r="N93" s="12"/>
      <c r="O93" s="12"/>
      <c r="P93" s="12"/>
      <c r="Q93" s="12"/>
    </row>
    <row r="94" spans="1:17" x14ac:dyDescent="0.2">
      <c r="A94" s="168" t="s">
        <v>43</v>
      </c>
      <c r="B94" s="167"/>
      <c r="C94" s="167"/>
      <c r="D94" s="167"/>
      <c r="E94" s="167"/>
      <c r="F94" s="167"/>
      <c r="G94" s="167"/>
      <c r="H94" s="167"/>
      <c r="I94" s="167"/>
      <c r="J94" s="167"/>
      <c r="K94" s="130">
        <v>5977</v>
      </c>
      <c r="L94" s="12"/>
      <c r="M94" s="12"/>
      <c r="N94" s="12"/>
      <c r="O94" s="12"/>
      <c r="P94" s="12"/>
      <c r="Q94" s="12"/>
    </row>
    <row r="95" spans="1:17" x14ac:dyDescent="0.2">
      <c r="A95" s="168" t="s">
        <v>44</v>
      </c>
      <c r="B95" s="167"/>
      <c r="C95" s="167"/>
      <c r="D95" s="167"/>
      <c r="E95" s="167"/>
      <c r="F95" s="167"/>
      <c r="G95" s="167"/>
      <c r="H95" s="167"/>
      <c r="I95" s="167"/>
      <c r="J95" s="167"/>
      <c r="K95" s="130">
        <f>562-N67</f>
        <v>387</v>
      </c>
      <c r="L95" s="12"/>
      <c r="M95" s="12"/>
      <c r="N95" s="12"/>
      <c r="O95" s="12"/>
      <c r="P95" s="12"/>
      <c r="Q95" s="12"/>
    </row>
    <row r="96" spans="1:17" x14ac:dyDescent="0.2">
      <c r="A96" s="168" t="s">
        <v>45</v>
      </c>
      <c r="B96" s="167"/>
      <c r="C96" s="167"/>
      <c r="D96" s="167"/>
      <c r="E96" s="167"/>
      <c r="F96" s="167"/>
      <c r="G96" s="167"/>
      <c r="H96" s="167"/>
      <c r="I96" s="167"/>
      <c r="J96" s="167"/>
      <c r="K96" s="130">
        <v>5352</v>
      </c>
      <c r="L96" s="12"/>
      <c r="M96" s="12"/>
      <c r="N96" s="12"/>
      <c r="O96" s="12"/>
      <c r="P96" s="12"/>
      <c r="Q96" s="12"/>
    </row>
    <row r="97" spans="1:17" x14ac:dyDescent="0.2">
      <c r="A97" s="168" t="s">
        <v>19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30">
        <v>4597</v>
      </c>
      <c r="L97" s="12"/>
      <c r="M97" s="12"/>
      <c r="N97" s="12"/>
      <c r="O97" s="12"/>
      <c r="P97" s="12"/>
      <c r="Q97" s="12"/>
    </row>
    <row r="98" spans="1:17" x14ac:dyDescent="0.2">
      <c r="A98" s="168" t="s">
        <v>46</v>
      </c>
      <c r="B98" s="167"/>
      <c r="C98" s="167"/>
      <c r="D98" s="167"/>
      <c r="E98" s="167"/>
      <c r="F98" s="167"/>
      <c r="G98" s="167"/>
      <c r="H98" s="167"/>
      <c r="I98" s="167"/>
      <c r="J98" s="167"/>
      <c r="K98" s="130">
        <v>4203</v>
      </c>
      <c r="L98" s="12"/>
      <c r="M98" s="12"/>
      <c r="N98" s="12"/>
      <c r="O98" s="12"/>
      <c r="P98" s="12"/>
      <c r="Q98" s="12"/>
    </row>
    <row r="99" spans="1:17" x14ac:dyDescent="0.2">
      <c r="A99" s="168" t="s">
        <v>47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30">
        <v>2985</v>
      </c>
      <c r="L99" s="12"/>
      <c r="M99" s="12"/>
      <c r="N99" s="12"/>
      <c r="O99" s="12"/>
      <c r="P99" s="12"/>
      <c r="Q99" s="12"/>
    </row>
    <row r="100" spans="1:17" x14ac:dyDescent="0.2">
      <c r="A100" s="173" t="s">
        <v>48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31">
        <f>SUM(K94:K99)</f>
        <v>23501</v>
      </c>
      <c r="L100" s="12"/>
      <c r="M100" s="12"/>
      <c r="N100" s="12"/>
      <c r="O100" s="12"/>
      <c r="P100" s="13">
        <v>357.76</v>
      </c>
      <c r="Q100" s="12"/>
    </row>
    <row r="101" spans="1:17" x14ac:dyDescent="0.2">
      <c r="F101" s="10"/>
      <c r="G101" s="10"/>
      <c r="H101" s="10"/>
      <c r="I101" s="10"/>
      <c r="J101" s="10"/>
      <c r="K101" s="132"/>
      <c r="L101" s="10"/>
      <c r="M101" s="10"/>
      <c r="N101" s="10"/>
      <c r="O101" s="10"/>
      <c r="P101" s="10"/>
      <c r="Q101" s="10"/>
    </row>
  </sheetData>
  <mergeCells count="59">
    <mergeCell ref="E1:I1"/>
    <mergeCell ref="A100:J100"/>
    <mergeCell ref="J13:K13"/>
    <mergeCell ref="J17:K17"/>
    <mergeCell ref="J18:K18"/>
    <mergeCell ref="J16:K16"/>
    <mergeCell ref="J15:K15"/>
    <mergeCell ref="J14:K14"/>
    <mergeCell ref="A94:J94"/>
    <mergeCell ref="A95:J95"/>
    <mergeCell ref="A87:J87"/>
    <mergeCell ref="A96:J96"/>
    <mergeCell ref="A97:J97"/>
    <mergeCell ref="A98:J98"/>
    <mergeCell ref="A99:J99"/>
    <mergeCell ref="A88:J88"/>
    <mergeCell ref="A89:J89"/>
    <mergeCell ref="A90:J90"/>
    <mergeCell ref="A91:J91"/>
    <mergeCell ref="A92:J92"/>
    <mergeCell ref="A93:J93"/>
    <mergeCell ref="A82:J82"/>
    <mergeCell ref="A83:J83"/>
    <mergeCell ref="A84:J84"/>
    <mergeCell ref="A85:J85"/>
    <mergeCell ref="A86:J86"/>
    <mergeCell ref="A81:J81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69:J69"/>
    <mergeCell ref="A22:A24"/>
    <mergeCell ref="C22:C24"/>
    <mergeCell ref="D22:D24"/>
    <mergeCell ref="E22:E24"/>
    <mergeCell ref="B22:B24"/>
    <mergeCell ref="F23:F24"/>
    <mergeCell ref="F22:I22"/>
    <mergeCell ref="A63:Q63"/>
    <mergeCell ref="A66:J66"/>
    <mergeCell ref="A67:J67"/>
    <mergeCell ref="A68:J68"/>
    <mergeCell ref="Q22:Q24"/>
    <mergeCell ref="P22:P24"/>
    <mergeCell ref="O22:O24"/>
    <mergeCell ref="J23:J24"/>
    <mergeCell ref="J22:N22"/>
    <mergeCell ref="K23:K24"/>
    <mergeCell ref="L23:N23"/>
    <mergeCell ref="G23:I23"/>
    <mergeCell ref="A26:Q26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93"/>
  <sheetViews>
    <sheetView showGridLines="0" zoomScaleNormal="75" zoomScaleSheetLayoutView="75" workbookViewId="0">
      <selection activeCell="D11" sqref="D11"/>
    </sheetView>
  </sheetViews>
  <sheetFormatPr defaultColWidth="9.140625" defaultRowHeight="12.75" outlineLevelRow="2" x14ac:dyDescent="0.2"/>
  <cols>
    <col min="1" max="1" width="3.28515625" style="11" customWidth="1"/>
    <col min="2" max="2" width="15.85546875" style="1" customWidth="1"/>
    <col min="3" max="3" width="34.28515625" style="8" customWidth="1"/>
    <col min="4" max="4" width="7.7109375" style="7" customWidth="1"/>
    <col min="5" max="5" width="9" style="9" customWidth="1"/>
    <col min="6" max="6" width="7.7109375" style="3" customWidth="1"/>
    <col min="7" max="9" width="6.7109375" style="3" customWidth="1"/>
    <col min="10" max="10" width="7.7109375" style="133" customWidth="1"/>
    <col min="11" max="15" width="6.7109375" style="3" customWidth="1"/>
    <col min="16" max="16" width="9.85546875" style="3" customWidth="1"/>
    <col min="17" max="17" width="6.7109375" style="3" customWidth="1"/>
    <col min="18" max="16384" width="9.140625" style="4"/>
  </cols>
  <sheetData>
    <row r="1" spans="1:19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125"/>
      <c r="K1" s="98"/>
      <c r="L1" s="98"/>
      <c r="M1" s="2" t="s">
        <v>28</v>
      </c>
      <c r="N1" s="98"/>
      <c r="O1" s="98"/>
      <c r="P1" s="98"/>
      <c r="Q1"/>
      <c r="R1"/>
      <c r="S1"/>
    </row>
    <row r="2" spans="1:19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125"/>
      <c r="K2" s="98"/>
      <c r="L2" s="98"/>
      <c r="M2" s="5" t="s">
        <v>158</v>
      </c>
      <c r="N2" s="98"/>
      <c r="O2" s="98"/>
      <c r="P2" s="98"/>
      <c r="Q2"/>
      <c r="R2"/>
      <c r="S2"/>
    </row>
    <row r="3" spans="1:19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125"/>
      <c r="K3" s="98"/>
      <c r="L3" s="5"/>
      <c r="M3" s="5" t="s">
        <v>157</v>
      </c>
      <c r="N3" s="98"/>
      <c r="O3" s="98"/>
      <c r="P3" s="98"/>
      <c r="Q3"/>
      <c r="R3"/>
      <c r="S3"/>
    </row>
    <row r="4" spans="1:19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125"/>
      <c r="K4" s="98"/>
      <c r="L4" s="98"/>
      <c r="M4" s="5" t="s">
        <v>156</v>
      </c>
      <c r="N4" s="98"/>
      <c r="O4" s="98"/>
      <c r="P4" s="98"/>
      <c r="Q4"/>
      <c r="R4"/>
      <c r="S4"/>
    </row>
    <row r="5" spans="1:19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125"/>
      <c r="K5" s="98"/>
      <c r="L5" s="98"/>
      <c r="M5" s="5" t="s">
        <v>154</v>
      </c>
      <c r="N5" s="98"/>
      <c r="O5" s="98"/>
      <c r="P5" s="98"/>
      <c r="Q5"/>
      <c r="R5"/>
      <c r="S5"/>
    </row>
    <row r="6" spans="1:19" x14ac:dyDescent="0.2">
      <c r="A6" s="99"/>
      <c r="B6" s="102"/>
      <c r="C6" s="100"/>
      <c r="D6" s="4"/>
      <c r="E6" s="98"/>
      <c r="F6" s="98"/>
      <c r="G6" s="121" t="s">
        <v>621</v>
      </c>
      <c r="H6" s="121"/>
      <c r="I6" s="121"/>
      <c r="J6" s="125"/>
      <c r="K6" s="98"/>
      <c r="L6" s="98"/>
      <c r="M6" s="98"/>
      <c r="N6" s="98"/>
      <c r="O6" s="98"/>
      <c r="P6" s="98"/>
      <c r="Q6" s="4"/>
      <c r="R6"/>
      <c r="S6"/>
    </row>
    <row r="7" spans="1:19" x14ac:dyDescent="0.2">
      <c r="A7" s="99"/>
      <c r="B7" s="102"/>
      <c r="C7" s="100"/>
      <c r="D7" s="4"/>
      <c r="E7" s="98"/>
      <c r="F7" s="98"/>
      <c r="G7" s="120" t="s">
        <v>620</v>
      </c>
      <c r="H7" s="99"/>
      <c r="I7" s="99"/>
      <c r="J7" s="125"/>
      <c r="K7" s="98"/>
      <c r="L7" s="98"/>
      <c r="M7" s="98"/>
      <c r="N7" s="98"/>
      <c r="O7" s="98"/>
      <c r="P7" s="98"/>
      <c r="Q7" s="4"/>
      <c r="R7"/>
      <c r="S7"/>
    </row>
    <row r="8" spans="1:19" x14ac:dyDescent="0.2">
      <c r="A8" s="99"/>
      <c r="B8" s="102"/>
      <c r="C8" s="100"/>
      <c r="D8" s="4"/>
      <c r="E8" s="98"/>
      <c r="F8" s="98"/>
      <c r="G8" s="98"/>
      <c r="H8" s="98"/>
      <c r="I8" s="98"/>
      <c r="J8" s="125"/>
      <c r="K8" s="98"/>
      <c r="L8" s="98"/>
      <c r="M8" s="98"/>
      <c r="N8" s="98"/>
      <c r="O8" s="98"/>
      <c r="P8" s="98"/>
      <c r="Q8"/>
      <c r="R8"/>
      <c r="S8"/>
    </row>
    <row r="9" spans="1:19" x14ac:dyDescent="0.2">
      <c r="A9" s="99"/>
      <c r="B9" s="102"/>
      <c r="C9" s="117" t="s">
        <v>22</v>
      </c>
      <c r="D9" s="119" t="s">
        <v>151</v>
      </c>
      <c r="E9" s="118"/>
      <c r="F9" s="118"/>
      <c r="G9" s="118"/>
      <c r="H9" s="118"/>
      <c r="I9" s="118"/>
      <c r="J9" s="126"/>
      <c r="K9" s="118"/>
      <c r="L9" s="118"/>
      <c r="M9" s="118"/>
      <c r="N9" s="118"/>
      <c r="O9" s="98"/>
      <c r="P9" s="98"/>
      <c r="Q9"/>
      <c r="R9"/>
      <c r="S9"/>
    </row>
    <row r="10" spans="1:19" x14ac:dyDescent="0.2">
      <c r="A10" s="99"/>
      <c r="B10" s="102"/>
      <c r="C10" s="117"/>
      <c r="D10" s="95" t="s">
        <v>619</v>
      </c>
      <c r="E10" s="98"/>
      <c r="F10" s="98"/>
      <c r="G10" s="99"/>
      <c r="H10" s="98"/>
      <c r="I10" s="98"/>
      <c r="J10" s="125"/>
      <c r="K10" s="151"/>
      <c r="L10" s="98"/>
      <c r="M10" s="98"/>
      <c r="N10" s="98"/>
      <c r="O10" s="98"/>
      <c r="P10" s="98"/>
      <c r="Q10"/>
      <c r="R10"/>
      <c r="S10"/>
    </row>
    <row r="11" spans="1:19" x14ac:dyDescent="0.2">
      <c r="A11" s="99"/>
      <c r="B11" s="102"/>
      <c r="C11" s="100"/>
      <c r="D11" s="116"/>
      <c r="E11" s="114"/>
      <c r="F11" s="114"/>
      <c r="G11" s="115" t="s">
        <v>149</v>
      </c>
      <c r="H11" s="115"/>
      <c r="I11" s="115"/>
      <c r="J11" s="134"/>
      <c r="K11" s="113"/>
      <c r="L11" s="98"/>
      <c r="M11" s="98"/>
      <c r="N11" s="98"/>
      <c r="O11" s="98"/>
      <c r="P11" s="98"/>
      <c r="Q11"/>
      <c r="R11"/>
      <c r="S11"/>
    </row>
    <row r="12" spans="1:19" x14ac:dyDescent="0.2">
      <c r="A12" s="112"/>
      <c r="B12" s="111"/>
      <c r="C12" s="101"/>
      <c r="D12" s="100"/>
      <c r="E12" s="4"/>
      <c r="F12" s="98"/>
      <c r="G12" s="98"/>
      <c r="H12" s="98"/>
      <c r="I12" s="98"/>
      <c r="J12" s="125"/>
      <c r="K12" s="98"/>
      <c r="L12" s="98"/>
      <c r="M12" s="98"/>
      <c r="N12" s="98"/>
      <c r="O12" s="98"/>
      <c r="P12" s="98"/>
      <c r="Q12" s="98"/>
    </row>
    <row r="13" spans="1:19" ht="14.25" x14ac:dyDescent="0.2">
      <c r="A13" s="99"/>
      <c r="B13" s="102"/>
      <c r="C13" s="101"/>
      <c r="D13" s="95" t="s">
        <v>618</v>
      </c>
      <c r="E13" s="99"/>
      <c r="F13" s="98"/>
      <c r="G13" s="98"/>
      <c r="H13" s="98"/>
      <c r="I13" s="95"/>
      <c r="J13" s="128"/>
      <c r="K13" s="98"/>
      <c r="L13" s="98"/>
      <c r="M13" s="98"/>
      <c r="N13" s="110" t="s">
        <v>147</v>
      </c>
      <c r="O13" s="108"/>
      <c r="P13" s="108"/>
      <c r="Q13" s="98"/>
      <c r="R13" s="124"/>
    </row>
    <row r="14" spans="1:19" x14ac:dyDescent="0.2">
      <c r="A14" s="99"/>
      <c r="B14" s="102"/>
      <c r="C14" s="101"/>
      <c r="D14" s="95" t="s">
        <v>51</v>
      </c>
      <c r="E14" s="99"/>
      <c r="F14" s="98"/>
      <c r="G14" s="98"/>
      <c r="H14" s="98"/>
      <c r="I14" s="95"/>
      <c r="J14" s="175" t="s">
        <v>617</v>
      </c>
      <c r="K14" s="176"/>
      <c r="L14" s="5" t="s">
        <v>139</v>
      </c>
      <c r="M14" s="98"/>
      <c r="N14" s="109" t="s">
        <v>145</v>
      </c>
      <c r="O14" s="108"/>
      <c r="P14" s="107">
        <f>P15+P16</f>
        <v>866.51211999999998</v>
      </c>
      <c r="Q14" s="98"/>
    </row>
    <row r="15" spans="1:19" outlineLevel="1" x14ac:dyDescent="0.2">
      <c r="A15" s="99"/>
      <c r="B15" s="102"/>
      <c r="C15" s="101"/>
      <c r="D15" s="95" t="s">
        <v>52</v>
      </c>
      <c r="E15" s="99"/>
      <c r="F15" s="98"/>
      <c r="G15" s="98"/>
      <c r="H15" s="98"/>
      <c r="I15" s="95"/>
      <c r="J15" s="175" t="s">
        <v>616</v>
      </c>
      <c r="K15" s="176"/>
      <c r="L15" s="5" t="s">
        <v>139</v>
      </c>
      <c r="M15" s="98"/>
      <c r="N15" s="109" t="s">
        <v>138</v>
      </c>
      <c r="O15" s="108"/>
      <c r="P15" s="107">
        <f>147.488*5.56</f>
        <v>820.03327999999999</v>
      </c>
      <c r="Q15" s="98"/>
    </row>
    <row r="16" spans="1:19" outlineLevel="1" x14ac:dyDescent="0.2">
      <c r="A16" s="99"/>
      <c r="B16" s="102"/>
      <c r="C16" s="101"/>
      <c r="D16" s="95" t="s">
        <v>372</v>
      </c>
      <c r="E16" s="99"/>
      <c r="F16" s="98"/>
      <c r="G16" s="98"/>
      <c r="H16" s="98"/>
      <c r="I16" s="95"/>
      <c r="J16" s="175" t="s">
        <v>615</v>
      </c>
      <c r="K16" s="176"/>
      <c r="L16" s="5" t="s">
        <v>139</v>
      </c>
      <c r="M16" s="98"/>
      <c r="N16" s="109" t="s">
        <v>370</v>
      </c>
      <c r="O16" s="108"/>
      <c r="P16" s="107">
        <f>4.987*9.32</f>
        <v>46.478840000000005</v>
      </c>
      <c r="Q16" s="98"/>
    </row>
    <row r="17" spans="1:17" x14ac:dyDescent="0.2">
      <c r="A17" s="99"/>
      <c r="B17" s="102"/>
      <c r="C17" s="101"/>
      <c r="D17" s="95" t="s">
        <v>187</v>
      </c>
      <c r="E17" s="99"/>
      <c r="F17" s="98"/>
      <c r="G17" s="98"/>
      <c r="H17" s="98"/>
      <c r="I17" s="95"/>
      <c r="J17" s="175" t="s">
        <v>614</v>
      </c>
      <c r="K17" s="176"/>
      <c r="L17" s="5" t="s">
        <v>139</v>
      </c>
      <c r="M17" s="98"/>
      <c r="N17" s="109" t="s">
        <v>138</v>
      </c>
      <c r="O17" s="108"/>
      <c r="P17" s="107">
        <f>29.598*5.56</f>
        <v>164.56487999999999</v>
      </c>
      <c r="Q17" s="98"/>
    </row>
    <row r="18" spans="1:17" outlineLevel="1" x14ac:dyDescent="0.2">
      <c r="A18" s="99"/>
      <c r="B18" s="102"/>
      <c r="C18" s="101"/>
      <c r="D18" s="95" t="s">
        <v>49</v>
      </c>
      <c r="E18" s="99"/>
      <c r="F18" s="98"/>
      <c r="G18" s="98"/>
      <c r="H18" s="98"/>
      <c r="I18" s="95"/>
      <c r="J18" s="175" t="s">
        <v>613</v>
      </c>
      <c r="K18" s="176"/>
      <c r="L18" s="5" t="s">
        <v>50</v>
      </c>
      <c r="M18" s="98"/>
      <c r="N18" s="98"/>
      <c r="O18" s="98"/>
      <c r="P18" s="98"/>
      <c r="Q18" s="98"/>
    </row>
    <row r="19" spans="1:17" x14ac:dyDescent="0.2">
      <c r="A19" s="99"/>
      <c r="B19" s="102"/>
      <c r="C19" s="101"/>
      <c r="D19" s="103" t="s">
        <v>136</v>
      </c>
      <c r="E19" s="99"/>
      <c r="F19" s="98"/>
      <c r="G19" s="98"/>
      <c r="H19" s="98"/>
      <c r="I19" s="98"/>
      <c r="J19" s="125"/>
      <c r="K19" s="98"/>
      <c r="L19" s="98"/>
      <c r="M19" s="98"/>
      <c r="N19" s="98"/>
      <c r="O19" s="98"/>
      <c r="P19" s="98"/>
      <c r="Q19" s="98"/>
    </row>
    <row r="21" spans="1:17" ht="18" customHeight="1" x14ac:dyDescent="0.2">
      <c r="A21" s="161" t="s">
        <v>23</v>
      </c>
      <c r="B21" s="171" t="s">
        <v>184</v>
      </c>
      <c r="C21" s="161" t="s">
        <v>134</v>
      </c>
      <c r="D21" s="161" t="s">
        <v>24</v>
      </c>
      <c r="E21" s="161" t="s">
        <v>25</v>
      </c>
      <c r="F21" s="161" t="s">
        <v>133</v>
      </c>
      <c r="G21" s="165"/>
      <c r="H21" s="165"/>
      <c r="I21" s="165"/>
      <c r="J21" s="161" t="s">
        <v>132</v>
      </c>
      <c r="K21" s="165"/>
      <c r="L21" s="165"/>
      <c r="M21" s="165"/>
      <c r="N21" s="161" t="s">
        <v>131</v>
      </c>
      <c r="O21" s="161" t="s">
        <v>130</v>
      </c>
      <c r="P21" s="161" t="s">
        <v>183</v>
      </c>
      <c r="Q21" s="161" t="s">
        <v>182</v>
      </c>
    </row>
    <row r="22" spans="1:17" ht="15.75" customHeight="1" x14ac:dyDescent="0.2">
      <c r="A22" s="165"/>
      <c r="B22" s="172"/>
      <c r="C22" s="170"/>
      <c r="D22" s="161"/>
      <c r="E22" s="165"/>
      <c r="F22" s="161" t="s">
        <v>26</v>
      </c>
      <c r="G22" s="161" t="s">
        <v>127</v>
      </c>
      <c r="H22" s="165"/>
      <c r="I22" s="165"/>
      <c r="J22" s="163" t="s">
        <v>26</v>
      </c>
      <c r="K22" s="161" t="s">
        <v>127</v>
      </c>
      <c r="L22" s="165"/>
      <c r="M22" s="165"/>
      <c r="N22" s="161"/>
      <c r="O22" s="161"/>
      <c r="P22" s="161"/>
      <c r="Q22" s="161"/>
    </row>
    <row r="23" spans="1:17" ht="15.75" customHeight="1" x14ac:dyDescent="0.2">
      <c r="A23" s="165"/>
      <c r="B23" s="172"/>
      <c r="C23" s="170"/>
      <c r="D23" s="161"/>
      <c r="E23" s="165"/>
      <c r="F23" s="165"/>
      <c r="G23" s="147" t="s">
        <v>126</v>
      </c>
      <c r="H23" s="147" t="s">
        <v>125</v>
      </c>
      <c r="I23" s="147" t="s">
        <v>124</v>
      </c>
      <c r="J23" s="164"/>
      <c r="K23" s="147" t="s">
        <v>126</v>
      </c>
      <c r="L23" s="147" t="s">
        <v>125</v>
      </c>
      <c r="M23" s="147" t="s">
        <v>124</v>
      </c>
      <c r="N23" s="161"/>
      <c r="O23" s="161"/>
      <c r="P23" s="161"/>
      <c r="Q23" s="161"/>
    </row>
    <row r="24" spans="1:17" x14ac:dyDescent="0.2">
      <c r="A24" s="6">
        <v>1</v>
      </c>
      <c r="B24" s="148">
        <v>2</v>
      </c>
      <c r="C24" s="147">
        <v>3</v>
      </c>
      <c r="D24" s="147">
        <v>4</v>
      </c>
      <c r="E24" s="6">
        <v>5</v>
      </c>
      <c r="F24" s="149">
        <v>6</v>
      </c>
      <c r="G24" s="149">
        <v>7</v>
      </c>
      <c r="H24" s="149">
        <v>8</v>
      </c>
      <c r="I24" s="149">
        <v>9</v>
      </c>
      <c r="J24" s="150">
        <v>10</v>
      </c>
      <c r="K24" s="149">
        <v>11</v>
      </c>
      <c r="L24" s="149">
        <v>12</v>
      </c>
      <c r="M24" s="149">
        <v>13</v>
      </c>
      <c r="N24" s="149">
        <v>14</v>
      </c>
      <c r="O24" s="149">
        <v>15</v>
      </c>
      <c r="P24" s="149">
        <v>16</v>
      </c>
      <c r="Q24" s="149">
        <v>17</v>
      </c>
    </row>
    <row r="25" spans="1:17" x14ac:dyDescent="0.2">
      <c r="A25" s="166" t="s">
        <v>123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</row>
    <row r="26" spans="1:17" ht="63" x14ac:dyDescent="0.2">
      <c r="A26" s="6">
        <v>1</v>
      </c>
      <c r="B26" s="92" t="s">
        <v>241</v>
      </c>
      <c r="C26" s="146" t="s">
        <v>240</v>
      </c>
      <c r="D26" s="91" t="s">
        <v>30</v>
      </c>
      <c r="E26" s="97">
        <v>2</v>
      </c>
      <c r="F26" s="89">
        <v>1335.61</v>
      </c>
      <c r="G26" s="12"/>
      <c r="H26" s="12"/>
      <c r="I26" s="12"/>
      <c r="J26" s="129">
        <v>2671</v>
      </c>
      <c r="K26" s="12"/>
      <c r="L26" s="12"/>
      <c r="M26" s="12"/>
      <c r="N26" s="12"/>
      <c r="O26" s="12"/>
      <c r="P26" s="12"/>
      <c r="Q26" s="12"/>
    </row>
    <row r="27" spans="1:17" ht="16.899999999999999" customHeight="1" x14ac:dyDescent="0.2">
      <c r="A27" s="6">
        <v>2</v>
      </c>
      <c r="B27" s="92" t="s">
        <v>360</v>
      </c>
      <c r="C27" s="146" t="s">
        <v>359</v>
      </c>
      <c r="D27" s="91" t="s">
        <v>29</v>
      </c>
      <c r="E27" s="97">
        <v>2</v>
      </c>
      <c r="F27" s="89">
        <v>256.7</v>
      </c>
      <c r="G27" s="89">
        <v>157.76</v>
      </c>
      <c r="H27" s="89">
        <v>33.83</v>
      </c>
      <c r="I27" s="89">
        <v>6.87</v>
      </c>
      <c r="J27" s="129">
        <v>513</v>
      </c>
      <c r="K27" s="12">
        <v>316</v>
      </c>
      <c r="L27" s="12">
        <v>68</v>
      </c>
      <c r="M27" s="12">
        <v>14</v>
      </c>
      <c r="N27" s="12">
        <v>10.1</v>
      </c>
      <c r="O27" s="12">
        <v>20.2</v>
      </c>
      <c r="P27" s="12">
        <v>0.44</v>
      </c>
      <c r="Q27" s="12">
        <v>0.88</v>
      </c>
    </row>
    <row r="28" spans="1:17" ht="63" x14ac:dyDescent="0.2">
      <c r="A28" s="6">
        <v>3</v>
      </c>
      <c r="B28" s="92" t="s">
        <v>612</v>
      </c>
      <c r="C28" s="146" t="s">
        <v>611</v>
      </c>
      <c r="D28" s="91" t="s">
        <v>30</v>
      </c>
      <c r="E28" s="97">
        <v>2</v>
      </c>
      <c r="F28" s="89">
        <v>81.53</v>
      </c>
      <c r="G28" s="12"/>
      <c r="H28" s="12"/>
      <c r="I28" s="12"/>
      <c r="J28" s="129">
        <v>163</v>
      </c>
      <c r="K28" s="12"/>
      <c r="L28" s="12"/>
      <c r="M28" s="12"/>
      <c r="N28" s="12"/>
      <c r="O28" s="12"/>
      <c r="P28" s="12"/>
      <c r="Q28" s="12"/>
    </row>
    <row r="29" spans="1:17" ht="63" x14ac:dyDescent="0.2">
      <c r="A29" s="6">
        <v>4</v>
      </c>
      <c r="B29" s="92" t="s">
        <v>610</v>
      </c>
      <c r="C29" s="146" t="s">
        <v>609</v>
      </c>
      <c r="D29" s="91" t="s">
        <v>30</v>
      </c>
      <c r="E29" s="97">
        <v>19</v>
      </c>
      <c r="F29" s="89">
        <v>47.67</v>
      </c>
      <c r="G29" s="12"/>
      <c r="H29" s="12"/>
      <c r="I29" s="12"/>
      <c r="J29" s="129">
        <v>906</v>
      </c>
      <c r="K29" s="12"/>
      <c r="L29" s="12"/>
      <c r="M29" s="12"/>
      <c r="N29" s="12"/>
      <c r="O29" s="12"/>
      <c r="P29" s="12"/>
      <c r="Q29" s="12"/>
    </row>
    <row r="30" spans="1:17" ht="24" x14ac:dyDescent="0.2">
      <c r="A30" s="6">
        <v>5</v>
      </c>
      <c r="B30" s="92" t="s">
        <v>330</v>
      </c>
      <c r="C30" s="146" t="s">
        <v>608</v>
      </c>
      <c r="D30" s="91" t="s">
        <v>29</v>
      </c>
      <c r="E30" s="97">
        <v>17</v>
      </c>
      <c r="F30" s="89">
        <v>98.76</v>
      </c>
      <c r="G30" s="89">
        <v>74.88</v>
      </c>
      <c r="H30" s="12"/>
      <c r="I30" s="12"/>
      <c r="J30" s="129">
        <v>1679</v>
      </c>
      <c r="K30" s="12">
        <v>1273</v>
      </c>
      <c r="L30" s="12"/>
      <c r="M30" s="12"/>
      <c r="N30" s="12">
        <v>6</v>
      </c>
      <c r="O30" s="12">
        <v>102</v>
      </c>
      <c r="P30" s="12"/>
      <c r="Q30" s="12"/>
    </row>
    <row r="31" spans="1:17" ht="63" x14ac:dyDescent="0.2">
      <c r="A31" s="6">
        <v>6</v>
      </c>
      <c r="B31" s="92" t="s">
        <v>606</v>
      </c>
      <c r="C31" s="146" t="s">
        <v>607</v>
      </c>
      <c r="D31" s="91" t="s">
        <v>30</v>
      </c>
      <c r="E31" s="97">
        <v>6</v>
      </c>
      <c r="F31" s="89">
        <v>459.6</v>
      </c>
      <c r="G31" s="12"/>
      <c r="H31" s="12"/>
      <c r="I31" s="12"/>
      <c r="J31" s="129">
        <v>2758</v>
      </c>
      <c r="K31" s="12"/>
      <c r="L31" s="12"/>
      <c r="M31" s="12"/>
      <c r="N31" s="12"/>
      <c r="O31" s="12"/>
      <c r="P31" s="12"/>
      <c r="Q31" s="12"/>
    </row>
    <row r="32" spans="1:17" ht="63" x14ac:dyDescent="0.2">
      <c r="A32" s="6">
        <v>7</v>
      </c>
      <c r="B32" s="92" t="s">
        <v>606</v>
      </c>
      <c r="C32" s="146" t="s">
        <v>605</v>
      </c>
      <c r="D32" s="91" t="s">
        <v>30</v>
      </c>
      <c r="E32" s="97">
        <v>10</v>
      </c>
      <c r="F32" s="89">
        <v>459.6</v>
      </c>
      <c r="G32" s="12"/>
      <c r="H32" s="12"/>
      <c r="I32" s="12"/>
      <c r="J32" s="129">
        <v>4596</v>
      </c>
      <c r="K32" s="12"/>
      <c r="L32" s="12"/>
      <c r="M32" s="12"/>
      <c r="N32" s="12"/>
      <c r="O32" s="12"/>
      <c r="P32" s="12"/>
      <c r="Q32" s="12"/>
    </row>
    <row r="33" spans="1:17" ht="24" x14ac:dyDescent="0.2">
      <c r="A33" s="6">
        <v>8</v>
      </c>
      <c r="B33" s="92" t="s">
        <v>604</v>
      </c>
      <c r="C33" s="146" t="s">
        <v>603</v>
      </c>
      <c r="D33" s="91" t="s">
        <v>29</v>
      </c>
      <c r="E33" s="90">
        <v>16</v>
      </c>
      <c r="F33" s="89">
        <v>98.76</v>
      </c>
      <c r="G33" s="89">
        <v>74.88</v>
      </c>
      <c r="H33" s="12"/>
      <c r="I33" s="12"/>
      <c r="J33" s="129">
        <v>1580</v>
      </c>
      <c r="K33" s="12">
        <v>1198</v>
      </c>
      <c r="L33" s="12"/>
      <c r="M33" s="12"/>
      <c r="N33" s="12">
        <v>6</v>
      </c>
      <c r="O33" s="12">
        <v>96</v>
      </c>
      <c r="P33" s="12"/>
      <c r="Q33" s="12"/>
    </row>
    <row r="34" spans="1:17" ht="24" x14ac:dyDescent="0.2">
      <c r="A34" s="6">
        <v>9</v>
      </c>
      <c r="B34" s="92" t="s">
        <v>106</v>
      </c>
      <c r="C34" s="146" t="s">
        <v>538</v>
      </c>
      <c r="D34" s="91" t="s">
        <v>33</v>
      </c>
      <c r="E34" s="97">
        <v>32</v>
      </c>
      <c r="F34" s="89">
        <v>33.4</v>
      </c>
      <c r="G34" s="12"/>
      <c r="H34" s="12"/>
      <c r="I34" s="12"/>
      <c r="J34" s="129">
        <v>1069</v>
      </c>
      <c r="K34" s="12"/>
      <c r="L34" s="12"/>
      <c r="M34" s="12"/>
      <c r="N34" s="12"/>
      <c r="O34" s="12"/>
      <c r="P34" s="12"/>
      <c r="Q34" s="12"/>
    </row>
    <row r="35" spans="1:17" ht="24" x14ac:dyDescent="0.2">
      <c r="A35" s="6">
        <v>10</v>
      </c>
      <c r="B35" s="92" t="s">
        <v>106</v>
      </c>
      <c r="C35" s="146" t="s">
        <v>602</v>
      </c>
      <c r="D35" s="91" t="s">
        <v>33</v>
      </c>
      <c r="E35" s="97">
        <v>15</v>
      </c>
      <c r="F35" s="89">
        <v>33.4</v>
      </c>
      <c r="G35" s="12"/>
      <c r="H35" s="12"/>
      <c r="I35" s="12"/>
      <c r="J35" s="129">
        <v>501</v>
      </c>
      <c r="K35" s="12"/>
      <c r="L35" s="12"/>
      <c r="M35" s="12"/>
      <c r="N35" s="12"/>
      <c r="O35" s="12"/>
      <c r="P35" s="12"/>
      <c r="Q35" s="12"/>
    </row>
    <row r="36" spans="1:17" ht="24" x14ac:dyDescent="0.2">
      <c r="A36" s="6">
        <v>11</v>
      </c>
      <c r="B36" s="92" t="s">
        <v>330</v>
      </c>
      <c r="C36" s="146" t="s">
        <v>601</v>
      </c>
      <c r="D36" s="91" t="s">
        <v>29</v>
      </c>
      <c r="E36" s="90">
        <v>44</v>
      </c>
      <c r="F36" s="89">
        <v>98.76</v>
      </c>
      <c r="G36" s="89">
        <v>74.88</v>
      </c>
      <c r="H36" s="12"/>
      <c r="I36" s="12"/>
      <c r="J36" s="129">
        <v>4345</v>
      </c>
      <c r="K36" s="12">
        <v>3295</v>
      </c>
      <c r="L36" s="12"/>
      <c r="M36" s="12"/>
      <c r="N36" s="12">
        <v>6</v>
      </c>
      <c r="O36" s="12">
        <v>264</v>
      </c>
      <c r="P36" s="12"/>
      <c r="Q36" s="12"/>
    </row>
    <row r="37" spans="1:17" ht="24" x14ac:dyDescent="0.2">
      <c r="A37" s="6">
        <v>12</v>
      </c>
      <c r="B37" s="92" t="s">
        <v>600</v>
      </c>
      <c r="C37" s="146" t="s">
        <v>599</v>
      </c>
      <c r="D37" s="91" t="s">
        <v>30</v>
      </c>
      <c r="E37" s="97">
        <v>5</v>
      </c>
      <c r="F37" s="89">
        <v>55.3</v>
      </c>
      <c r="G37" s="12"/>
      <c r="H37" s="12"/>
      <c r="I37" s="12"/>
      <c r="J37" s="129">
        <v>277</v>
      </c>
      <c r="K37" s="12"/>
      <c r="L37" s="12"/>
      <c r="M37" s="12"/>
      <c r="N37" s="12"/>
      <c r="O37" s="12"/>
      <c r="P37" s="12"/>
      <c r="Q37" s="12"/>
    </row>
    <row r="38" spans="1:17" ht="36" x14ac:dyDescent="0.2">
      <c r="A38" s="6">
        <v>13</v>
      </c>
      <c r="B38" s="92" t="s">
        <v>598</v>
      </c>
      <c r="C38" s="146" t="s">
        <v>597</v>
      </c>
      <c r="D38" s="91" t="s">
        <v>596</v>
      </c>
      <c r="E38" s="97">
        <v>5</v>
      </c>
      <c r="F38" s="89">
        <v>85.55</v>
      </c>
      <c r="G38" s="89">
        <v>27.1</v>
      </c>
      <c r="H38" s="89">
        <v>42.92</v>
      </c>
      <c r="I38" s="89">
        <v>5.31</v>
      </c>
      <c r="J38" s="129">
        <v>428</v>
      </c>
      <c r="K38" s="12">
        <v>136</v>
      </c>
      <c r="L38" s="12">
        <v>215</v>
      </c>
      <c r="M38" s="12">
        <v>27</v>
      </c>
      <c r="N38" s="12">
        <v>2</v>
      </c>
      <c r="O38" s="12">
        <v>10</v>
      </c>
      <c r="P38" s="12">
        <v>0.34</v>
      </c>
      <c r="Q38" s="12">
        <v>1.7</v>
      </c>
    </row>
    <row r="39" spans="1:17" ht="51" x14ac:dyDescent="0.2">
      <c r="A39" s="6">
        <v>14</v>
      </c>
      <c r="B39" s="92" t="s">
        <v>595</v>
      </c>
      <c r="C39" s="146" t="s">
        <v>594</v>
      </c>
      <c r="D39" s="91" t="s">
        <v>30</v>
      </c>
      <c r="E39" s="97">
        <v>22</v>
      </c>
      <c r="F39" s="89">
        <v>499.42</v>
      </c>
      <c r="G39" s="12"/>
      <c r="H39" s="12"/>
      <c r="I39" s="12"/>
      <c r="J39" s="129">
        <v>10987</v>
      </c>
      <c r="K39" s="12"/>
      <c r="L39" s="12"/>
      <c r="M39" s="12"/>
      <c r="N39" s="12"/>
      <c r="O39" s="12"/>
      <c r="P39" s="12"/>
      <c r="Q39" s="12"/>
    </row>
    <row r="40" spans="1:17" ht="60" x14ac:dyDescent="0.2">
      <c r="A40" s="6">
        <v>15</v>
      </c>
      <c r="B40" s="92" t="s">
        <v>593</v>
      </c>
      <c r="C40" s="146" t="s">
        <v>592</v>
      </c>
      <c r="D40" s="91" t="s">
        <v>29</v>
      </c>
      <c r="E40" s="97">
        <v>22</v>
      </c>
      <c r="F40" s="89">
        <v>137.5</v>
      </c>
      <c r="G40" s="89">
        <v>31.8</v>
      </c>
      <c r="H40" s="89">
        <v>2.36</v>
      </c>
      <c r="I40" s="12"/>
      <c r="J40" s="129">
        <v>3025</v>
      </c>
      <c r="K40" s="12">
        <v>700</v>
      </c>
      <c r="L40" s="12">
        <v>52</v>
      </c>
      <c r="M40" s="12"/>
      <c r="N40" s="12">
        <v>2.4</v>
      </c>
      <c r="O40" s="12">
        <v>52.8</v>
      </c>
      <c r="P40" s="12"/>
      <c r="Q40" s="12"/>
    </row>
    <row r="41" spans="1:17" ht="24" x14ac:dyDescent="0.2">
      <c r="A41" s="6">
        <v>16</v>
      </c>
      <c r="B41" s="92" t="s">
        <v>313</v>
      </c>
      <c r="C41" s="146" t="s">
        <v>527</v>
      </c>
      <c r="D41" s="91" t="s">
        <v>34</v>
      </c>
      <c r="E41" s="90">
        <v>15</v>
      </c>
      <c r="F41" s="89">
        <v>189.23</v>
      </c>
      <c r="G41" s="89">
        <v>46.64</v>
      </c>
      <c r="H41" s="89">
        <v>56.09</v>
      </c>
      <c r="I41" s="89">
        <v>24.55</v>
      </c>
      <c r="J41" s="129">
        <v>2838</v>
      </c>
      <c r="K41" s="12">
        <v>700</v>
      </c>
      <c r="L41" s="12">
        <v>841</v>
      </c>
      <c r="M41" s="12">
        <v>368</v>
      </c>
      <c r="N41" s="12">
        <v>3.52</v>
      </c>
      <c r="O41" s="12">
        <v>52.8</v>
      </c>
      <c r="P41" s="12">
        <v>1.57</v>
      </c>
      <c r="Q41" s="12">
        <v>23.55</v>
      </c>
    </row>
    <row r="42" spans="1:17" ht="72" x14ac:dyDescent="0.2">
      <c r="A42" s="6">
        <v>17</v>
      </c>
      <c r="B42" s="92" t="s">
        <v>106</v>
      </c>
      <c r="C42" s="146" t="s">
        <v>591</v>
      </c>
      <c r="D42" s="91" t="s">
        <v>31</v>
      </c>
      <c r="E42" s="90">
        <v>1.1000000000000001</v>
      </c>
      <c r="F42" s="89">
        <v>1077.6099999999999</v>
      </c>
      <c r="G42" s="12"/>
      <c r="H42" s="12"/>
      <c r="I42" s="12"/>
      <c r="J42" s="129">
        <v>1185</v>
      </c>
      <c r="K42" s="12"/>
      <c r="L42" s="12"/>
      <c r="M42" s="12"/>
      <c r="N42" s="12"/>
      <c r="O42" s="12"/>
      <c r="P42" s="12"/>
      <c r="Q42" s="12"/>
    </row>
    <row r="43" spans="1:17" ht="24" x14ac:dyDescent="0.2">
      <c r="A43" s="6">
        <v>18</v>
      </c>
      <c r="B43" s="92" t="s">
        <v>106</v>
      </c>
      <c r="C43" s="146" t="s">
        <v>590</v>
      </c>
      <c r="D43" s="91" t="s">
        <v>31</v>
      </c>
      <c r="E43" s="97">
        <v>0.4</v>
      </c>
      <c r="F43" s="89">
        <v>36125.17</v>
      </c>
      <c r="G43" s="12"/>
      <c r="H43" s="12"/>
      <c r="I43" s="12"/>
      <c r="J43" s="129">
        <v>14450</v>
      </c>
      <c r="K43" s="12"/>
      <c r="L43" s="12"/>
      <c r="M43" s="12"/>
      <c r="N43" s="12"/>
      <c r="O43" s="12"/>
      <c r="P43" s="12"/>
      <c r="Q43" s="12"/>
    </row>
    <row r="44" spans="1:17" ht="24" x14ac:dyDescent="0.2">
      <c r="A44" s="6">
        <v>19</v>
      </c>
      <c r="B44" s="92" t="s">
        <v>532</v>
      </c>
      <c r="C44" s="146" t="s">
        <v>531</v>
      </c>
      <c r="D44" s="91" t="s">
        <v>210</v>
      </c>
      <c r="E44" s="90">
        <v>900</v>
      </c>
      <c r="F44" s="89">
        <v>11.87</v>
      </c>
      <c r="G44" s="89">
        <v>9.3699999999999992</v>
      </c>
      <c r="H44" s="89">
        <v>2.31</v>
      </c>
      <c r="I44" s="89">
        <v>0.47</v>
      </c>
      <c r="J44" s="129">
        <v>10683</v>
      </c>
      <c r="K44" s="12">
        <v>8433</v>
      </c>
      <c r="L44" s="12">
        <v>2079</v>
      </c>
      <c r="M44" s="12">
        <v>423</v>
      </c>
      <c r="N44" s="12">
        <v>0.78</v>
      </c>
      <c r="O44" s="12">
        <v>702</v>
      </c>
      <c r="P44" s="12">
        <v>0.03</v>
      </c>
      <c r="Q44" s="12">
        <v>27</v>
      </c>
    </row>
    <row r="45" spans="1:17" ht="63" x14ac:dyDescent="0.2">
      <c r="A45" s="6">
        <v>20</v>
      </c>
      <c r="B45" s="92" t="s">
        <v>530</v>
      </c>
      <c r="C45" s="146" t="s">
        <v>529</v>
      </c>
      <c r="D45" s="91" t="s">
        <v>35</v>
      </c>
      <c r="E45" s="97">
        <v>300</v>
      </c>
      <c r="F45" s="89">
        <v>7.52</v>
      </c>
      <c r="G45" s="12"/>
      <c r="H45" s="12"/>
      <c r="I45" s="12"/>
      <c r="J45" s="129">
        <v>2256</v>
      </c>
      <c r="K45" s="12"/>
      <c r="L45" s="12"/>
      <c r="M45" s="12"/>
      <c r="N45" s="12"/>
      <c r="O45" s="12"/>
      <c r="P45" s="12"/>
      <c r="Q45" s="12"/>
    </row>
    <row r="46" spans="1:17" ht="63" x14ac:dyDescent="0.2">
      <c r="A46" s="6">
        <v>21</v>
      </c>
      <c r="B46" s="92" t="s">
        <v>589</v>
      </c>
      <c r="C46" s="146" t="s">
        <v>588</v>
      </c>
      <c r="D46" s="91" t="s">
        <v>35</v>
      </c>
      <c r="E46" s="97">
        <v>600</v>
      </c>
      <c r="F46" s="89">
        <v>15.04</v>
      </c>
      <c r="G46" s="12"/>
      <c r="H46" s="12"/>
      <c r="I46" s="12"/>
      <c r="J46" s="129">
        <v>9024</v>
      </c>
      <c r="K46" s="12"/>
      <c r="L46" s="12"/>
      <c r="M46" s="12"/>
      <c r="N46" s="12"/>
      <c r="O46" s="12"/>
      <c r="P46" s="12"/>
      <c r="Q46" s="12"/>
    </row>
    <row r="47" spans="1:17" ht="75" x14ac:dyDescent="0.2">
      <c r="A47" s="6">
        <v>22</v>
      </c>
      <c r="B47" s="92" t="s">
        <v>116</v>
      </c>
      <c r="C47" s="146" t="s">
        <v>587</v>
      </c>
      <c r="D47" s="91" t="s">
        <v>76</v>
      </c>
      <c r="E47" s="90">
        <v>4</v>
      </c>
      <c r="F47" s="89">
        <v>2838.69</v>
      </c>
      <c r="G47" s="89">
        <v>209.15</v>
      </c>
      <c r="H47" s="89">
        <v>1292.95</v>
      </c>
      <c r="I47" s="89">
        <v>147.72</v>
      </c>
      <c r="J47" s="129">
        <v>11355</v>
      </c>
      <c r="K47" s="12">
        <v>837</v>
      </c>
      <c r="L47" s="12">
        <v>5172</v>
      </c>
      <c r="M47" s="12">
        <v>591</v>
      </c>
      <c r="N47" s="12">
        <v>15.44</v>
      </c>
      <c r="O47" s="12">
        <v>61.76</v>
      </c>
      <c r="P47" s="12">
        <v>8.36</v>
      </c>
      <c r="Q47" s="12">
        <v>33.44</v>
      </c>
    </row>
    <row r="48" spans="1:17" ht="24" x14ac:dyDescent="0.2">
      <c r="A48" s="6">
        <v>23</v>
      </c>
      <c r="B48" s="92" t="s">
        <v>106</v>
      </c>
      <c r="C48" s="146" t="s">
        <v>586</v>
      </c>
      <c r="D48" s="91" t="s">
        <v>31</v>
      </c>
      <c r="E48" s="97">
        <v>0.4</v>
      </c>
      <c r="F48" s="89">
        <v>7078.41</v>
      </c>
      <c r="G48" s="12"/>
      <c r="H48" s="12"/>
      <c r="I48" s="12"/>
      <c r="J48" s="129">
        <v>2831</v>
      </c>
      <c r="K48" s="12"/>
      <c r="L48" s="12"/>
      <c r="M48" s="12"/>
      <c r="N48" s="12"/>
      <c r="O48" s="12"/>
      <c r="P48" s="12"/>
      <c r="Q48" s="12"/>
    </row>
    <row r="49" spans="1:17" ht="24" x14ac:dyDescent="0.2">
      <c r="A49" s="6">
        <v>24</v>
      </c>
      <c r="B49" s="92" t="s">
        <v>106</v>
      </c>
      <c r="C49" s="146" t="s">
        <v>585</v>
      </c>
      <c r="D49" s="91" t="s">
        <v>33</v>
      </c>
      <c r="E49" s="97">
        <v>20</v>
      </c>
      <c r="F49" s="89">
        <v>58.11</v>
      </c>
      <c r="G49" s="12"/>
      <c r="H49" s="12"/>
      <c r="I49" s="12"/>
      <c r="J49" s="129">
        <v>1162</v>
      </c>
      <c r="K49" s="12"/>
      <c r="L49" s="12"/>
      <c r="M49" s="12"/>
      <c r="N49" s="12"/>
      <c r="O49" s="12"/>
      <c r="P49" s="12"/>
      <c r="Q49" s="12"/>
    </row>
    <row r="50" spans="1:17" ht="24" x14ac:dyDescent="0.2">
      <c r="A50" s="6">
        <v>25</v>
      </c>
      <c r="B50" s="92" t="s">
        <v>584</v>
      </c>
      <c r="C50" s="146" t="s">
        <v>583</v>
      </c>
      <c r="D50" s="91" t="s">
        <v>29</v>
      </c>
      <c r="E50" s="97">
        <v>19</v>
      </c>
      <c r="F50" s="89">
        <v>55.9</v>
      </c>
      <c r="G50" s="89">
        <v>48.78</v>
      </c>
      <c r="H50" s="89">
        <v>0.37</v>
      </c>
      <c r="I50" s="12"/>
      <c r="J50" s="129">
        <v>1062</v>
      </c>
      <c r="K50" s="12">
        <v>927</v>
      </c>
      <c r="L50" s="12">
        <v>7</v>
      </c>
      <c r="M50" s="12"/>
      <c r="N50" s="12">
        <v>3.6</v>
      </c>
      <c r="O50" s="12">
        <v>68.400000000000006</v>
      </c>
      <c r="P50" s="12"/>
      <c r="Q50" s="12"/>
    </row>
    <row r="51" spans="1:17" ht="24" x14ac:dyDescent="0.2">
      <c r="A51" s="6">
        <v>26</v>
      </c>
      <c r="B51" s="92" t="s">
        <v>304</v>
      </c>
      <c r="C51" s="146" t="s">
        <v>582</v>
      </c>
      <c r="D51" s="91" t="s">
        <v>29</v>
      </c>
      <c r="E51" s="97">
        <v>1</v>
      </c>
      <c r="F51" s="89">
        <v>121.87</v>
      </c>
      <c r="G51" s="89">
        <v>26.33</v>
      </c>
      <c r="H51" s="89">
        <v>2.39</v>
      </c>
      <c r="I51" s="12"/>
      <c r="J51" s="129">
        <v>122</v>
      </c>
      <c r="K51" s="12">
        <v>26</v>
      </c>
      <c r="L51" s="12">
        <v>2</v>
      </c>
      <c r="M51" s="12"/>
      <c r="N51" s="12">
        <v>2.06</v>
      </c>
      <c r="O51" s="12">
        <v>2.06</v>
      </c>
      <c r="P51" s="12"/>
      <c r="Q51" s="12"/>
    </row>
    <row r="52" spans="1:17" ht="24" x14ac:dyDescent="0.2">
      <c r="A52" s="6">
        <v>27</v>
      </c>
      <c r="B52" s="92" t="s">
        <v>581</v>
      </c>
      <c r="C52" s="146" t="s">
        <v>580</v>
      </c>
      <c r="D52" s="91" t="s">
        <v>29</v>
      </c>
      <c r="E52" s="97">
        <v>1</v>
      </c>
      <c r="F52" s="89">
        <v>34.97</v>
      </c>
      <c r="G52" s="89">
        <v>27.5</v>
      </c>
      <c r="H52" s="89">
        <v>6.92</v>
      </c>
      <c r="I52" s="89">
        <v>1.41</v>
      </c>
      <c r="J52" s="129">
        <v>35</v>
      </c>
      <c r="K52" s="12">
        <v>28</v>
      </c>
      <c r="L52" s="12">
        <v>7</v>
      </c>
      <c r="M52" s="12">
        <v>1</v>
      </c>
      <c r="N52" s="12">
        <v>2.29</v>
      </c>
      <c r="O52" s="12">
        <v>2.29</v>
      </c>
      <c r="P52" s="12">
        <v>0.09</v>
      </c>
      <c r="Q52" s="12">
        <v>0.09</v>
      </c>
    </row>
    <row r="53" spans="1:17" ht="36" x14ac:dyDescent="0.2">
      <c r="A53" s="6">
        <v>28</v>
      </c>
      <c r="B53" s="92" t="s">
        <v>106</v>
      </c>
      <c r="C53" s="146" t="s">
        <v>579</v>
      </c>
      <c r="D53" s="91" t="s">
        <v>33</v>
      </c>
      <c r="E53" s="97">
        <v>1</v>
      </c>
      <c r="F53" s="89">
        <v>1321.07</v>
      </c>
      <c r="G53" s="12"/>
      <c r="H53" s="12"/>
      <c r="I53" s="12"/>
      <c r="J53" s="129">
        <v>1321</v>
      </c>
      <c r="K53" s="12"/>
      <c r="L53" s="12"/>
      <c r="M53" s="12"/>
      <c r="N53" s="12"/>
      <c r="O53" s="12"/>
      <c r="P53" s="12"/>
      <c r="Q53" s="12"/>
    </row>
    <row r="54" spans="1:17" ht="36" x14ac:dyDescent="0.2">
      <c r="A54" s="6">
        <v>29</v>
      </c>
      <c r="B54" s="92" t="s">
        <v>106</v>
      </c>
      <c r="C54" s="146" t="s">
        <v>578</v>
      </c>
      <c r="D54" s="91" t="s">
        <v>33</v>
      </c>
      <c r="E54" s="97">
        <v>1</v>
      </c>
      <c r="F54" s="89">
        <v>2411.65</v>
      </c>
      <c r="G54" s="12"/>
      <c r="H54" s="12"/>
      <c r="I54" s="12"/>
      <c r="J54" s="129">
        <v>2412</v>
      </c>
      <c r="K54" s="12"/>
      <c r="L54" s="12"/>
      <c r="M54" s="12"/>
      <c r="N54" s="12"/>
      <c r="O54" s="12"/>
      <c r="P54" s="12"/>
      <c r="Q54" s="12"/>
    </row>
    <row r="55" spans="1:17" ht="24" x14ac:dyDescent="0.2">
      <c r="A55" s="6">
        <v>30</v>
      </c>
      <c r="B55" s="92" t="s">
        <v>106</v>
      </c>
      <c r="C55" s="146" t="s">
        <v>577</v>
      </c>
      <c r="D55" s="91" t="s">
        <v>223</v>
      </c>
      <c r="E55" s="97">
        <v>1</v>
      </c>
      <c r="F55" s="89">
        <v>48.82</v>
      </c>
      <c r="G55" s="12"/>
      <c r="H55" s="12"/>
      <c r="I55" s="12"/>
      <c r="J55" s="129">
        <v>49</v>
      </c>
      <c r="K55" s="12"/>
      <c r="L55" s="12"/>
      <c r="M55" s="12"/>
      <c r="N55" s="12"/>
      <c r="O55" s="12"/>
      <c r="P55" s="12"/>
      <c r="Q55" s="12"/>
    </row>
    <row r="56" spans="1:17" x14ac:dyDescent="0.2">
      <c r="A56" s="166" t="s">
        <v>275</v>
      </c>
      <c r="B56" s="167"/>
      <c r="C56" s="167"/>
      <c r="D56" s="167"/>
      <c r="E56" s="167"/>
      <c r="F56" s="167"/>
      <c r="G56" s="167"/>
      <c r="H56" s="167"/>
      <c r="I56" s="167"/>
      <c r="J56" s="167"/>
      <c r="K56" s="167"/>
      <c r="L56" s="167"/>
      <c r="M56" s="167"/>
      <c r="N56" s="167"/>
      <c r="O56" s="167"/>
      <c r="P56" s="167"/>
      <c r="Q56" s="167"/>
    </row>
    <row r="57" spans="1:17" x14ac:dyDescent="0.2">
      <c r="A57" s="177" t="s">
        <v>274</v>
      </c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</row>
    <row r="58" spans="1:17" ht="77.25" x14ac:dyDescent="0.2">
      <c r="A58" s="6">
        <v>31</v>
      </c>
      <c r="B58" s="92" t="s">
        <v>273</v>
      </c>
      <c r="C58" s="146" t="s">
        <v>272</v>
      </c>
      <c r="D58" s="91" t="s">
        <v>271</v>
      </c>
      <c r="E58" s="90">
        <v>77</v>
      </c>
      <c r="F58" s="89">
        <v>27.19</v>
      </c>
      <c r="G58" s="89">
        <v>27.19</v>
      </c>
      <c r="H58" s="12"/>
      <c r="I58" s="12"/>
      <c r="J58" s="129">
        <v>2094</v>
      </c>
      <c r="K58" s="12">
        <v>2094</v>
      </c>
      <c r="L58" s="12"/>
      <c r="M58" s="12"/>
      <c r="N58" s="12">
        <v>1.65</v>
      </c>
      <c r="O58" s="12">
        <v>127.05</v>
      </c>
      <c r="P58" s="12"/>
      <c r="Q58" s="12"/>
    </row>
    <row r="59" spans="1:17" ht="36" x14ac:dyDescent="0.2">
      <c r="A59" s="6">
        <v>32</v>
      </c>
      <c r="B59" s="92" t="s">
        <v>270</v>
      </c>
      <c r="C59" s="146" t="s">
        <v>269</v>
      </c>
      <c r="D59" s="91" t="s">
        <v>268</v>
      </c>
      <c r="E59" s="97">
        <v>2</v>
      </c>
      <c r="F59" s="89">
        <v>95.38</v>
      </c>
      <c r="G59" s="89">
        <v>95.38</v>
      </c>
      <c r="H59" s="12"/>
      <c r="I59" s="12"/>
      <c r="J59" s="129">
        <v>191</v>
      </c>
      <c r="K59" s="12">
        <v>191</v>
      </c>
      <c r="L59" s="12"/>
      <c r="M59" s="12"/>
      <c r="N59" s="12">
        <v>6</v>
      </c>
      <c r="O59" s="12">
        <v>12</v>
      </c>
      <c r="P59" s="12"/>
      <c r="Q59" s="12"/>
    </row>
    <row r="60" spans="1:17" x14ac:dyDescent="0.2">
      <c r="A60" s="177" t="s">
        <v>264</v>
      </c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</row>
    <row r="61" spans="1:17" ht="36" x14ac:dyDescent="0.2">
      <c r="A61" s="6">
        <v>33</v>
      </c>
      <c r="B61" s="92" t="s">
        <v>576</v>
      </c>
      <c r="C61" s="146" t="s">
        <v>575</v>
      </c>
      <c r="D61" s="91" t="s">
        <v>29</v>
      </c>
      <c r="E61" s="97">
        <v>1</v>
      </c>
      <c r="F61" s="89">
        <v>250.28</v>
      </c>
      <c r="G61" s="89">
        <v>250.28</v>
      </c>
      <c r="H61" s="12"/>
      <c r="I61" s="12"/>
      <c r="J61" s="129">
        <v>250</v>
      </c>
      <c r="K61" s="12">
        <v>250</v>
      </c>
      <c r="L61" s="12"/>
      <c r="M61" s="12"/>
      <c r="N61" s="12">
        <v>15</v>
      </c>
      <c r="O61" s="12">
        <v>15</v>
      </c>
      <c r="P61" s="12"/>
      <c r="Q61" s="12"/>
    </row>
    <row r="62" spans="1:17" x14ac:dyDescent="0.2">
      <c r="A62" s="168" t="s">
        <v>36</v>
      </c>
      <c r="B62" s="167"/>
      <c r="C62" s="167"/>
      <c r="D62" s="167"/>
      <c r="E62" s="167"/>
      <c r="F62" s="167"/>
      <c r="G62" s="167"/>
      <c r="H62" s="167"/>
      <c r="I62" s="167"/>
      <c r="J62" s="130">
        <v>98818</v>
      </c>
      <c r="K62" s="89">
        <v>20404</v>
      </c>
      <c r="L62" s="89">
        <v>8443</v>
      </c>
      <c r="M62" s="89">
        <v>1424</v>
      </c>
      <c r="N62" s="12"/>
      <c r="O62" s="89">
        <v>1588.36</v>
      </c>
      <c r="P62" s="12"/>
      <c r="Q62" s="89">
        <v>86.66</v>
      </c>
    </row>
    <row r="63" spans="1:17" x14ac:dyDescent="0.2">
      <c r="A63" s="168" t="s">
        <v>37</v>
      </c>
      <c r="B63" s="167"/>
      <c r="C63" s="167"/>
      <c r="D63" s="167"/>
      <c r="E63" s="167"/>
      <c r="F63" s="167"/>
      <c r="G63" s="167"/>
      <c r="H63" s="167"/>
      <c r="I63" s="167"/>
      <c r="J63" s="130">
        <v>109544</v>
      </c>
      <c r="K63" s="89">
        <v>27593</v>
      </c>
      <c r="L63" s="89">
        <v>11480</v>
      </c>
      <c r="M63" s="89">
        <v>2005</v>
      </c>
      <c r="N63" s="12"/>
      <c r="O63" s="89">
        <v>2078.0500000000002</v>
      </c>
      <c r="P63" s="12"/>
      <c r="Q63" s="89">
        <v>117</v>
      </c>
    </row>
    <row r="64" spans="1:17" x14ac:dyDescent="0.2">
      <c r="A64" s="168" t="s">
        <v>86</v>
      </c>
      <c r="B64" s="167"/>
      <c r="C64" s="167"/>
      <c r="D64" s="167"/>
      <c r="E64" s="167"/>
      <c r="F64" s="167"/>
      <c r="G64" s="167"/>
      <c r="H64" s="167"/>
      <c r="I64" s="167"/>
      <c r="J64" s="129"/>
      <c r="K64" s="12"/>
      <c r="L64" s="12"/>
      <c r="M64" s="12"/>
      <c r="N64" s="12"/>
      <c r="O64" s="12"/>
      <c r="P64" s="12"/>
      <c r="Q64" s="12"/>
    </row>
    <row r="65" spans="1:17" x14ac:dyDescent="0.2">
      <c r="A65" s="168" t="s">
        <v>574</v>
      </c>
      <c r="B65" s="167"/>
      <c r="C65" s="167"/>
      <c r="D65" s="167"/>
      <c r="E65" s="167"/>
      <c r="F65" s="167"/>
      <c r="G65" s="167"/>
      <c r="H65" s="167"/>
      <c r="I65" s="167"/>
      <c r="J65" s="130">
        <v>938</v>
      </c>
      <c r="K65" s="89">
        <v>877</v>
      </c>
      <c r="L65" s="89">
        <v>61</v>
      </c>
      <c r="M65" s="89">
        <v>61</v>
      </c>
      <c r="N65" s="12"/>
      <c r="O65" s="12"/>
      <c r="P65" s="12"/>
      <c r="Q65" s="12"/>
    </row>
    <row r="66" spans="1:17" ht="15" customHeight="1" x14ac:dyDescent="0.2">
      <c r="A66" s="168" t="s">
        <v>573</v>
      </c>
      <c r="B66" s="167"/>
      <c r="C66" s="167"/>
      <c r="D66" s="167"/>
      <c r="E66" s="167"/>
      <c r="F66" s="167"/>
      <c r="G66" s="167"/>
      <c r="H66" s="167"/>
      <c r="I66" s="167"/>
      <c r="J66" s="130">
        <v>500</v>
      </c>
      <c r="K66" s="12"/>
      <c r="L66" s="12"/>
      <c r="M66" s="12"/>
      <c r="N66" s="12"/>
      <c r="O66" s="12"/>
      <c r="P66" s="12"/>
      <c r="Q66" s="12"/>
    </row>
    <row r="67" spans="1:17" ht="30" customHeight="1" x14ac:dyDescent="0.2">
      <c r="A67" s="168" t="s">
        <v>572</v>
      </c>
      <c r="B67" s="167"/>
      <c r="C67" s="167"/>
      <c r="D67" s="167"/>
      <c r="E67" s="167"/>
      <c r="F67" s="167"/>
      <c r="G67" s="167"/>
      <c r="H67" s="167"/>
      <c r="I67" s="167"/>
      <c r="J67" s="130">
        <v>9499</v>
      </c>
      <c r="K67" s="89">
        <v>6523</v>
      </c>
      <c r="L67" s="89">
        <v>2976</v>
      </c>
      <c r="M67" s="89">
        <v>520</v>
      </c>
      <c r="N67" s="12"/>
      <c r="O67" s="89">
        <v>502.00850000000003</v>
      </c>
      <c r="P67" s="12"/>
      <c r="Q67" s="89">
        <v>30.331</v>
      </c>
    </row>
    <row r="68" spans="1:17" ht="30" customHeight="1" x14ac:dyDescent="0.2">
      <c r="A68" s="168" t="s">
        <v>571</v>
      </c>
      <c r="B68" s="167"/>
      <c r="C68" s="167"/>
      <c r="D68" s="167"/>
      <c r="E68" s="167"/>
      <c r="F68" s="167"/>
      <c r="G68" s="167"/>
      <c r="H68" s="167"/>
      <c r="I68" s="167"/>
      <c r="J68" s="130">
        <v>397</v>
      </c>
      <c r="K68" s="89">
        <v>397</v>
      </c>
      <c r="L68" s="12"/>
      <c r="M68" s="12"/>
      <c r="N68" s="12"/>
      <c r="O68" s="89">
        <v>23.107500000000002</v>
      </c>
      <c r="P68" s="12"/>
      <c r="Q68" s="12"/>
    </row>
    <row r="69" spans="1:17" ht="15" customHeight="1" x14ac:dyDescent="0.2">
      <c r="A69" s="168" t="s">
        <v>570</v>
      </c>
      <c r="B69" s="167"/>
      <c r="C69" s="167"/>
      <c r="D69" s="167"/>
      <c r="E69" s="167"/>
      <c r="F69" s="167"/>
      <c r="G69" s="167"/>
      <c r="H69" s="167"/>
      <c r="I69" s="167"/>
      <c r="J69" s="130">
        <v>-608</v>
      </c>
      <c r="K69" s="89">
        <v>-608</v>
      </c>
      <c r="L69" s="12"/>
      <c r="M69" s="12"/>
      <c r="N69" s="12"/>
      <c r="O69" s="89">
        <v>-35.432000000000002</v>
      </c>
      <c r="P69" s="12"/>
      <c r="Q69" s="12"/>
    </row>
    <row r="70" spans="1:17" x14ac:dyDescent="0.2">
      <c r="A70" s="168" t="s">
        <v>38</v>
      </c>
      <c r="B70" s="167"/>
      <c r="C70" s="167"/>
      <c r="D70" s="167"/>
      <c r="E70" s="167"/>
      <c r="F70" s="167"/>
      <c r="G70" s="167"/>
      <c r="H70" s="167"/>
      <c r="I70" s="167"/>
      <c r="J70" s="130">
        <v>25015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168" t="s">
        <v>86</v>
      </c>
      <c r="B71" s="167"/>
      <c r="C71" s="167"/>
      <c r="D71" s="167"/>
      <c r="E71" s="167"/>
      <c r="F71" s="167"/>
      <c r="G71" s="167"/>
      <c r="H71" s="167"/>
      <c r="I71" s="167"/>
      <c r="J71" s="129"/>
      <c r="K71" s="12"/>
      <c r="L71" s="12"/>
      <c r="M71" s="12"/>
      <c r="N71" s="12"/>
      <c r="O71" s="12"/>
      <c r="P71" s="12"/>
      <c r="Q71" s="12"/>
    </row>
    <row r="72" spans="1:17" x14ac:dyDescent="0.2">
      <c r="A72" s="168" t="s">
        <v>569</v>
      </c>
      <c r="B72" s="167"/>
      <c r="C72" s="167"/>
      <c r="D72" s="167"/>
      <c r="E72" s="167"/>
      <c r="F72" s="167"/>
      <c r="G72" s="167"/>
      <c r="H72" s="167"/>
      <c r="I72" s="167"/>
      <c r="J72" s="130">
        <v>1581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168" t="s">
        <v>568</v>
      </c>
      <c r="B73" s="167"/>
      <c r="C73" s="167"/>
      <c r="D73" s="167"/>
      <c r="E73" s="167"/>
      <c r="F73" s="167"/>
      <c r="G73" s="167"/>
      <c r="H73" s="167"/>
      <c r="I73" s="167"/>
      <c r="J73" s="130">
        <v>11424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168" t="s">
        <v>567</v>
      </c>
      <c r="B74" s="167"/>
      <c r="C74" s="167"/>
      <c r="D74" s="167"/>
      <c r="E74" s="167"/>
      <c r="F74" s="167"/>
      <c r="G74" s="167"/>
      <c r="H74" s="167"/>
      <c r="I74" s="167"/>
      <c r="J74" s="130">
        <v>7469</v>
      </c>
      <c r="K74" s="12"/>
      <c r="L74" s="12"/>
      <c r="M74" s="12"/>
      <c r="N74" s="12"/>
      <c r="O74" s="12"/>
      <c r="P74" s="12"/>
      <c r="Q74" s="12"/>
    </row>
    <row r="75" spans="1:17" x14ac:dyDescent="0.2">
      <c r="A75" s="168" t="s">
        <v>566</v>
      </c>
      <c r="B75" s="167"/>
      <c r="C75" s="167"/>
      <c r="D75" s="167"/>
      <c r="E75" s="167"/>
      <c r="F75" s="167"/>
      <c r="G75" s="167"/>
      <c r="H75" s="167"/>
      <c r="I75" s="167"/>
      <c r="J75" s="130">
        <v>4275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168" t="s">
        <v>565</v>
      </c>
      <c r="B76" s="167"/>
      <c r="C76" s="167"/>
      <c r="D76" s="167"/>
      <c r="E76" s="167"/>
      <c r="F76" s="167"/>
      <c r="G76" s="167"/>
      <c r="H76" s="167"/>
      <c r="I76" s="167"/>
      <c r="J76" s="130">
        <v>266</v>
      </c>
      <c r="K76" s="12"/>
      <c r="L76" s="12"/>
      <c r="M76" s="12"/>
      <c r="N76" s="12"/>
      <c r="O76" s="12"/>
      <c r="P76" s="12"/>
      <c r="Q76" s="12"/>
    </row>
    <row r="77" spans="1:17" x14ac:dyDescent="0.2">
      <c r="A77" s="168" t="s">
        <v>39</v>
      </c>
      <c r="B77" s="167"/>
      <c r="C77" s="167"/>
      <c r="D77" s="167"/>
      <c r="E77" s="167"/>
      <c r="F77" s="167"/>
      <c r="G77" s="167"/>
      <c r="H77" s="167"/>
      <c r="I77" s="167"/>
      <c r="J77" s="130">
        <v>17916</v>
      </c>
      <c r="K77" s="12"/>
      <c r="L77" s="12"/>
      <c r="M77" s="12"/>
      <c r="N77" s="12"/>
      <c r="O77" s="12"/>
      <c r="P77" s="12"/>
      <c r="Q77" s="12"/>
    </row>
    <row r="78" spans="1:17" x14ac:dyDescent="0.2">
      <c r="A78" s="168" t="s">
        <v>86</v>
      </c>
      <c r="B78" s="167"/>
      <c r="C78" s="167"/>
      <c r="D78" s="167"/>
      <c r="E78" s="167"/>
      <c r="F78" s="167"/>
      <c r="G78" s="167"/>
      <c r="H78" s="167"/>
      <c r="I78" s="167"/>
      <c r="J78" s="129"/>
      <c r="K78" s="12"/>
      <c r="L78" s="12"/>
      <c r="M78" s="12"/>
      <c r="N78" s="12"/>
      <c r="O78" s="12"/>
      <c r="P78" s="12"/>
      <c r="Q78" s="12"/>
    </row>
    <row r="79" spans="1:17" x14ac:dyDescent="0.2">
      <c r="A79" s="168" t="s">
        <v>564</v>
      </c>
      <c r="B79" s="167"/>
      <c r="C79" s="167"/>
      <c r="D79" s="167"/>
      <c r="E79" s="167"/>
      <c r="F79" s="167"/>
      <c r="G79" s="167"/>
      <c r="H79" s="167"/>
      <c r="I79" s="167"/>
      <c r="J79" s="130">
        <v>973</v>
      </c>
      <c r="K79" s="12"/>
      <c r="L79" s="12"/>
      <c r="M79" s="12"/>
      <c r="N79" s="12"/>
      <c r="O79" s="12"/>
      <c r="P79" s="12"/>
      <c r="Q79" s="12"/>
    </row>
    <row r="80" spans="1:17" x14ac:dyDescent="0.2">
      <c r="A80" s="168" t="s">
        <v>563</v>
      </c>
      <c r="B80" s="167"/>
      <c r="C80" s="167"/>
      <c r="D80" s="167"/>
      <c r="E80" s="167"/>
      <c r="F80" s="167"/>
      <c r="G80" s="167"/>
      <c r="H80" s="167"/>
      <c r="I80" s="167"/>
      <c r="J80" s="130">
        <v>8568</v>
      </c>
      <c r="K80" s="12"/>
      <c r="L80" s="12"/>
      <c r="M80" s="12"/>
      <c r="N80" s="12"/>
      <c r="O80" s="12"/>
      <c r="P80" s="12"/>
      <c r="Q80" s="12"/>
    </row>
    <row r="81" spans="1:17" x14ac:dyDescent="0.2">
      <c r="A81" s="168" t="s">
        <v>562</v>
      </c>
      <c r="B81" s="167"/>
      <c r="C81" s="167"/>
      <c r="D81" s="167"/>
      <c r="E81" s="167"/>
      <c r="F81" s="167"/>
      <c r="G81" s="167"/>
      <c r="H81" s="167"/>
      <c r="I81" s="167"/>
      <c r="J81" s="130">
        <v>8375</v>
      </c>
      <c r="K81" s="12"/>
      <c r="L81" s="12"/>
      <c r="M81" s="12"/>
      <c r="N81" s="12"/>
      <c r="O81" s="12"/>
      <c r="P81" s="12"/>
      <c r="Q81" s="12"/>
    </row>
    <row r="82" spans="1:17" x14ac:dyDescent="0.2">
      <c r="A82" s="173" t="s">
        <v>40</v>
      </c>
      <c r="B82" s="167"/>
      <c r="C82" s="167"/>
      <c r="D82" s="167"/>
      <c r="E82" s="167"/>
      <c r="F82" s="167"/>
      <c r="G82" s="167"/>
      <c r="H82" s="167"/>
      <c r="I82" s="167"/>
      <c r="J82" s="129"/>
      <c r="K82" s="12"/>
      <c r="L82" s="12"/>
      <c r="M82" s="12"/>
      <c r="N82" s="12"/>
      <c r="O82" s="12"/>
      <c r="P82" s="12"/>
      <c r="Q82" s="12"/>
    </row>
    <row r="83" spans="1:17" x14ac:dyDescent="0.2">
      <c r="A83" s="168" t="s">
        <v>83</v>
      </c>
      <c r="B83" s="167"/>
      <c r="C83" s="167"/>
      <c r="D83" s="167"/>
      <c r="E83" s="167"/>
      <c r="F83" s="167"/>
      <c r="G83" s="167"/>
      <c r="H83" s="167"/>
      <c r="I83" s="167"/>
      <c r="J83" s="130">
        <v>147488</v>
      </c>
      <c r="K83" s="12"/>
      <c r="L83" s="12"/>
      <c r="M83" s="12"/>
      <c r="N83" s="12"/>
      <c r="O83" s="89">
        <v>1936.32</v>
      </c>
      <c r="P83" s="12"/>
      <c r="Q83" s="89">
        <v>117</v>
      </c>
    </row>
    <row r="84" spans="1:17" x14ac:dyDescent="0.2">
      <c r="A84" s="168" t="s">
        <v>247</v>
      </c>
      <c r="B84" s="167"/>
      <c r="C84" s="167"/>
      <c r="D84" s="167"/>
      <c r="E84" s="167"/>
      <c r="F84" s="167"/>
      <c r="G84" s="167"/>
      <c r="H84" s="167"/>
      <c r="I84" s="167"/>
      <c r="J84" s="130">
        <v>4987</v>
      </c>
      <c r="K84" s="12"/>
      <c r="L84" s="12"/>
      <c r="M84" s="12"/>
      <c r="N84" s="12"/>
      <c r="O84" s="89">
        <v>141.72999999999999</v>
      </c>
      <c r="P84" s="12"/>
      <c r="Q84" s="12"/>
    </row>
    <row r="85" spans="1:17" x14ac:dyDescent="0.2">
      <c r="A85" s="168" t="s">
        <v>41</v>
      </c>
      <c r="B85" s="167"/>
      <c r="C85" s="167"/>
      <c r="D85" s="167"/>
      <c r="E85" s="167"/>
      <c r="F85" s="167"/>
      <c r="G85" s="167"/>
      <c r="H85" s="167"/>
      <c r="I85" s="167"/>
      <c r="J85" s="130">
        <v>152475</v>
      </c>
      <c r="K85" s="12"/>
      <c r="L85" s="12"/>
      <c r="M85" s="12"/>
      <c r="N85" s="12"/>
      <c r="O85" s="89">
        <v>2078.0500000000002</v>
      </c>
      <c r="P85" s="12"/>
      <c r="Q85" s="89">
        <v>117</v>
      </c>
    </row>
    <row r="86" spans="1:17" x14ac:dyDescent="0.2">
      <c r="A86" s="168" t="s">
        <v>42</v>
      </c>
      <c r="B86" s="167"/>
      <c r="C86" s="167"/>
      <c r="D86" s="167"/>
      <c r="E86" s="167"/>
      <c r="F86" s="167"/>
      <c r="G86" s="167"/>
      <c r="H86" s="167"/>
      <c r="I86" s="167"/>
      <c r="J86" s="129"/>
      <c r="K86" s="12"/>
      <c r="L86" s="12"/>
      <c r="M86" s="12"/>
      <c r="N86" s="12"/>
      <c r="O86" s="12"/>
      <c r="P86" s="12"/>
      <c r="Q86" s="12"/>
    </row>
    <row r="87" spans="1:17" x14ac:dyDescent="0.2">
      <c r="A87" s="168" t="s">
        <v>43</v>
      </c>
      <c r="B87" s="167"/>
      <c r="C87" s="167"/>
      <c r="D87" s="167"/>
      <c r="E87" s="167"/>
      <c r="F87" s="167"/>
      <c r="G87" s="167"/>
      <c r="H87" s="167"/>
      <c r="I87" s="167"/>
      <c r="J87" s="130">
        <v>70471</v>
      </c>
      <c r="K87" s="12"/>
      <c r="L87" s="12"/>
      <c r="M87" s="12"/>
      <c r="N87" s="12"/>
      <c r="O87" s="12"/>
      <c r="P87" s="12"/>
      <c r="Q87" s="12"/>
    </row>
    <row r="88" spans="1:17" x14ac:dyDescent="0.2">
      <c r="A88" s="168" t="s">
        <v>44</v>
      </c>
      <c r="B88" s="167"/>
      <c r="C88" s="167"/>
      <c r="D88" s="167"/>
      <c r="E88" s="167"/>
      <c r="F88" s="167"/>
      <c r="G88" s="167"/>
      <c r="H88" s="167"/>
      <c r="I88" s="167"/>
      <c r="J88" s="130">
        <f>11480-M63</f>
        <v>9475</v>
      </c>
      <c r="K88" s="12"/>
      <c r="L88" s="12"/>
      <c r="M88" s="12"/>
      <c r="N88" s="12"/>
      <c r="O88" s="12"/>
      <c r="P88" s="12"/>
      <c r="Q88" s="12"/>
    </row>
    <row r="89" spans="1:17" x14ac:dyDescent="0.2">
      <c r="A89" s="168" t="s">
        <v>45</v>
      </c>
      <c r="B89" s="167"/>
      <c r="C89" s="167"/>
      <c r="D89" s="167"/>
      <c r="E89" s="167"/>
      <c r="F89" s="167"/>
      <c r="G89" s="167"/>
      <c r="H89" s="167"/>
      <c r="I89" s="167"/>
      <c r="J89" s="130">
        <v>29598</v>
      </c>
      <c r="K89" s="12"/>
      <c r="L89" s="12"/>
      <c r="M89" s="12"/>
      <c r="N89" s="12"/>
      <c r="O89" s="12"/>
      <c r="P89" s="12"/>
      <c r="Q89" s="12"/>
    </row>
    <row r="90" spans="1:17" x14ac:dyDescent="0.2">
      <c r="A90" s="168" t="s">
        <v>46</v>
      </c>
      <c r="B90" s="167"/>
      <c r="C90" s="167"/>
      <c r="D90" s="167"/>
      <c r="E90" s="167"/>
      <c r="F90" s="167"/>
      <c r="G90" s="167"/>
      <c r="H90" s="167"/>
      <c r="I90" s="167"/>
      <c r="J90" s="130">
        <v>25015</v>
      </c>
      <c r="K90" s="12"/>
      <c r="L90" s="12"/>
      <c r="M90" s="12"/>
      <c r="N90" s="12"/>
      <c r="O90" s="12"/>
      <c r="P90" s="12"/>
      <c r="Q90" s="12"/>
    </row>
    <row r="91" spans="1:17" x14ac:dyDescent="0.2">
      <c r="A91" s="168" t="s">
        <v>47</v>
      </c>
      <c r="B91" s="167"/>
      <c r="C91" s="167"/>
      <c r="D91" s="167"/>
      <c r="E91" s="167"/>
      <c r="F91" s="167"/>
      <c r="G91" s="167"/>
      <c r="H91" s="167"/>
      <c r="I91" s="167"/>
      <c r="J91" s="130">
        <v>17916</v>
      </c>
      <c r="K91" s="12"/>
      <c r="L91" s="12"/>
      <c r="M91" s="12"/>
      <c r="N91" s="12"/>
      <c r="O91" s="12"/>
      <c r="P91" s="12"/>
      <c r="Q91" s="12"/>
    </row>
    <row r="92" spans="1:17" x14ac:dyDescent="0.2">
      <c r="A92" s="173" t="s">
        <v>48</v>
      </c>
      <c r="B92" s="167"/>
      <c r="C92" s="167"/>
      <c r="D92" s="167"/>
      <c r="E92" s="167"/>
      <c r="F92" s="167"/>
      <c r="G92" s="167"/>
      <c r="H92" s="167"/>
      <c r="I92" s="167"/>
      <c r="J92" s="131">
        <f>SUM(J87:J91)</f>
        <v>152475</v>
      </c>
      <c r="K92" s="12"/>
      <c r="L92" s="12"/>
      <c r="M92" s="12"/>
      <c r="N92" s="12"/>
      <c r="O92" s="13">
        <v>2078.0500000000002</v>
      </c>
      <c r="P92" s="12"/>
      <c r="Q92" s="13">
        <v>117</v>
      </c>
    </row>
    <row r="93" spans="1:17" x14ac:dyDescent="0.2">
      <c r="F93" s="10"/>
      <c r="G93" s="10"/>
      <c r="H93" s="10"/>
      <c r="I93" s="10"/>
      <c r="J93" s="132"/>
      <c r="K93" s="10"/>
      <c r="L93" s="10"/>
      <c r="M93" s="10"/>
      <c r="N93" s="10"/>
      <c r="O93" s="10"/>
      <c r="P93" s="10"/>
      <c r="Q93" s="10"/>
    </row>
  </sheetData>
  <mergeCells count="56">
    <mergeCell ref="E1:I1"/>
    <mergeCell ref="A88:I88"/>
    <mergeCell ref="A89:I89"/>
    <mergeCell ref="A90:I90"/>
    <mergeCell ref="A91:I91"/>
    <mergeCell ref="A80:I80"/>
    <mergeCell ref="A81:I81"/>
    <mergeCell ref="A70:I70"/>
    <mergeCell ref="A71:I71"/>
    <mergeCell ref="A72:I72"/>
    <mergeCell ref="A92:I92"/>
    <mergeCell ref="J14:K14"/>
    <mergeCell ref="J17:K17"/>
    <mergeCell ref="J18:K18"/>
    <mergeCell ref="J16:K16"/>
    <mergeCell ref="J15:K15"/>
    <mergeCell ref="A82:I82"/>
    <mergeCell ref="A83:I83"/>
    <mergeCell ref="A84:I84"/>
    <mergeCell ref="A85:I85"/>
    <mergeCell ref="A73:I73"/>
    <mergeCell ref="A74:I74"/>
    <mergeCell ref="A75:I75"/>
    <mergeCell ref="A64:I64"/>
    <mergeCell ref="A65:I65"/>
    <mergeCell ref="A66:I66"/>
    <mergeCell ref="A87:I87"/>
    <mergeCell ref="A76:I76"/>
    <mergeCell ref="A77:I77"/>
    <mergeCell ref="A78:I78"/>
    <mergeCell ref="A79:I79"/>
    <mergeCell ref="A57:Q57"/>
    <mergeCell ref="A60:Q60"/>
    <mergeCell ref="A62:I62"/>
    <mergeCell ref="A63:I63"/>
    <mergeCell ref="A86:I86"/>
    <mergeCell ref="A67:I67"/>
    <mergeCell ref="A68:I68"/>
    <mergeCell ref="A69:I69"/>
    <mergeCell ref="F22:F23"/>
    <mergeCell ref="F21:I21"/>
    <mergeCell ref="G22:I22"/>
    <mergeCell ref="A25:Q25"/>
    <mergeCell ref="A56:Q56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8"/>
  <sheetViews>
    <sheetView showGridLines="0" topLeftCell="A46" zoomScaleNormal="100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7" style="1" customWidth="1"/>
    <col min="3" max="3" width="34.28515625" style="8" customWidth="1"/>
    <col min="4" max="4" width="7.7109375" style="7" customWidth="1"/>
    <col min="5" max="5" width="8.710937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10.425781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x14ac:dyDescent="0.2">
      <c r="A6" s="99"/>
      <c r="B6" s="102"/>
      <c r="C6" s="100"/>
      <c r="D6" s="4"/>
      <c r="E6" s="98"/>
      <c r="F6" s="98"/>
      <c r="G6" s="121" t="s">
        <v>153</v>
      </c>
      <c r="H6" s="121"/>
      <c r="I6" s="121"/>
      <c r="J6" s="98"/>
      <c r="K6" s="125"/>
      <c r="L6" s="98"/>
      <c r="M6" s="98"/>
      <c r="N6" s="98"/>
      <c r="O6" s="98"/>
      <c r="P6" s="98"/>
      <c r="R6"/>
    </row>
    <row r="7" spans="1:18" x14ac:dyDescent="0.2">
      <c r="A7" s="99"/>
      <c r="B7" s="102"/>
      <c r="C7" s="100"/>
      <c r="D7" s="4"/>
      <c r="E7" s="98"/>
      <c r="F7" s="98"/>
      <c r="G7" s="120" t="s">
        <v>152</v>
      </c>
      <c r="H7" s="99"/>
      <c r="I7" s="99"/>
      <c r="J7" s="98"/>
      <c r="K7" s="125"/>
      <c r="L7" s="98"/>
      <c r="M7" s="98"/>
      <c r="N7" s="98"/>
      <c r="O7" s="98"/>
      <c r="P7" s="98"/>
      <c r="R7"/>
    </row>
    <row r="8" spans="1:18" x14ac:dyDescent="0.2">
      <c r="A8" s="99"/>
      <c r="B8" s="102"/>
      <c r="C8" s="100"/>
      <c r="D8" s="4"/>
      <c r="E8" s="98"/>
      <c r="F8" s="98"/>
      <c r="G8" s="98"/>
      <c r="H8" s="98"/>
      <c r="I8" s="98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 t="s">
        <v>22</v>
      </c>
      <c r="D9" s="119" t="s">
        <v>151</v>
      </c>
      <c r="E9" s="118"/>
      <c r="F9" s="118"/>
      <c r="G9" s="118"/>
      <c r="H9" s="118"/>
      <c r="I9" s="118"/>
      <c r="J9" s="118"/>
      <c r="K9" s="126"/>
      <c r="L9" s="118"/>
      <c r="M9" s="118"/>
      <c r="N9" s="98"/>
      <c r="O9" s="98"/>
      <c r="P9" s="98"/>
    </row>
    <row r="10" spans="1:18" x14ac:dyDescent="0.2">
      <c r="A10" s="99"/>
      <c r="B10" s="102"/>
      <c r="C10" s="117"/>
      <c r="D10" s="95" t="s">
        <v>150</v>
      </c>
      <c r="E10" s="98"/>
      <c r="F10" s="98"/>
      <c r="G10" s="99"/>
      <c r="H10" s="98"/>
      <c r="I10" s="98"/>
      <c r="J10" s="98"/>
      <c r="K10" s="125"/>
      <c r="L10" s="98"/>
      <c r="M10" s="98"/>
      <c r="N10" s="98"/>
      <c r="O10" s="98"/>
      <c r="P10" s="98"/>
    </row>
    <row r="11" spans="1:18" x14ac:dyDescent="0.2">
      <c r="A11" s="99"/>
      <c r="B11" s="102"/>
      <c r="C11" s="100"/>
      <c r="D11" s="116"/>
      <c r="E11" s="114"/>
      <c r="F11" s="114"/>
      <c r="G11" s="115" t="s">
        <v>149</v>
      </c>
      <c r="H11" s="115"/>
      <c r="I11" s="115"/>
      <c r="J11" s="114"/>
      <c r="K11" s="127"/>
      <c r="L11" s="98"/>
      <c r="M11" s="98"/>
      <c r="N11" s="98"/>
      <c r="O11" s="98"/>
      <c r="P11" s="98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148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146</v>
      </c>
      <c r="K14" s="176"/>
      <c r="L14" s="5" t="s">
        <v>139</v>
      </c>
      <c r="M14" s="98"/>
      <c r="N14" s="109" t="s">
        <v>145</v>
      </c>
      <c r="O14" s="108"/>
      <c r="P14" s="107">
        <f>P15+P16</f>
        <v>731.2169100000001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144</v>
      </c>
      <c r="K15" s="176"/>
      <c r="L15" s="5" t="s">
        <v>139</v>
      </c>
      <c r="M15" s="98"/>
      <c r="N15" s="109" t="s">
        <v>138</v>
      </c>
      <c r="O15" s="108"/>
      <c r="P15" s="107">
        <f>41.621*5.56</f>
        <v>231.41275999999999</v>
      </c>
    </row>
    <row r="16" spans="1:18" outlineLevel="1" x14ac:dyDescent="0.2">
      <c r="A16" s="99"/>
      <c r="B16" s="102"/>
      <c r="C16" s="100"/>
      <c r="D16" s="95" t="s">
        <v>20</v>
      </c>
      <c r="E16" s="98"/>
      <c r="F16" s="98"/>
      <c r="G16" s="98"/>
      <c r="H16" s="95"/>
      <c r="I16" s="95"/>
      <c r="J16" s="175" t="s">
        <v>143</v>
      </c>
      <c r="K16" s="176"/>
      <c r="L16" s="5" t="s">
        <v>139</v>
      </c>
      <c r="M16" s="98"/>
      <c r="N16" s="109" t="s">
        <v>142</v>
      </c>
      <c r="O16" s="108"/>
      <c r="P16" s="107">
        <f>119.285*4.19</f>
        <v>499.80415000000005</v>
      </c>
    </row>
    <row r="17" spans="1:17" x14ac:dyDescent="0.2">
      <c r="A17" s="99"/>
      <c r="B17" s="102"/>
      <c r="C17" s="100"/>
      <c r="D17" s="95" t="s">
        <v>141</v>
      </c>
      <c r="E17" s="98"/>
      <c r="F17" s="98"/>
      <c r="G17" s="98"/>
      <c r="H17" s="95"/>
      <c r="I17" s="95"/>
      <c r="J17" s="175" t="s">
        <v>140</v>
      </c>
      <c r="K17" s="176"/>
      <c r="L17" s="5" t="s">
        <v>139</v>
      </c>
      <c r="M17" s="98"/>
      <c r="N17" s="109" t="s">
        <v>138</v>
      </c>
      <c r="O17" s="108"/>
      <c r="P17" s="107">
        <f>5.393*5.56</f>
        <v>29.985079999999996</v>
      </c>
    </row>
    <row r="18" spans="1:17" outlineLevel="1" x14ac:dyDescent="0.2">
      <c r="A18" s="99"/>
      <c r="B18" s="102"/>
      <c r="C18" s="100"/>
      <c r="D18" s="95" t="s">
        <v>49</v>
      </c>
      <c r="E18" s="98"/>
      <c r="F18" s="98"/>
      <c r="G18" s="98"/>
      <c r="H18" s="95"/>
      <c r="I18" s="95"/>
      <c r="J18" s="175" t="s">
        <v>137</v>
      </c>
      <c r="K18" s="176"/>
      <c r="L18" s="5" t="s">
        <v>50</v>
      </c>
      <c r="M18" s="98"/>
      <c r="N18" s="109"/>
      <c r="O18" s="108"/>
      <c r="P18" s="107"/>
    </row>
    <row r="19" spans="1:17" x14ac:dyDescent="0.2">
      <c r="A19" s="106"/>
      <c r="B19" s="105"/>
      <c r="C19" s="104"/>
      <c r="D19" s="103" t="s">
        <v>136</v>
      </c>
      <c r="E19" s="95"/>
      <c r="F19" s="95"/>
      <c r="G19" s="95"/>
      <c r="H19" s="95"/>
      <c r="I19" s="95"/>
      <c r="J19" s="95"/>
      <c r="K19" s="128"/>
      <c r="L19" s="95"/>
      <c r="M19" s="96"/>
      <c r="N19" s="96"/>
      <c r="O19" s="96"/>
      <c r="P19" s="96"/>
      <c r="Q19"/>
    </row>
    <row r="20" spans="1:17" x14ac:dyDescent="0.2">
      <c r="A20" s="99"/>
      <c r="B20" s="102"/>
      <c r="C20" s="101"/>
      <c r="D20" s="100"/>
      <c r="E20" s="99"/>
      <c r="F20" s="98"/>
      <c r="G20" s="98"/>
      <c r="H20" s="98"/>
      <c r="I20" s="98"/>
      <c r="J20" s="98"/>
      <c r="K20" s="125"/>
      <c r="L20" s="98"/>
      <c r="M20" s="98"/>
      <c r="N20" s="98"/>
      <c r="O20" s="98"/>
      <c r="P20" s="98"/>
    </row>
    <row r="21" spans="1:17" ht="19.5" customHeight="1" x14ac:dyDescent="0.2">
      <c r="A21" s="161" t="s">
        <v>23</v>
      </c>
      <c r="B21" s="171" t="s">
        <v>135</v>
      </c>
      <c r="C21" s="161" t="s">
        <v>134</v>
      </c>
      <c r="D21" s="161" t="s">
        <v>24</v>
      </c>
      <c r="E21" s="161" t="s">
        <v>25</v>
      </c>
      <c r="F21" s="161" t="s">
        <v>133</v>
      </c>
      <c r="G21" s="165"/>
      <c r="H21" s="165"/>
      <c r="I21" s="165"/>
      <c r="J21" s="161" t="s">
        <v>132</v>
      </c>
      <c r="K21" s="162"/>
      <c r="L21" s="162"/>
      <c r="M21" s="162"/>
      <c r="N21" s="162"/>
      <c r="O21" s="161" t="s">
        <v>131</v>
      </c>
      <c r="P21" s="161" t="s">
        <v>130</v>
      </c>
      <c r="Q21" s="169" t="s">
        <v>129</v>
      </c>
    </row>
    <row r="22" spans="1:17" ht="18.75" customHeight="1" x14ac:dyDescent="0.2">
      <c r="A22" s="165"/>
      <c r="B22" s="172"/>
      <c r="C22" s="170"/>
      <c r="D22" s="161"/>
      <c r="E22" s="161"/>
      <c r="F22" s="161" t="s">
        <v>26</v>
      </c>
      <c r="G22" s="161" t="s">
        <v>127</v>
      </c>
      <c r="H22" s="165"/>
      <c r="I22" s="165"/>
      <c r="J22" s="161" t="s">
        <v>128</v>
      </c>
      <c r="K22" s="163" t="s">
        <v>26</v>
      </c>
      <c r="L22" s="161" t="s">
        <v>127</v>
      </c>
      <c r="M22" s="165"/>
      <c r="N22" s="165"/>
      <c r="O22" s="161"/>
      <c r="P22" s="161"/>
      <c r="Q22" s="169"/>
    </row>
    <row r="23" spans="1:17" ht="22.5" customHeight="1" x14ac:dyDescent="0.2">
      <c r="A23" s="165"/>
      <c r="B23" s="172"/>
      <c r="C23" s="170"/>
      <c r="D23" s="161"/>
      <c r="E23" s="161"/>
      <c r="F23" s="165"/>
      <c r="G23" s="147" t="s">
        <v>126</v>
      </c>
      <c r="H23" s="147" t="s">
        <v>125</v>
      </c>
      <c r="I23" s="147" t="s">
        <v>124</v>
      </c>
      <c r="J23" s="170"/>
      <c r="K23" s="164"/>
      <c r="L23" s="147" t="s">
        <v>126</v>
      </c>
      <c r="M23" s="147" t="s">
        <v>125</v>
      </c>
      <c r="N23" s="147" t="s">
        <v>124</v>
      </c>
      <c r="O23" s="161"/>
      <c r="P23" s="161"/>
      <c r="Q23" s="169"/>
    </row>
    <row r="24" spans="1:17" x14ac:dyDescent="0.2">
      <c r="A24" s="6">
        <v>1</v>
      </c>
      <c r="B24" s="148">
        <v>2</v>
      </c>
      <c r="C24" s="147">
        <v>3</v>
      </c>
      <c r="D24" s="147">
        <v>4</v>
      </c>
      <c r="E24" s="91">
        <v>5</v>
      </c>
      <c r="F24" s="149">
        <v>6</v>
      </c>
      <c r="G24" s="149">
        <v>7</v>
      </c>
      <c r="H24" s="149">
        <v>8</v>
      </c>
      <c r="I24" s="149">
        <v>9</v>
      </c>
      <c r="J24" s="149">
        <v>10</v>
      </c>
      <c r="K24" s="150">
        <v>11</v>
      </c>
      <c r="L24" s="149">
        <v>12</v>
      </c>
      <c r="M24" s="149">
        <v>13</v>
      </c>
      <c r="N24" s="149">
        <v>14</v>
      </c>
      <c r="O24" s="149">
        <v>15</v>
      </c>
      <c r="P24" s="149">
        <v>16</v>
      </c>
      <c r="Q24" s="149">
        <v>17</v>
      </c>
    </row>
    <row r="25" spans="1:17" ht="19.899999999999999" customHeight="1" x14ac:dyDescent="0.2">
      <c r="A25" s="166" t="s">
        <v>123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</row>
    <row r="26" spans="1:17" ht="111" x14ac:dyDescent="0.2">
      <c r="A26" s="6">
        <v>1</v>
      </c>
      <c r="B26" s="92" t="s">
        <v>122</v>
      </c>
      <c r="C26" s="146" t="s">
        <v>121</v>
      </c>
      <c r="D26" s="91" t="s">
        <v>31</v>
      </c>
      <c r="E26" s="90">
        <v>0.61199999999999999</v>
      </c>
      <c r="F26" s="89">
        <v>5064.3500000000004</v>
      </c>
      <c r="G26" s="12"/>
      <c r="H26" s="12"/>
      <c r="I26" s="12"/>
      <c r="J26" s="12"/>
      <c r="K26" s="129">
        <v>3099</v>
      </c>
      <c r="L26" s="12"/>
      <c r="M26" s="12"/>
      <c r="N26" s="12"/>
      <c r="O26" s="12"/>
      <c r="P26" s="12"/>
      <c r="Q26" s="12"/>
    </row>
    <row r="27" spans="1:17" ht="48" x14ac:dyDescent="0.2">
      <c r="A27" s="6">
        <v>2</v>
      </c>
      <c r="B27" s="92" t="s">
        <v>120</v>
      </c>
      <c r="C27" s="146" t="s">
        <v>119</v>
      </c>
      <c r="D27" s="91" t="s">
        <v>31</v>
      </c>
      <c r="E27" s="90">
        <v>3.0599999999999999E-2</v>
      </c>
      <c r="F27" s="89">
        <v>6929</v>
      </c>
      <c r="G27" s="12"/>
      <c r="H27" s="12"/>
      <c r="I27" s="12"/>
      <c r="J27" s="12"/>
      <c r="K27" s="129">
        <v>212</v>
      </c>
      <c r="L27" s="12"/>
      <c r="M27" s="12"/>
      <c r="N27" s="12"/>
      <c r="O27" s="12"/>
      <c r="P27" s="12"/>
      <c r="Q27" s="12"/>
    </row>
    <row r="28" spans="1:17" ht="36" x14ac:dyDescent="0.2">
      <c r="A28" s="6">
        <v>3</v>
      </c>
      <c r="B28" s="92" t="s">
        <v>118</v>
      </c>
      <c r="C28" s="146" t="s">
        <v>117</v>
      </c>
      <c r="D28" s="91" t="s">
        <v>76</v>
      </c>
      <c r="E28" s="97">
        <v>0.5</v>
      </c>
      <c r="F28" s="89">
        <v>798.84</v>
      </c>
      <c r="G28" s="89">
        <v>168.02</v>
      </c>
      <c r="H28" s="89">
        <v>544.80999999999995</v>
      </c>
      <c r="I28" s="89">
        <v>57.87</v>
      </c>
      <c r="J28" s="12"/>
      <c r="K28" s="129">
        <v>399</v>
      </c>
      <c r="L28" s="12">
        <v>84</v>
      </c>
      <c r="M28" s="12">
        <v>272</v>
      </c>
      <c r="N28" s="12">
        <v>29</v>
      </c>
      <c r="O28" s="12">
        <v>12.4</v>
      </c>
      <c r="P28" s="12">
        <v>6.2</v>
      </c>
      <c r="Q28" s="12"/>
    </row>
    <row r="29" spans="1:17" ht="26.45" customHeight="1" x14ac:dyDescent="0.2">
      <c r="A29" s="6">
        <v>4</v>
      </c>
      <c r="B29" s="92" t="s">
        <v>116</v>
      </c>
      <c r="C29" s="146" t="s">
        <v>115</v>
      </c>
      <c r="D29" s="91" t="s">
        <v>76</v>
      </c>
      <c r="E29" s="90">
        <v>5.8</v>
      </c>
      <c r="F29" s="89">
        <v>2828.73</v>
      </c>
      <c r="G29" s="89">
        <v>199.19</v>
      </c>
      <c r="H29" s="89">
        <v>1292.95</v>
      </c>
      <c r="I29" s="89">
        <v>147.72</v>
      </c>
      <c r="J29" s="12"/>
      <c r="K29" s="129">
        <v>16407</v>
      </c>
      <c r="L29" s="12">
        <v>1155</v>
      </c>
      <c r="M29" s="12">
        <v>7499</v>
      </c>
      <c r="N29" s="12">
        <v>857</v>
      </c>
      <c r="O29" s="12">
        <v>14.7</v>
      </c>
      <c r="P29" s="12">
        <v>85.26</v>
      </c>
      <c r="Q29" s="12"/>
    </row>
    <row r="30" spans="1:17" ht="36" x14ac:dyDescent="0.2">
      <c r="A30" s="6">
        <v>5</v>
      </c>
      <c r="B30" s="92" t="s">
        <v>114</v>
      </c>
      <c r="C30" s="146" t="s">
        <v>113</v>
      </c>
      <c r="D30" s="91" t="s">
        <v>34</v>
      </c>
      <c r="E30" s="90">
        <v>0.5</v>
      </c>
      <c r="F30" s="89">
        <v>2527.1999999999998</v>
      </c>
      <c r="G30" s="89">
        <v>408.1</v>
      </c>
      <c r="H30" s="89">
        <v>897.93</v>
      </c>
      <c r="I30" s="89">
        <v>320.97000000000003</v>
      </c>
      <c r="J30" s="12"/>
      <c r="K30" s="129">
        <v>1264</v>
      </c>
      <c r="L30" s="12">
        <v>204</v>
      </c>
      <c r="M30" s="12">
        <v>449</v>
      </c>
      <c r="N30" s="12">
        <v>160</v>
      </c>
      <c r="O30" s="12">
        <v>30.8</v>
      </c>
      <c r="P30" s="12">
        <v>15.4</v>
      </c>
      <c r="Q30" s="12"/>
    </row>
    <row r="31" spans="1:17" ht="36" x14ac:dyDescent="0.2">
      <c r="A31" s="6">
        <v>6</v>
      </c>
      <c r="B31" s="92" t="s">
        <v>112</v>
      </c>
      <c r="C31" s="146" t="s">
        <v>111</v>
      </c>
      <c r="D31" s="91" t="s">
        <v>29</v>
      </c>
      <c r="E31" s="97">
        <v>42</v>
      </c>
      <c r="F31" s="89">
        <v>38.4</v>
      </c>
      <c r="G31" s="89">
        <v>3.52</v>
      </c>
      <c r="H31" s="89">
        <v>2.92</v>
      </c>
      <c r="I31" s="89">
        <v>0.18</v>
      </c>
      <c r="J31" s="12"/>
      <c r="K31" s="129">
        <v>1613</v>
      </c>
      <c r="L31" s="12">
        <v>148</v>
      </c>
      <c r="M31" s="12">
        <v>123</v>
      </c>
      <c r="N31" s="12">
        <v>8</v>
      </c>
      <c r="O31" s="12">
        <v>0.26</v>
      </c>
      <c r="P31" s="12">
        <v>10.92</v>
      </c>
      <c r="Q31" s="12"/>
    </row>
    <row r="32" spans="1:17" ht="36" x14ac:dyDescent="0.2">
      <c r="A32" s="6">
        <v>7</v>
      </c>
      <c r="B32" s="92" t="s">
        <v>110</v>
      </c>
      <c r="C32" s="146" t="s">
        <v>109</v>
      </c>
      <c r="D32" s="91" t="s">
        <v>32</v>
      </c>
      <c r="E32" s="90">
        <v>1.26</v>
      </c>
      <c r="F32" s="89">
        <v>165.85</v>
      </c>
      <c r="G32" s="89">
        <v>162.6</v>
      </c>
      <c r="H32" s="12"/>
      <c r="I32" s="12"/>
      <c r="J32" s="12"/>
      <c r="K32" s="129">
        <v>209</v>
      </c>
      <c r="L32" s="12">
        <v>205</v>
      </c>
      <c r="M32" s="12"/>
      <c r="N32" s="12"/>
      <c r="O32" s="12">
        <v>12</v>
      </c>
      <c r="P32" s="12">
        <v>15.12</v>
      </c>
      <c r="Q32" s="12"/>
    </row>
    <row r="33" spans="1:17" ht="84" x14ac:dyDescent="0.2">
      <c r="A33" s="6">
        <v>8</v>
      </c>
      <c r="B33" s="92" t="s">
        <v>108</v>
      </c>
      <c r="C33" s="146" t="s">
        <v>107</v>
      </c>
      <c r="D33" s="91" t="s">
        <v>29</v>
      </c>
      <c r="E33" s="97">
        <v>37</v>
      </c>
      <c r="F33" s="89">
        <v>94.2</v>
      </c>
      <c r="G33" s="89">
        <v>16.899999999999999</v>
      </c>
      <c r="H33" s="89">
        <v>0.99</v>
      </c>
      <c r="I33" s="12"/>
      <c r="J33" s="12"/>
      <c r="K33" s="129">
        <v>3485</v>
      </c>
      <c r="L33" s="12">
        <v>625</v>
      </c>
      <c r="M33" s="12">
        <v>37</v>
      </c>
      <c r="N33" s="12"/>
      <c r="O33" s="12">
        <v>1.21</v>
      </c>
      <c r="P33" s="12">
        <v>44.77</v>
      </c>
      <c r="Q33" s="12"/>
    </row>
    <row r="34" spans="1:17" ht="48" x14ac:dyDescent="0.2">
      <c r="A34" s="6">
        <v>9</v>
      </c>
      <c r="B34" s="92" t="s">
        <v>106</v>
      </c>
      <c r="C34" s="146" t="s">
        <v>105</v>
      </c>
      <c r="D34" s="91" t="s">
        <v>33</v>
      </c>
      <c r="E34" s="97">
        <v>1</v>
      </c>
      <c r="F34" s="12"/>
      <c r="G34" s="12"/>
      <c r="H34" s="12"/>
      <c r="I34" s="12"/>
      <c r="J34" s="12">
        <v>114438</v>
      </c>
      <c r="K34" s="129">
        <v>114438</v>
      </c>
      <c r="L34" s="12"/>
      <c r="M34" s="12"/>
      <c r="N34" s="12"/>
      <c r="O34" s="12"/>
      <c r="P34" s="12"/>
      <c r="Q34" s="12"/>
    </row>
    <row r="35" spans="1:17" ht="24" x14ac:dyDescent="0.2">
      <c r="A35" s="6">
        <v>10</v>
      </c>
      <c r="B35" s="92" t="s">
        <v>104</v>
      </c>
      <c r="C35" s="146" t="s">
        <v>103</v>
      </c>
      <c r="D35" s="91" t="s">
        <v>29</v>
      </c>
      <c r="E35" s="97">
        <v>1</v>
      </c>
      <c r="F35" s="89">
        <v>117.52</v>
      </c>
      <c r="G35" s="89">
        <v>102.02</v>
      </c>
      <c r="H35" s="89">
        <v>0.46</v>
      </c>
      <c r="I35" s="12"/>
      <c r="J35" s="12"/>
      <c r="K35" s="129">
        <v>118</v>
      </c>
      <c r="L35" s="12">
        <v>102</v>
      </c>
      <c r="M35" s="12"/>
      <c r="N35" s="12"/>
      <c r="O35" s="12">
        <v>7.2</v>
      </c>
      <c r="P35" s="12">
        <v>7.2</v>
      </c>
      <c r="Q35" s="12"/>
    </row>
    <row r="36" spans="1:17" ht="60" x14ac:dyDescent="0.2">
      <c r="A36" s="6">
        <v>11</v>
      </c>
      <c r="B36" s="92" t="s">
        <v>102</v>
      </c>
      <c r="C36" s="146" t="s">
        <v>101</v>
      </c>
      <c r="D36" s="91" t="s">
        <v>35</v>
      </c>
      <c r="E36" s="97">
        <v>3.6</v>
      </c>
      <c r="F36" s="89">
        <v>12.41</v>
      </c>
      <c r="G36" s="12"/>
      <c r="H36" s="12"/>
      <c r="I36" s="12"/>
      <c r="J36" s="12"/>
      <c r="K36" s="129">
        <v>45</v>
      </c>
      <c r="L36" s="12"/>
      <c r="M36" s="12"/>
      <c r="N36" s="12"/>
      <c r="O36" s="12"/>
      <c r="P36" s="12"/>
      <c r="Q36" s="12"/>
    </row>
    <row r="37" spans="1:17" x14ac:dyDescent="0.2">
      <c r="A37" s="6">
        <v>12</v>
      </c>
      <c r="B37" s="92" t="s">
        <v>97</v>
      </c>
      <c r="C37" s="146" t="s">
        <v>100</v>
      </c>
      <c r="D37" s="91" t="s">
        <v>34</v>
      </c>
      <c r="E37" s="90">
        <v>3.5999999999999997E-2</v>
      </c>
      <c r="F37" s="89">
        <v>1621.52</v>
      </c>
      <c r="G37" s="89">
        <v>251.75</v>
      </c>
      <c r="H37" s="89">
        <v>175.48</v>
      </c>
      <c r="I37" s="89">
        <v>8.5500000000000007</v>
      </c>
      <c r="J37" s="12"/>
      <c r="K37" s="129">
        <v>58</v>
      </c>
      <c r="L37" s="12">
        <v>9</v>
      </c>
      <c r="M37" s="12">
        <v>6</v>
      </c>
      <c r="N37" s="12"/>
      <c r="O37" s="12">
        <v>19</v>
      </c>
      <c r="P37" s="12">
        <v>0.68</v>
      </c>
      <c r="Q37" s="12"/>
    </row>
    <row r="38" spans="1:17" ht="60" x14ac:dyDescent="0.2">
      <c r="A38" s="6">
        <v>13</v>
      </c>
      <c r="B38" s="92" t="s">
        <v>99</v>
      </c>
      <c r="C38" s="146" t="s">
        <v>98</v>
      </c>
      <c r="D38" s="91" t="s">
        <v>35</v>
      </c>
      <c r="E38" s="97">
        <v>50</v>
      </c>
      <c r="F38" s="89">
        <v>14.72</v>
      </c>
      <c r="G38" s="12"/>
      <c r="H38" s="12"/>
      <c r="I38" s="12"/>
      <c r="J38" s="12"/>
      <c r="K38" s="129">
        <v>736</v>
      </c>
      <c r="L38" s="12"/>
      <c r="M38" s="12"/>
      <c r="N38" s="12"/>
      <c r="O38" s="12"/>
      <c r="P38" s="12"/>
      <c r="Q38" s="12"/>
    </row>
    <row r="39" spans="1:17" ht="36" x14ac:dyDescent="0.2">
      <c r="A39" s="6">
        <v>14</v>
      </c>
      <c r="B39" s="92" t="s">
        <v>97</v>
      </c>
      <c r="C39" s="146" t="s">
        <v>96</v>
      </c>
      <c r="D39" s="91" t="s">
        <v>34</v>
      </c>
      <c r="E39" s="97">
        <v>0.5</v>
      </c>
      <c r="F39" s="89">
        <v>1621.52</v>
      </c>
      <c r="G39" s="89">
        <v>251.75</v>
      </c>
      <c r="H39" s="89">
        <v>175.48</v>
      </c>
      <c r="I39" s="89">
        <v>8.5500000000000007</v>
      </c>
      <c r="J39" s="12"/>
      <c r="K39" s="129">
        <v>811</v>
      </c>
      <c r="L39" s="12">
        <v>126</v>
      </c>
      <c r="M39" s="12">
        <v>88</v>
      </c>
      <c r="N39" s="12">
        <v>4</v>
      </c>
      <c r="O39" s="12">
        <v>19</v>
      </c>
      <c r="P39" s="12">
        <v>9.5</v>
      </c>
      <c r="Q39" s="12"/>
    </row>
    <row r="40" spans="1:17" ht="36" x14ac:dyDescent="0.2">
      <c r="A40" s="6">
        <v>15</v>
      </c>
      <c r="B40" s="92" t="s">
        <v>95</v>
      </c>
      <c r="C40" s="146" t="s">
        <v>94</v>
      </c>
      <c r="D40" s="91" t="s">
        <v>93</v>
      </c>
      <c r="E40" s="97">
        <v>18</v>
      </c>
      <c r="F40" s="89">
        <v>22.58</v>
      </c>
      <c r="G40" s="89">
        <v>6.37</v>
      </c>
      <c r="H40" s="12"/>
      <c r="I40" s="12"/>
      <c r="J40" s="12"/>
      <c r="K40" s="129">
        <v>406</v>
      </c>
      <c r="L40" s="12">
        <v>115</v>
      </c>
      <c r="M40" s="12"/>
      <c r="N40" s="12"/>
      <c r="O40" s="12">
        <v>0.47</v>
      </c>
      <c r="P40" s="12">
        <v>8.4600000000000009</v>
      </c>
      <c r="Q40" s="12"/>
    </row>
    <row r="41" spans="1:17" x14ac:dyDescent="0.2">
      <c r="A41" s="168" t="s">
        <v>36</v>
      </c>
      <c r="B41" s="167"/>
      <c r="C41" s="167"/>
      <c r="D41" s="167"/>
      <c r="E41" s="167"/>
      <c r="F41" s="167"/>
      <c r="G41" s="167"/>
      <c r="H41" s="167"/>
      <c r="I41" s="167"/>
      <c r="J41" s="167"/>
      <c r="K41" s="130">
        <v>143300</v>
      </c>
      <c r="L41" s="89">
        <v>2773</v>
      </c>
      <c r="M41" s="89">
        <v>8474</v>
      </c>
      <c r="N41" s="89">
        <v>1058</v>
      </c>
      <c r="O41" s="12"/>
      <c r="P41" s="89">
        <v>203.51</v>
      </c>
      <c r="Q41" s="12"/>
    </row>
    <row r="42" spans="1:17" x14ac:dyDescent="0.2">
      <c r="A42" s="168" t="s">
        <v>37</v>
      </c>
      <c r="B42" s="167"/>
      <c r="C42" s="167"/>
      <c r="D42" s="167"/>
      <c r="E42" s="167"/>
      <c r="F42" s="167"/>
      <c r="G42" s="167"/>
      <c r="H42" s="167"/>
      <c r="I42" s="167"/>
      <c r="J42" s="167"/>
      <c r="K42" s="130">
        <v>152305</v>
      </c>
      <c r="L42" s="89">
        <v>3904</v>
      </c>
      <c r="M42" s="89">
        <v>11501</v>
      </c>
      <c r="N42" s="89">
        <v>1489</v>
      </c>
      <c r="O42" s="12"/>
      <c r="P42" s="89">
        <v>274.74</v>
      </c>
      <c r="Q42" s="12"/>
    </row>
    <row r="43" spans="1:17" x14ac:dyDescent="0.2">
      <c r="A43" s="168" t="s">
        <v>86</v>
      </c>
      <c r="B43" s="167"/>
      <c r="C43" s="167"/>
      <c r="D43" s="167"/>
      <c r="E43" s="167"/>
      <c r="F43" s="167"/>
      <c r="G43" s="167"/>
      <c r="H43" s="167"/>
      <c r="I43" s="167"/>
      <c r="J43" s="167"/>
      <c r="K43" s="129"/>
      <c r="L43" s="12"/>
      <c r="M43" s="12"/>
      <c r="N43" s="12"/>
      <c r="O43" s="12"/>
      <c r="P43" s="12"/>
      <c r="Q43" s="12"/>
    </row>
    <row r="44" spans="1:17" x14ac:dyDescent="0.2">
      <c r="A44" s="168" t="s">
        <v>92</v>
      </c>
      <c r="B44" s="167"/>
      <c r="C44" s="167"/>
      <c r="D44" s="167"/>
      <c r="E44" s="167"/>
      <c r="F44" s="167"/>
      <c r="G44" s="167"/>
      <c r="H44" s="167"/>
      <c r="I44" s="167"/>
      <c r="J44" s="167"/>
      <c r="K44" s="130">
        <v>164</v>
      </c>
      <c r="L44" s="89">
        <v>119</v>
      </c>
      <c r="M44" s="89">
        <v>45</v>
      </c>
      <c r="N44" s="89">
        <v>45</v>
      </c>
      <c r="O44" s="12"/>
      <c r="P44" s="12"/>
      <c r="Q44" s="12"/>
    </row>
    <row r="45" spans="1:17" ht="15" customHeight="1" x14ac:dyDescent="0.2">
      <c r="A45" s="168" t="s">
        <v>91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30">
        <v>3433</v>
      </c>
      <c r="L45" s="12"/>
      <c r="M45" s="12"/>
      <c r="N45" s="12"/>
      <c r="O45" s="12"/>
      <c r="P45" s="12"/>
      <c r="Q45" s="12"/>
    </row>
    <row r="46" spans="1:17" ht="24.6" customHeight="1" x14ac:dyDescent="0.2">
      <c r="A46" s="168" t="s">
        <v>90</v>
      </c>
      <c r="B46" s="167"/>
      <c r="C46" s="167"/>
      <c r="D46" s="167"/>
      <c r="E46" s="167"/>
      <c r="F46" s="167"/>
      <c r="G46" s="167"/>
      <c r="H46" s="167"/>
      <c r="I46" s="167"/>
      <c r="J46" s="167"/>
      <c r="K46" s="130">
        <v>1414</v>
      </c>
      <c r="L46" s="12"/>
      <c r="M46" s="12"/>
      <c r="N46" s="12"/>
      <c r="O46" s="12"/>
      <c r="P46" s="12"/>
      <c r="Q46" s="12"/>
    </row>
    <row r="47" spans="1:17" ht="22.9" customHeight="1" x14ac:dyDescent="0.2">
      <c r="A47" s="168" t="s">
        <v>89</v>
      </c>
      <c r="B47" s="167"/>
      <c r="C47" s="167"/>
      <c r="D47" s="167"/>
      <c r="E47" s="167"/>
      <c r="F47" s="167"/>
      <c r="G47" s="167"/>
      <c r="H47" s="167"/>
      <c r="I47" s="167"/>
      <c r="J47" s="167"/>
      <c r="K47" s="130">
        <v>3994</v>
      </c>
      <c r="L47" s="89">
        <v>1012</v>
      </c>
      <c r="M47" s="89">
        <v>2982</v>
      </c>
      <c r="N47" s="89">
        <v>386</v>
      </c>
      <c r="O47" s="12"/>
      <c r="P47" s="89">
        <v>71.228499999999997</v>
      </c>
      <c r="Q47" s="12"/>
    </row>
    <row r="48" spans="1:17" x14ac:dyDescent="0.2">
      <c r="A48" s="168" t="s">
        <v>38</v>
      </c>
      <c r="B48" s="167"/>
      <c r="C48" s="167"/>
      <c r="D48" s="167"/>
      <c r="E48" s="167"/>
      <c r="F48" s="167"/>
      <c r="G48" s="167"/>
      <c r="H48" s="167"/>
      <c r="I48" s="167"/>
      <c r="J48" s="167"/>
      <c r="K48" s="130">
        <v>5102</v>
      </c>
      <c r="L48" s="12"/>
      <c r="M48" s="12"/>
      <c r="N48" s="12"/>
      <c r="O48" s="12"/>
      <c r="P48" s="12"/>
      <c r="Q48" s="12"/>
    </row>
    <row r="49" spans="1:17" x14ac:dyDescent="0.2">
      <c r="A49" s="168" t="s">
        <v>86</v>
      </c>
      <c r="B49" s="167"/>
      <c r="C49" s="167"/>
      <c r="D49" s="167"/>
      <c r="E49" s="167"/>
      <c r="F49" s="167"/>
      <c r="G49" s="167"/>
      <c r="H49" s="167"/>
      <c r="I49" s="167"/>
      <c r="J49" s="167"/>
      <c r="K49" s="129"/>
      <c r="L49" s="12"/>
      <c r="M49" s="12"/>
      <c r="N49" s="12"/>
      <c r="O49" s="12"/>
      <c r="P49" s="12"/>
      <c r="Q49" s="12"/>
    </row>
    <row r="50" spans="1:17" x14ac:dyDescent="0.2">
      <c r="A50" s="168" t="s">
        <v>88</v>
      </c>
      <c r="B50" s="167"/>
      <c r="C50" s="167"/>
      <c r="D50" s="167"/>
      <c r="E50" s="167"/>
      <c r="F50" s="167"/>
      <c r="G50" s="167"/>
      <c r="H50" s="167"/>
      <c r="I50" s="167"/>
      <c r="J50" s="167"/>
      <c r="K50" s="130">
        <v>114</v>
      </c>
      <c r="L50" s="12"/>
      <c r="M50" s="12"/>
      <c r="N50" s="12"/>
      <c r="O50" s="12"/>
      <c r="P50" s="12"/>
      <c r="Q50" s="12"/>
    </row>
    <row r="51" spans="1:17" x14ac:dyDescent="0.2">
      <c r="A51" s="168" t="s">
        <v>87</v>
      </c>
      <c r="B51" s="167"/>
      <c r="C51" s="167"/>
      <c r="D51" s="167"/>
      <c r="E51" s="167"/>
      <c r="F51" s="167"/>
      <c r="G51" s="167"/>
      <c r="H51" s="167"/>
      <c r="I51" s="167"/>
      <c r="J51" s="167"/>
      <c r="K51" s="130">
        <v>4988</v>
      </c>
      <c r="L51" s="12"/>
      <c r="M51" s="12"/>
      <c r="N51" s="12"/>
      <c r="O51" s="12"/>
      <c r="P51" s="12"/>
      <c r="Q51" s="12"/>
    </row>
    <row r="52" spans="1:17" x14ac:dyDescent="0.2">
      <c r="A52" s="168" t="s">
        <v>39</v>
      </c>
      <c r="B52" s="167"/>
      <c r="C52" s="167"/>
      <c r="D52" s="167"/>
      <c r="E52" s="167"/>
      <c r="F52" s="167"/>
      <c r="G52" s="167"/>
      <c r="H52" s="167"/>
      <c r="I52" s="167"/>
      <c r="J52" s="167"/>
      <c r="K52" s="130">
        <v>3499</v>
      </c>
      <c r="L52" s="12"/>
      <c r="M52" s="12"/>
      <c r="N52" s="12"/>
      <c r="O52" s="12"/>
      <c r="P52" s="12"/>
      <c r="Q52" s="12"/>
    </row>
    <row r="53" spans="1:17" x14ac:dyDescent="0.2">
      <c r="A53" s="168" t="s">
        <v>86</v>
      </c>
      <c r="B53" s="167"/>
      <c r="C53" s="167"/>
      <c r="D53" s="167"/>
      <c r="E53" s="167"/>
      <c r="F53" s="167"/>
      <c r="G53" s="167"/>
      <c r="H53" s="167"/>
      <c r="I53" s="167"/>
      <c r="J53" s="167"/>
      <c r="K53" s="129"/>
      <c r="L53" s="12"/>
      <c r="M53" s="12"/>
      <c r="N53" s="12"/>
      <c r="O53" s="12"/>
      <c r="P53" s="12"/>
      <c r="Q53" s="12"/>
    </row>
    <row r="54" spans="1:17" x14ac:dyDescent="0.2">
      <c r="A54" s="168" t="s">
        <v>85</v>
      </c>
      <c r="B54" s="167"/>
      <c r="C54" s="167"/>
      <c r="D54" s="167"/>
      <c r="E54" s="167"/>
      <c r="F54" s="167"/>
      <c r="G54" s="167"/>
      <c r="H54" s="167"/>
      <c r="I54" s="167"/>
      <c r="J54" s="167"/>
      <c r="K54" s="130">
        <v>86</v>
      </c>
      <c r="L54" s="12"/>
      <c r="M54" s="12"/>
      <c r="N54" s="12"/>
      <c r="O54" s="12"/>
      <c r="P54" s="12"/>
      <c r="Q54" s="12"/>
    </row>
    <row r="55" spans="1:17" x14ac:dyDescent="0.2">
      <c r="A55" s="168" t="s">
        <v>84</v>
      </c>
      <c r="B55" s="167"/>
      <c r="C55" s="167"/>
      <c r="D55" s="167"/>
      <c r="E55" s="167"/>
      <c r="F55" s="167"/>
      <c r="G55" s="167"/>
      <c r="H55" s="167"/>
      <c r="I55" s="167"/>
      <c r="J55" s="167"/>
      <c r="K55" s="130">
        <v>3413</v>
      </c>
      <c r="L55" s="12"/>
      <c r="M55" s="12"/>
      <c r="N55" s="12"/>
      <c r="O55" s="12"/>
      <c r="P55" s="12"/>
      <c r="Q55" s="12"/>
    </row>
    <row r="56" spans="1:17" x14ac:dyDescent="0.2">
      <c r="A56" s="173" t="s">
        <v>40</v>
      </c>
      <c r="B56" s="167"/>
      <c r="C56" s="167"/>
      <c r="D56" s="167"/>
      <c r="E56" s="167"/>
      <c r="F56" s="167"/>
      <c r="G56" s="167"/>
      <c r="H56" s="167"/>
      <c r="I56" s="167"/>
      <c r="J56" s="167"/>
      <c r="K56" s="129"/>
      <c r="L56" s="12"/>
      <c r="M56" s="12"/>
      <c r="N56" s="12"/>
      <c r="O56" s="12"/>
      <c r="P56" s="12"/>
      <c r="Q56" s="12"/>
    </row>
    <row r="57" spans="1:17" x14ac:dyDescent="0.2">
      <c r="A57" s="168" t="s">
        <v>83</v>
      </c>
      <c r="B57" s="167"/>
      <c r="C57" s="167"/>
      <c r="D57" s="167"/>
      <c r="E57" s="167"/>
      <c r="F57" s="167"/>
      <c r="G57" s="167"/>
      <c r="H57" s="167"/>
      <c r="I57" s="167"/>
      <c r="J57" s="167"/>
      <c r="K57" s="130">
        <v>41621</v>
      </c>
      <c r="L57" s="12"/>
      <c r="M57" s="12"/>
      <c r="N57" s="12"/>
      <c r="O57" s="12"/>
      <c r="P57" s="89">
        <v>274.74</v>
      </c>
      <c r="Q57" s="12"/>
    </row>
    <row r="58" spans="1:17" x14ac:dyDescent="0.2">
      <c r="A58" s="168" t="s">
        <v>82</v>
      </c>
      <c r="B58" s="167"/>
      <c r="C58" s="167"/>
      <c r="D58" s="167"/>
      <c r="E58" s="167"/>
      <c r="F58" s="167"/>
      <c r="G58" s="167"/>
      <c r="H58" s="167"/>
      <c r="I58" s="167"/>
      <c r="J58" s="167"/>
      <c r="K58" s="130">
        <v>119285</v>
      </c>
      <c r="L58" s="12"/>
      <c r="M58" s="12"/>
      <c r="N58" s="12"/>
      <c r="O58" s="12"/>
      <c r="P58" s="12"/>
      <c r="Q58" s="12"/>
    </row>
    <row r="59" spans="1:17" x14ac:dyDescent="0.2">
      <c r="A59" s="168" t="s">
        <v>41</v>
      </c>
      <c r="B59" s="167"/>
      <c r="C59" s="167"/>
      <c r="D59" s="167"/>
      <c r="E59" s="167"/>
      <c r="F59" s="167"/>
      <c r="G59" s="167"/>
      <c r="H59" s="167"/>
      <c r="I59" s="167"/>
      <c r="J59" s="167"/>
      <c r="K59" s="130">
        <v>160906</v>
      </c>
      <c r="L59" s="12"/>
      <c r="M59" s="12"/>
      <c r="N59" s="12"/>
      <c r="O59" s="12"/>
      <c r="P59" s="89">
        <v>274.74</v>
      </c>
      <c r="Q59" s="12"/>
    </row>
    <row r="60" spans="1:17" x14ac:dyDescent="0.2">
      <c r="A60" s="168" t="s">
        <v>42</v>
      </c>
      <c r="B60" s="167"/>
      <c r="C60" s="167"/>
      <c r="D60" s="167"/>
      <c r="E60" s="167"/>
      <c r="F60" s="167"/>
      <c r="G60" s="167"/>
      <c r="H60" s="167"/>
      <c r="I60" s="167"/>
      <c r="J60" s="167"/>
      <c r="K60" s="129"/>
      <c r="L60" s="12"/>
      <c r="M60" s="12"/>
      <c r="N60" s="12"/>
      <c r="O60" s="12"/>
      <c r="P60" s="12"/>
      <c r="Q60" s="12"/>
    </row>
    <row r="61" spans="1:17" x14ac:dyDescent="0.2">
      <c r="A61" s="168" t="s">
        <v>43</v>
      </c>
      <c r="B61" s="167"/>
      <c r="C61" s="167"/>
      <c r="D61" s="167"/>
      <c r="E61" s="167"/>
      <c r="F61" s="167"/>
      <c r="G61" s="167"/>
      <c r="H61" s="167"/>
      <c r="I61" s="167"/>
      <c r="J61" s="167"/>
      <c r="K61" s="130">
        <v>17615</v>
      </c>
      <c r="L61" s="12"/>
      <c r="M61" s="12"/>
      <c r="N61" s="12"/>
      <c r="O61" s="12"/>
      <c r="P61" s="12"/>
      <c r="Q61" s="12"/>
    </row>
    <row r="62" spans="1:17" x14ac:dyDescent="0.2">
      <c r="A62" s="168" t="s">
        <v>44</v>
      </c>
      <c r="B62" s="167"/>
      <c r="C62" s="167"/>
      <c r="D62" s="167"/>
      <c r="E62" s="167"/>
      <c r="F62" s="167"/>
      <c r="G62" s="167"/>
      <c r="H62" s="167"/>
      <c r="I62" s="167"/>
      <c r="J62" s="167"/>
      <c r="K62" s="130">
        <f>11501-N42</f>
        <v>10012</v>
      </c>
      <c r="L62" s="12"/>
      <c r="M62" s="12"/>
      <c r="N62" s="12"/>
      <c r="O62" s="12"/>
      <c r="P62" s="12"/>
      <c r="Q62" s="12"/>
    </row>
    <row r="63" spans="1:17" x14ac:dyDescent="0.2">
      <c r="A63" s="168" t="s">
        <v>45</v>
      </c>
      <c r="B63" s="167"/>
      <c r="C63" s="167"/>
      <c r="D63" s="167"/>
      <c r="E63" s="167"/>
      <c r="F63" s="167"/>
      <c r="G63" s="167"/>
      <c r="H63" s="167"/>
      <c r="I63" s="167"/>
      <c r="J63" s="167"/>
      <c r="K63" s="130">
        <v>5393</v>
      </c>
      <c r="L63" s="12"/>
      <c r="M63" s="12"/>
      <c r="N63" s="12"/>
      <c r="O63" s="12"/>
      <c r="P63" s="12"/>
      <c r="Q63" s="12"/>
    </row>
    <row r="64" spans="1:17" x14ac:dyDescent="0.2">
      <c r="A64" s="168" t="s">
        <v>19</v>
      </c>
      <c r="B64" s="167"/>
      <c r="C64" s="167"/>
      <c r="D64" s="167"/>
      <c r="E64" s="167"/>
      <c r="F64" s="167"/>
      <c r="G64" s="167"/>
      <c r="H64" s="167"/>
      <c r="I64" s="167"/>
      <c r="J64" s="167"/>
      <c r="K64" s="130">
        <v>119285</v>
      </c>
      <c r="L64" s="12"/>
      <c r="M64" s="12"/>
      <c r="N64" s="12"/>
      <c r="O64" s="12"/>
      <c r="P64" s="12"/>
      <c r="Q64" s="12"/>
    </row>
    <row r="65" spans="1:17" x14ac:dyDescent="0.2">
      <c r="A65" s="168" t="s">
        <v>46</v>
      </c>
      <c r="B65" s="167"/>
      <c r="C65" s="167"/>
      <c r="D65" s="167"/>
      <c r="E65" s="167"/>
      <c r="F65" s="167"/>
      <c r="G65" s="167"/>
      <c r="H65" s="167"/>
      <c r="I65" s="167"/>
      <c r="J65" s="167"/>
      <c r="K65" s="130">
        <v>5102</v>
      </c>
      <c r="L65" s="12"/>
      <c r="M65" s="12"/>
      <c r="N65" s="12"/>
      <c r="O65" s="12"/>
      <c r="P65" s="12"/>
      <c r="Q65" s="12"/>
    </row>
    <row r="66" spans="1:17" x14ac:dyDescent="0.2">
      <c r="A66" s="168" t="s">
        <v>47</v>
      </c>
      <c r="B66" s="167"/>
      <c r="C66" s="167"/>
      <c r="D66" s="167"/>
      <c r="E66" s="167"/>
      <c r="F66" s="167"/>
      <c r="G66" s="167"/>
      <c r="H66" s="167"/>
      <c r="I66" s="167"/>
      <c r="J66" s="167"/>
      <c r="K66" s="130">
        <v>3499</v>
      </c>
      <c r="L66" s="12"/>
      <c r="M66" s="12"/>
      <c r="N66" s="12"/>
      <c r="O66" s="12"/>
      <c r="P66" s="12"/>
      <c r="Q66" s="12"/>
    </row>
    <row r="67" spans="1:17" x14ac:dyDescent="0.2">
      <c r="A67" s="173" t="s">
        <v>48</v>
      </c>
      <c r="B67" s="167"/>
      <c r="C67" s="167"/>
      <c r="D67" s="167"/>
      <c r="E67" s="167"/>
      <c r="F67" s="167"/>
      <c r="G67" s="167"/>
      <c r="H67" s="167"/>
      <c r="I67" s="167"/>
      <c r="J67" s="167"/>
      <c r="K67" s="131">
        <f>SUM(K61:K66)</f>
        <v>160906</v>
      </c>
      <c r="L67" s="12"/>
      <c r="M67" s="12"/>
      <c r="N67" s="12"/>
      <c r="O67" s="12"/>
      <c r="P67" s="13">
        <v>274.74</v>
      </c>
      <c r="Q67" s="12"/>
    </row>
    <row r="68" spans="1:17" x14ac:dyDescent="0.2">
      <c r="F68" s="10"/>
      <c r="G68" s="10"/>
      <c r="H68" s="10"/>
      <c r="I68" s="10"/>
      <c r="J68" s="10"/>
      <c r="K68" s="132"/>
      <c r="L68" s="10"/>
      <c r="M68" s="10"/>
      <c r="N68" s="10"/>
      <c r="O68" s="10"/>
      <c r="P68" s="10"/>
      <c r="Q68" s="10"/>
    </row>
  </sheetData>
  <mergeCells count="49">
    <mergeCell ref="L22:N22"/>
    <mergeCell ref="A45:J45"/>
    <mergeCell ref="A21:A23"/>
    <mergeCell ref="C21:C23"/>
    <mergeCell ref="D21:D23"/>
    <mergeCell ref="E21:E23"/>
    <mergeCell ref="Q21:Q23"/>
    <mergeCell ref="P21:P23"/>
    <mergeCell ref="A57:J57"/>
    <mergeCell ref="A46:J46"/>
    <mergeCell ref="A47:J47"/>
    <mergeCell ref="A48:J48"/>
    <mergeCell ref="A49:J49"/>
    <mergeCell ref="B21:B23"/>
    <mergeCell ref="F22:F23"/>
    <mergeCell ref="F21:I21"/>
    <mergeCell ref="G22:I22"/>
    <mergeCell ref="A25:Q25"/>
    <mergeCell ref="A41:J41"/>
    <mergeCell ref="O21:O23"/>
    <mergeCell ref="J22:J23"/>
    <mergeCell ref="J21:N21"/>
    <mergeCell ref="E1:I1"/>
    <mergeCell ref="A64:J64"/>
    <mergeCell ref="A65:J65"/>
    <mergeCell ref="A66:J66"/>
    <mergeCell ref="A67:J67"/>
    <mergeCell ref="J14:K14"/>
    <mergeCell ref="J17:K17"/>
    <mergeCell ref="J18:K18"/>
    <mergeCell ref="J16:K16"/>
    <mergeCell ref="A50:J50"/>
    <mergeCell ref="A51:J51"/>
    <mergeCell ref="A52:J52"/>
    <mergeCell ref="A53:J53"/>
    <mergeCell ref="A54:J54"/>
    <mergeCell ref="A55:J55"/>
    <mergeCell ref="A42:J42"/>
    <mergeCell ref="A63:J63"/>
    <mergeCell ref="J15:K15"/>
    <mergeCell ref="A58:J58"/>
    <mergeCell ref="A59:J59"/>
    <mergeCell ref="A60:J60"/>
    <mergeCell ref="A61:J61"/>
    <mergeCell ref="A62:J62"/>
    <mergeCell ref="A56:J56"/>
    <mergeCell ref="A43:J43"/>
    <mergeCell ref="A44:J44"/>
    <mergeCell ref="K22:K23"/>
  </mergeCells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61"/>
  <sheetViews>
    <sheetView showGridLines="0" topLeftCell="A46" zoomScaleNormal="75" zoomScaleSheetLayoutView="75" workbookViewId="0">
      <selection activeCell="J14" sqref="J14:K14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8.7109375" style="8" customWidth="1"/>
    <col min="4" max="4" width="7.7109375" style="7" customWidth="1"/>
    <col min="5" max="5" width="8.28515625" style="9" customWidth="1"/>
    <col min="6" max="6" width="7.7109375" style="3" customWidth="1"/>
    <col min="7" max="9" width="6.7109375" style="3" customWidth="1"/>
    <col min="10" max="10" width="7.7109375" style="133" customWidth="1"/>
    <col min="11" max="15" width="6.7109375" style="3" customWidth="1"/>
    <col min="16" max="16" width="11.85546875" style="3" customWidth="1"/>
    <col min="17" max="17" width="6.7109375" style="3" customWidth="1"/>
    <col min="18" max="16384" width="9.140625" style="4"/>
  </cols>
  <sheetData>
    <row r="1" spans="1:19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125"/>
      <c r="K1" s="98"/>
      <c r="L1" s="98"/>
      <c r="M1" s="2" t="s">
        <v>28</v>
      </c>
      <c r="N1" s="98"/>
      <c r="O1" s="98"/>
      <c r="P1" s="98"/>
      <c r="Q1"/>
      <c r="R1"/>
    </row>
    <row r="2" spans="1:19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125"/>
      <c r="K2" s="98"/>
      <c r="L2" s="98"/>
      <c r="M2" s="5" t="s">
        <v>158</v>
      </c>
      <c r="N2" s="98"/>
      <c r="O2" s="98"/>
      <c r="P2" s="98"/>
      <c r="Q2"/>
      <c r="R2"/>
    </row>
    <row r="3" spans="1:19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125"/>
      <c r="K3" s="98"/>
      <c r="L3" s="5"/>
      <c r="M3" s="5" t="s">
        <v>157</v>
      </c>
      <c r="N3" s="98"/>
      <c r="O3" s="98"/>
      <c r="P3" s="98"/>
      <c r="Q3"/>
      <c r="R3"/>
    </row>
    <row r="4" spans="1:19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125"/>
      <c r="K4" s="98"/>
      <c r="L4" s="98"/>
      <c r="M4" s="5" t="s">
        <v>156</v>
      </c>
      <c r="N4" s="98"/>
      <c r="O4" s="98"/>
      <c r="P4" s="98"/>
      <c r="Q4"/>
      <c r="R4"/>
    </row>
    <row r="5" spans="1:19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125"/>
      <c r="K5" s="98"/>
      <c r="L5" s="98"/>
      <c r="M5" s="5" t="s">
        <v>154</v>
      </c>
      <c r="N5" s="98"/>
      <c r="O5" s="98"/>
      <c r="P5" s="98"/>
      <c r="Q5"/>
      <c r="R5"/>
    </row>
    <row r="6" spans="1:19" x14ac:dyDescent="0.2">
      <c r="A6" s="99"/>
      <c r="B6" s="102"/>
      <c r="C6" s="100"/>
      <c r="D6" s="4"/>
      <c r="E6" s="98"/>
      <c r="F6" s="98"/>
      <c r="G6" s="121" t="s">
        <v>192</v>
      </c>
      <c r="H6" s="121"/>
      <c r="I6" s="121"/>
      <c r="J6" s="125"/>
      <c r="K6" s="98"/>
      <c r="L6" s="98"/>
      <c r="M6" s="98"/>
      <c r="N6" s="98"/>
      <c r="O6" s="98"/>
      <c r="P6" s="98"/>
      <c r="Q6" s="4"/>
      <c r="R6"/>
    </row>
    <row r="7" spans="1:19" x14ac:dyDescent="0.2">
      <c r="A7" s="99"/>
      <c r="B7" s="102"/>
      <c r="C7" s="100"/>
      <c r="D7" s="4"/>
      <c r="E7" s="98"/>
      <c r="F7" s="98"/>
      <c r="G7" s="120" t="s">
        <v>191</v>
      </c>
      <c r="H7" s="99"/>
      <c r="I7" s="99"/>
      <c r="J7" s="125"/>
      <c r="K7" s="98"/>
      <c r="L7" s="98"/>
      <c r="M7" s="98"/>
      <c r="N7" s="98"/>
      <c r="O7" s="98"/>
      <c r="P7" s="98"/>
      <c r="Q7" s="4"/>
      <c r="R7"/>
    </row>
    <row r="8" spans="1:19" x14ac:dyDescent="0.2">
      <c r="A8" s="99"/>
      <c r="B8" s="102"/>
      <c r="C8" s="100"/>
      <c r="D8" s="4"/>
      <c r="E8" s="98"/>
      <c r="F8" s="98"/>
      <c r="G8" s="98"/>
      <c r="H8" s="98"/>
      <c r="I8" s="98"/>
      <c r="J8" s="125"/>
      <c r="K8" s="98"/>
      <c r="L8" s="98"/>
      <c r="M8" s="98"/>
      <c r="N8" s="98"/>
      <c r="O8" s="98"/>
      <c r="P8" s="98"/>
      <c r="Q8"/>
      <c r="R8"/>
      <c r="S8"/>
    </row>
    <row r="9" spans="1:19" x14ac:dyDescent="0.2">
      <c r="A9" s="99"/>
      <c r="B9" s="102"/>
      <c r="C9" s="117" t="s">
        <v>22</v>
      </c>
      <c r="D9" s="119" t="s">
        <v>151</v>
      </c>
      <c r="E9" s="118"/>
      <c r="F9" s="118"/>
      <c r="G9" s="118"/>
      <c r="H9" s="118"/>
      <c r="I9" s="118"/>
      <c r="J9" s="126"/>
      <c r="K9" s="118"/>
      <c r="L9" s="118"/>
      <c r="M9" s="118"/>
      <c r="N9" s="98"/>
      <c r="O9" s="98"/>
      <c r="P9" s="98"/>
      <c r="Q9"/>
      <c r="R9"/>
      <c r="S9"/>
    </row>
    <row r="10" spans="1:19" x14ac:dyDescent="0.2">
      <c r="A10" s="99"/>
      <c r="B10" s="102"/>
      <c r="C10" s="117"/>
      <c r="D10" s="95" t="s">
        <v>190</v>
      </c>
      <c r="E10" s="98"/>
      <c r="F10" s="98"/>
      <c r="G10" s="99"/>
      <c r="H10" s="98"/>
      <c r="I10" s="98"/>
      <c r="J10" s="125"/>
      <c r="K10" s="98"/>
      <c r="L10" s="98"/>
      <c r="M10" s="98"/>
      <c r="N10" s="98"/>
      <c r="O10" s="98"/>
      <c r="P10" s="98"/>
      <c r="Q10"/>
      <c r="R10"/>
      <c r="S10"/>
    </row>
    <row r="11" spans="1:19" x14ac:dyDescent="0.2">
      <c r="A11" s="99"/>
      <c r="B11" s="102"/>
      <c r="C11" s="100"/>
      <c r="D11" s="116"/>
      <c r="E11" s="114"/>
      <c r="F11" s="114"/>
      <c r="G11" s="115" t="s">
        <v>149</v>
      </c>
      <c r="H11" s="115"/>
      <c r="I11" s="115"/>
      <c r="J11" s="134"/>
      <c r="K11" s="113"/>
      <c r="L11" s="98"/>
      <c r="M11" s="98"/>
      <c r="N11" s="98"/>
      <c r="O11" s="98"/>
      <c r="P11" s="98"/>
      <c r="Q11"/>
      <c r="R11"/>
      <c r="S11"/>
    </row>
    <row r="12" spans="1:19" x14ac:dyDescent="0.2">
      <c r="A12" s="112"/>
      <c r="B12" s="111"/>
      <c r="C12" s="101"/>
      <c r="D12" s="100"/>
      <c r="E12" s="4"/>
      <c r="F12" s="98"/>
      <c r="G12" s="98"/>
      <c r="H12" s="98"/>
      <c r="I12" s="98"/>
      <c r="J12" s="125"/>
      <c r="K12" s="98"/>
      <c r="L12" s="98"/>
      <c r="M12" s="98"/>
      <c r="N12" s="98"/>
      <c r="O12" s="98"/>
      <c r="P12" s="98"/>
      <c r="Q12" s="98"/>
    </row>
    <row r="13" spans="1:19" ht="14.25" x14ac:dyDescent="0.2">
      <c r="A13" s="99"/>
      <c r="B13" s="102"/>
      <c r="C13" s="101"/>
      <c r="D13" s="95" t="s">
        <v>189</v>
      </c>
      <c r="E13" s="99"/>
      <c r="F13" s="98"/>
      <c r="G13" s="98"/>
      <c r="H13" s="98"/>
      <c r="I13" s="95"/>
      <c r="J13" s="128"/>
      <c r="K13" s="98"/>
      <c r="L13" s="98"/>
      <c r="M13" s="98"/>
      <c r="N13" s="110" t="s">
        <v>147</v>
      </c>
      <c r="O13" s="108"/>
      <c r="P13" s="108"/>
      <c r="Q13" s="98"/>
      <c r="R13" s="124"/>
    </row>
    <row r="14" spans="1:19" x14ac:dyDescent="0.2">
      <c r="A14" s="99"/>
      <c r="B14" s="102"/>
      <c r="C14" s="101"/>
      <c r="D14" s="95" t="s">
        <v>78</v>
      </c>
      <c r="E14" s="99"/>
      <c r="F14" s="98"/>
      <c r="G14" s="98"/>
      <c r="H14" s="98"/>
      <c r="I14" s="95"/>
      <c r="J14" s="175" t="s">
        <v>188</v>
      </c>
      <c r="K14" s="176"/>
      <c r="L14" s="5" t="s">
        <v>139</v>
      </c>
      <c r="M14" s="98"/>
      <c r="N14" s="109" t="s">
        <v>145</v>
      </c>
      <c r="O14" s="108"/>
      <c r="P14" s="107">
        <f>187.278*5.56</f>
        <v>1041.26568</v>
      </c>
      <c r="Q14" s="98"/>
    </row>
    <row r="15" spans="1:19" x14ac:dyDescent="0.2">
      <c r="A15" s="99"/>
      <c r="B15" s="102"/>
      <c r="C15" s="101"/>
      <c r="D15" s="95" t="s">
        <v>187</v>
      </c>
      <c r="E15" s="99"/>
      <c r="F15" s="98"/>
      <c r="G15" s="98"/>
      <c r="H15" s="98"/>
      <c r="I15" s="95"/>
      <c r="J15" s="175" t="s">
        <v>186</v>
      </c>
      <c r="K15" s="176"/>
      <c r="L15" s="5" t="s">
        <v>139</v>
      </c>
      <c r="M15" s="98"/>
      <c r="N15" s="109" t="s">
        <v>138</v>
      </c>
      <c r="O15" s="108"/>
      <c r="P15" s="107">
        <f>20.28*5.56</f>
        <v>112.7568</v>
      </c>
      <c r="Q15" s="98"/>
    </row>
    <row r="16" spans="1:19" outlineLevel="1" x14ac:dyDescent="0.2">
      <c r="A16" s="99"/>
      <c r="B16" s="102"/>
      <c r="C16" s="101"/>
      <c r="D16" s="95" t="s">
        <v>49</v>
      </c>
      <c r="E16" s="99"/>
      <c r="F16" s="98"/>
      <c r="G16" s="98"/>
      <c r="H16" s="98"/>
      <c r="I16" s="95"/>
      <c r="J16" s="175" t="s">
        <v>185</v>
      </c>
      <c r="K16" s="176"/>
      <c r="L16" s="5" t="s">
        <v>50</v>
      </c>
      <c r="M16" s="98"/>
      <c r="N16" s="109"/>
      <c r="O16" s="108"/>
      <c r="P16" s="107"/>
      <c r="Q16" s="98"/>
    </row>
    <row r="17" spans="1:17" x14ac:dyDescent="0.2">
      <c r="A17" s="99"/>
      <c r="B17" s="102"/>
      <c r="C17" s="101"/>
      <c r="D17" s="103" t="s">
        <v>136</v>
      </c>
      <c r="E17" s="99"/>
      <c r="F17" s="98"/>
      <c r="G17" s="98"/>
      <c r="H17" s="98"/>
      <c r="I17" s="98"/>
      <c r="J17" s="125"/>
      <c r="K17" s="98"/>
      <c r="L17" s="98"/>
      <c r="M17" s="98"/>
      <c r="N17" s="109"/>
      <c r="O17" s="108"/>
      <c r="P17" s="107"/>
      <c r="Q17" s="98"/>
    </row>
    <row r="19" spans="1:17" ht="18" customHeight="1" x14ac:dyDescent="0.2">
      <c r="A19" s="161" t="s">
        <v>23</v>
      </c>
      <c r="B19" s="171" t="s">
        <v>184</v>
      </c>
      <c r="C19" s="161" t="s">
        <v>134</v>
      </c>
      <c r="D19" s="161" t="s">
        <v>24</v>
      </c>
      <c r="E19" s="161" t="s">
        <v>25</v>
      </c>
      <c r="F19" s="161" t="s">
        <v>133</v>
      </c>
      <c r="G19" s="165"/>
      <c r="H19" s="165"/>
      <c r="I19" s="165"/>
      <c r="J19" s="161" t="s">
        <v>132</v>
      </c>
      <c r="K19" s="165"/>
      <c r="L19" s="165"/>
      <c r="M19" s="165"/>
      <c r="N19" s="161" t="s">
        <v>131</v>
      </c>
      <c r="O19" s="161" t="s">
        <v>130</v>
      </c>
      <c r="P19" s="161" t="s">
        <v>183</v>
      </c>
      <c r="Q19" s="161" t="s">
        <v>182</v>
      </c>
    </row>
    <row r="20" spans="1:17" ht="15.75" customHeight="1" x14ac:dyDescent="0.2">
      <c r="A20" s="165"/>
      <c r="B20" s="172"/>
      <c r="C20" s="170"/>
      <c r="D20" s="161"/>
      <c r="E20" s="165"/>
      <c r="F20" s="161" t="s">
        <v>26</v>
      </c>
      <c r="G20" s="161" t="s">
        <v>127</v>
      </c>
      <c r="H20" s="165"/>
      <c r="I20" s="165"/>
      <c r="J20" s="163" t="s">
        <v>26</v>
      </c>
      <c r="K20" s="161" t="s">
        <v>127</v>
      </c>
      <c r="L20" s="165"/>
      <c r="M20" s="165"/>
      <c r="N20" s="161"/>
      <c r="O20" s="161"/>
      <c r="P20" s="161"/>
      <c r="Q20" s="161"/>
    </row>
    <row r="21" spans="1:17" ht="15.75" customHeight="1" x14ac:dyDescent="0.2">
      <c r="A21" s="165"/>
      <c r="B21" s="172"/>
      <c r="C21" s="170"/>
      <c r="D21" s="161"/>
      <c r="E21" s="165"/>
      <c r="F21" s="165"/>
      <c r="G21" s="147" t="s">
        <v>126</v>
      </c>
      <c r="H21" s="147" t="s">
        <v>125</v>
      </c>
      <c r="I21" s="147" t="s">
        <v>124</v>
      </c>
      <c r="J21" s="164"/>
      <c r="K21" s="147" t="s">
        <v>126</v>
      </c>
      <c r="L21" s="147" t="s">
        <v>125</v>
      </c>
      <c r="M21" s="147" t="s">
        <v>124</v>
      </c>
      <c r="N21" s="161"/>
      <c r="O21" s="161"/>
      <c r="P21" s="161"/>
      <c r="Q21" s="161"/>
    </row>
    <row r="22" spans="1:17" x14ac:dyDescent="0.2">
      <c r="A22" s="6">
        <v>1</v>
      </c>
      <c r="B22" s="148">
        <v>2</v>
      </c>
      <c r="C22" s="147">
        <v>3</v>
      </c>
      <c r="D22" s="147">
        <v>4</v>
      </c>
      <c r="E22" s="6">
        <v>5</v>
      </c>
      <c r="F22" s="149">
        <v>6</v>
      </c>
      <c r="G22" s="149">
        <v>7</v>
      </c>
      <c r="H22" s="149">
        <v>8</v>
      </c>
      <c r="I22" s="149">
        <v>9</v>
      </c>
      <c r="J22" s="150">
        <v>10</v>
      </c>
      <c r="K22" s="149">
        <v>11</v>
      </c>
      <c r="L22" s="149">
        <v>12</v>
      </c>
      <c r="M22" s="149">
        <v>13</v>
      </c>
      <c r="N22" s="149">
        <v>14</v>
      </c>
      <c r="O22" s="149">
        <v>15</v>
      </c>
      <c r="P22" s="149">
        <v>16</v>
      </c>
      <c r="Q22" s="149">
        <v>17</v>
      </c>
    </row>
    <row r="23" spans="1:17" x14ac:dyDescent="0.2">
      <c r="A23" s="166" t="s">
        <v>123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167"/>
    </row>
    <row r="24" spans="1:17" ht="51" x14ac:dyDescent="0.2">
      <c r="A24" s="6">
        <v>1</v>
      </c>
      <c r="B24" s="92" t="s">
        <v>181</v>
      </c>
      <c r="C24" s="146" t="s">
        <v>180</v>
      </c>
      <c r="D24" s="91" t="s">
        <v>30</v>
      </c>
      <c r="E24" s="97">
        <v>10</v>
      </c>
      <c r="F24" s="89">
        <v>336.38</v>
      </c>
      <c r="G24" s="12"/>
      <c r="H24" s="12"/>
      <c r="I24" s="12"/>
      <c r="J24" s="129">
        <v>3364</v>
      </c>
      <c r="K24" s="12"/>
      <c r="L24" s="12"/>
      <c r="M24" s="12"/>
      <c r="N24" s="12"/>
      <c r="O24" s="12"/>
      <c r="P24" s="12"/>
      <c r="Q24" s="12"/>
    </row>
    <row r="25" spans="1:17" ht="48" x14ac:dyDescent="0.2">
      <c r="A25" s="6">
        <v>2</v>
      </c>
      <c r="B25" s="92" t="s">
        <v>179</v>
      </c>
      <c r="C25" s="146" t="s">
        <v>178</v>
      </c>
      <c r="D25" s="91" t="s">
        <v>29</v>
      </c>
      <c r="E25" s="97">
        <v>10</v>
      </c>
      <c r="F25" s="89">
        <v>160.78</v>
      </c>
      <c r="G25" s="89">
        <v>43.86</v>
      </c>
      <c r="H25" s="89">
        <v>2.36</v>
      </c>
      <c r="I25" s="12"/>
      <c r="J25" s="129">
        <v>1608</v>
      </c>
      <c r="K25" s="12">
        <v>439</v>
      </c>
      <c r="L25" s="12">
        <v>24</v>
      </c>
      <c r="M25" s="12"/>
      <c r="N25" s="12">
        <v>3.31</v>
      </c>
      <c r="O25" s="12">
        <v>33.1</v>
      </c>
      <c r="P25" s="12"/>
      <c r="Q25" s="12"/>
    </row>
    <row r="26" spans="1:17" ht="51" x14ac:dyDescent="0.2">
      <c r="A26" s="6">
        <v>3</v>
      </c>
      <c r="B26" s="92" t="s">
        <v>177</v>
      </c>
      <c r="C26" s="146" t="s">
        <v>176</v>
      </c>
      <c r="D26" s="91" t="s">
        <v>30</v>
      </c>
      <c r="E26" s="97">
        <v>8</v>
      </c>
      <c r="F26" s="89">
        <v>588.54</v>
      </c>
      <c r="G26" s="12"/>
      <c r="H26" s="12"/>
      <c r="I26" s="12"/>
      <c r="J26" s="129">
        <v>4708</v>
      </c>
      <c r="K26" s="12"/>
      <c r="L26" s="12"/>
      <c r="M26" s="12"/>
      <c r="N26" s="12"/>
      <c r="O26" s="12"/>
      <c r="P26" s="12"/>
      <c r="Q26" s="12"/>
    </row>
    <row r="27" spans="1:17" ht="48" x14ac:dyDescent="0.2">
      <c r="A27" s="6">
        <v>4</v>
      </c>
      <c r="B27" s="92" t="s">
        <v>175</v>
      </c>
      <c r="C27" s="146" t="s">
        <v>174</v>
      </c>
      <c r="D27" s="91" t="s">
        <v>29</v>
      </c>
      <c r="E27" s="97">
        <v>8</v>
      </c>
      <c r="F27" s="89">
        <v>260.86</v>
      </c>
      <c r="G27" s="89">
        <v>69.28</v>
      </c>
      <c r="H27" s="89">
        <v>3.07</v>
      </c>
      <c r="I27" s="12"/>
      <c r="J27" s="129">
        <v>2087</v>
      </c>
      <c r="K27" s="12">
        <v>554</v>
      </c>
      <c r="L27" s="12">
        <v>25</v>
      </c>
      <c r="M27" s="12"/>
      <c r="N27" s="12">
        <v>5.17</v>
      </c>
      <c r="O27" s="12">
        <v>41.36</v>
      </c>
      <c r="P27" s="12"/>
      <c r="Q27" s="12"/>
    </row>
    <row r="28" spans="1:17" ht="60" x14ac:dyDescent="0.2">
      <c r="A28" s="6">
        <v>5</v>
      </c>
      <c r="B28" s="92" t="s">
        <v>99</v>
      </c>
      <c r="C28" s="146" t="s">
        <v>98</v>
      </c>
      <c r="D28" s="91" t="s">
        <v>35</v>
      </c>
      <c r="E28" s="97">
        <v>100</v>
      </c>
      <c r="F28" s="89">
        <v>14.72</v>
      </c>
      <c r="G28" s="12"/>
      <c r="H28" s="12"/>
      <c r="I28" s="12"/>
      <c r="J28" s="129">
        <v>1472</v>
      </c>
      <c r="K28" s="12"/>
      <c r="L28" s="12"/>
      <c r="M28" s="12"/>
      <c r="N28" s="12"/>
      <c r="O28" s="12"/>
      <c r="P28" s="12"/>
      <c r="Q28" s="12"/>
    </row>
    <row r="29" spans="1:17" ht="24" customHeight="1" x14ac:dyDescent="0.2">
      <c r="A29" s="6">
        <v>6</v>
      </c>
      <c r="B29" s="92" t="s">
        <v>114</v>
      </c>
      <c r="C29" s="146" t="s">
        <v>113</v>
      </c>
      <c r="D29" s="91" t="s">
        <v>34</v>
      </c>
      <c r="E29" s="90">
        <v>1</v>
      </c>
      <c r="F29" s="89">
        <v>2527.1999999999998</v>
      </c>
      <c r="G29" s="89">
        <v>408.1</v>
      </c>
      <c r="H29" s="89">
        <v>897.93</v>
      </c>
      <c r="I29" s="89">
        <v>320.97000000000003</v>
      </c>
      <c r="J29" s="129">
        <v>2527</v>
      </c>
      <c r="K29" s="12">
        <v>408</v>
      </c>
      <c r="L29" s="12">
        <v>898</v>
      </c>
      <c r="M29" s="12">
        <v>321</v>
      </c>
      <c r="N29" s="12">
        <v>30.8</v>
      </c>
      <c r="O29" s="12">
        <v>30.8</v>
      </c>
      <c r="P29" s="12">
        <v>20.47</v>
      </c>
      <c r="Q29" s="12">
        <v>20.47</v>
      </c>
    </row>
    <row r="30" spans="1:17" ht="60" customHeight="1" x14ac:dyDescent="0.2">
      <c r="A30" s="6">
        <v>7</v>
      </c>
      <c r="B30" s="92" t="s">
        <v>173</v>
      </c>
      <c r="C30" s="146" t="s">
        <v>172</v>
      </c>
      <c r="D30" s="91" t="s">
        <v>76</v>
      </c>
      <c r="E30" s="90">
        <v>25.58</v>
      </c>
      <c r="F30" s="89">
        <v>3072.43</v>
      </c>
      <c r="G30" s="89">
        <v>237.6</v>
      </c>
      <c r="H30" s="89">
        <v>1497.69</v>
      </c>
      <c r="I30" s="89">
        <v>168.84</v>
      </c>
      <c r="J30" s="129">
        <v>78593</v>
      </c>
      <c r="K30" s="12">
        <v>6078</v>
      </c>
      <c r="L30" s="12">
        <v>38311</v>
      </c>
      <c r="M30" s="12">
        <v>4319</v>
      </c>
      <c r="N30" s="12">
        <v>17.54</v>
      </c>
      <c r="O30" s="12">
        <v>448.67</v>
      </c>
      <c r="P30" s="12">
        <v>9.5500000000000007</v>
      </c>
      <c r="Q30" s="12">
        <v>244.29</v>
      </c>
    </row>
    <row r="31" spans="1:17" ht="24" x14ac:dyDescent="0.2">
      <c r="A31" s="6">
        <v>8</v>
      </c>
      <c r="B31" s="92" t="s">
        <v>118</v>
      </c>
      <c r="C31" s="146" t="s">
        <v>117</v>
      </c>
      <c r="D31" s="91" t="s">
        <v>76</v>
      </c>
      <c r="E31" s="90">
        <v>2.16</v>
      </c>
      <c r="F31" s="89">
        <v>798.84</v>
      </c>
      <c r="G31" s="89">
        <v>168.02</v>
      </c>
      <c r="H31" s="89">
        <v>544.80999999999995</v>
      </c>
      <c r="I31" s="89">
        <v>57.87</v>
      </c>
      <c r="J31" s="129">
        <v>1725</v>
      </c>
      <c r="K31" s="12">
        <v>363</v>
      </c>
      <c r="L31" s="12">
        <v>1177</v>
      </c>
      <c r="M31" s="12">
        <v>125</v>
      </c>
      <c r="N31" s="12">
        <v>12.4</v>
      </c>
      <c r="O31" s="12">
        <v>26.78</v>
      </c>
      <c r="P31" s="12">
        <v>3.39</v>
      </c>
      <c r="Q31" s="12">
        <v>7.32</v>
      </c>
    </row>
    <row r="32" spans="1:17" ht="36" x14ac:dyDescent="0.2">
      <c r="A32" s="6">
        <v>9</v>
      </c>
      <c r="B32" s="92" t="s">
        <v>112</v>
      </c>
      <c r="C32" s="146" t="s">
        <v>111</v>
      </c>
      <c r="D32" s="91" t="s">
        <v>29</v>
      </c>
      <c r="E32" s="90">
        <v>64</v>
      </c>
      <c r="F32" s="89">
        <v>38.4</v>
      </c>
      <c r="G32" s="89">
        <v>3.52</v>
      </c>
      <c r="H32" s="89">
        <v>2.92</v>
      </c>
      <c r="I32" s="89">
        <v>0.18</v>
      </c>
      <c r="J32" s="129">
        <v>2458</v>
      </c>
      <c r="K32" s="12">
        <v>225</v>
      </c>
      <c r="L32" s="12">
        <v>187</v>
      </c>
      <c r="M32" s="12">
        <v>12</v>
      </c>
      <c r="N32" s="12">
        <v>0.26</v>
      </c>
      <c r="O32" s="12">
        <v>16.64</v>
      </c>
      <c r="P32" s="12">
        <v>0.01</v>
      </c>
      <c r="Q32" s="12">
        <v>0.64</v>
      </c>
    </row>
    <row r="33" spans="1:17" ht="36" x14ac:dyDescent="0.2">
      <c r="A33" s="6">
        <v>10</v>
      </c>
      <c r="B33" s="92" t="s">
        <v>171</v>
      </c>
      <c r="C33" s="146" t="s">
        <v>170</v>
      </c>
      <c r="D33" s="91" t="s">
        <v>29</v>
      </c>
      <c r="E33" s="90">
        <v>10</v>
      </c>
      <c r="F33" s="89">
        <v>44.11</v>
      </c>
      <c r="G33" s="89">
        <v>7.05</v>
      </c>
      <c r="H33" s="89">
        <v>2.92</v>
      </c>
      <c r="I33" s="89">
        <v>0.18</v>
      </c>
      <c r="J33" s="129">
        <v>441</v>
      </c>
      <c r="K33" s="12">
        <v>71</v>
      </c>
      <c r="L33" s="12">
        <v>29</v>
      </c>
      <c r="M33" s="12">
        <v>2</v>
      </c>
      <c r="N33" s="12">
        <v>0.52</v>
      </c>
      <c r="O33" s="12">
        <v>5.2</v>
      </c>
      <c r="P33" s="12">
        <v>0.01</v>
      </c>
      <c r="Q33" s="12">
        <v>0.1</v>
      </c>
    </row>
    <row r="34" spans="1:17" ht="36" x14ac:dyDescent="0.2">
      <c r="A34" s="6">
        <v>11</v>
      </c>
      <c r="B34" s="92" t="s">
        <v>169</v>
      </c>
      <c r="C34" s="146" t="s">
        <v>168</v>
      </c>
      <c r="D34" s="91" t="s">
        <v>29</v>
      </c>
      <c r="E34" s="90">
        <v>34</v>
      </c>
      <c r="F34" s="89">
        <v>46.46</v>
      </c>
      <c r="G34" s="89">
        <v>9.35</v>
      </c>
      <c r="H34" s="89">
        <v>2.92</v>
      </c>
      <c r="I34" s="89">
        <v>0.18</v>
      </c>
      <c r="J34" s="129">
        <v>1580</v>
      </c>
      <c r="K34" s="12">
        <v>318</v>
      </c>
      <c r="L34" s="12">
        <v>99</v>
      </c>
      <c r="M34" s="12">
        <v>6</v>
      </c>
      <c r="N34" s="12">
        <v>0.69</v>
      </c>
      <c r="O34" s="12">
        <v>23.46</v>
      </c>
      <c r="P34" s="12">
        <v>0.01</v>
      </c>
      <c r="Q34" s="12">
        <v>0.34</v>
      </c>
    </row>
    <row r="35" spans="1:17" ht="24" x14ac:dyDescent="0.2">
      <c r="A35" s="6">
        <v>12</v>
      </c>
      <c r="B35" s="92" t="s">
        <v>110</v>
      </c>
      <c r="C35" s="146" t="s">
        <v>109</v>
      </c>
      <c r="D35" s="91" t="s">
        <v>32</v>
      </c>
      <c r="E35" s="90">
        <v>7.14</v>
      </c>
      <c r="F35" s="89">
        <v>165.85</v>
      </c>
      <c r="G35" s="89">
        <v>162.6</v>
      </c>
      <c r="H35" s="12"/>
      <c r="I35" s="12"/>
      <c r="J35" s="129">
        <v>1184</v>
      </c>
      <c r="K35" s="12">
        <v>1161</v>
      </c>
      <c r="L35" s="12"/>
      <c r="M35" s="12"/>
      <c r="N35" s="12">
        <v>12</v>
      </c>
      <c r="O35" s="12">
        <v>85.68</v>
      </c>
      <c r="P35" s="12"/>
      <c r="Q35" s="12"/>
    </row>
    <row r="36" spans="1:17" ht="36" x14ac:dyDescent="0.2">
      <c r="A36" s="6">
        <v>13</v>
      </c>
      <c r="B36" s="92" t="s">
        <v>106</v>
      </c>
      <c r="C36" s="146" t="s">
        <v>167</v>
      </c>
      <c r="D36" s="91" t="s">
        <v>77</v>
      </c>
      <c r="E36" s="90">
        <v>1.85</v>
      </c>
      <c r="F36" s="89">
        <v>9828.9599999999991</v>
      </c>
      <c r="G36" s="12"/>
      <c r="H36" s="12"/>
      <c r="I36" s="12"/>
      <c r="J36" s="129">
        <v>18184</v>
      </c>
      <c r="K36" s="12"/>
      <c r="L36" s="12"/>
      <c r="M36" s="12"/>
      <c r="N36" s="12"/>
      <c r="O36" s="12"/>
      <c r="P36" s="12"/>
      <c r="Q36" s="12"/>
    </row>
    <row r="37" spans="1:17" ht="36" x14ac:dyDescent="0.2">
      <c r="A37" s="6">
        <v>14</v>
      </c>
      <c r="B37" s="92" t="s">
        <v>106</v>
      </c>
      <c r="C37" s="146" t="s">
        <v>166</v>
      </c>
      <c r="D37" s="91" t="s">
        <v>77</v>
      </c>
      <c r="E37" s="90">
        <v>0.18</v>
      </c>
      <c r="F37" s="89">
        <v>7253.7</v>
      </c>
      <c r="G37" s="12"/>
      <c r="H37" s="12"/>
      <c r="I37" s="12"/>
      <c r="J37" s="129">
        <v>1306</v>
      </c>
      <c r="K37" s="12"/>
      <c r="L37" s="12"/>
      <c r="M37" s="12"/>
      <c r="N37" s="12"/>
      <c r="O37" s="12"/>
      <c r="P37" s="12"/>
      <c r="Q37" s="12"/>
    </row>
    <row r="38" spans="1:17" ht="36" x14ac:dyDescent="0.2">
      <c r="A38" s="6">
        <v>15</v>
      </c>
      <c r="B38" s="92" t="s">
        <v>106</v>
      </c>
      <c r="C38" s="146" t="s">
        <v>165</v>
      </c>
      <c r="D38" s="91" t="s">
        <v>77</v>
      </c>
      <c r="E38" s="90">
        <v>0.08</v>
      </c>
      <c r="F38" s="89">
        <v>9207.8799999999992</v>
      </c>
      <c r="G38" s="12"/>
      <c r="H38" s="12"/>
      <c r="I38" s="12"/>
      <c r="J38" s="129">
        <v>737</v>
      </c>
      <c r="K38" s="12"/>
      <c r="L38" s="12"/>
      <c r="M38" s="12"/>
      <c r="N38" s="12"/>
      <c r="O38" s="12"/>
      <c r="P38" s="12"/>
      <c r="Q38" s="12"/>
    </row>
    <row r="39" spans="1:17" ht="36" x14ac:dyDescent="0.2">
      <c r="A39" s="6">
        <v>16</v>
      </c>
      <c r="B39" s="92" t="s">
        <v>106</v>
      </c>
      <c r="C39" s="146" t="s">
        <v>164</v>
      </c>
      <c r="D39" s="91" t="s">
        <v>77</v>
      </c>
      <c r="E39" s="90">
        <v>0.88</v>
      </c>
      <c r="F39" s="89">
        <v>15581.22</v>
      </c>
      <c r="G39" s="12"/>
      <c r="H39" s="12"/>
      <c r="I39" s="12"/>
      <c r="J39" s="129">
        <v>13711</v>
      </c>
      <c r="K39" s="12"/>
      <c r="L39" s="12"/>
      <c r="M39" s="12"/>
      <c r="N39" s="12"/>
      <c r="O39" s="12"/>
      <c r="P39" s="12"/>
      <c r="Q39" s="12"/>
    </row>
    <row r="40" spans="1:17" x14ac:dyDescent="0.2">
      <c r="A40" s="168" t="s">
        <v>36</v>
      </c>
      <c r="B40" s="167"/>
      <c r="C40" s="167"/>
      <c r="D40" s="167"/>
      <c r="E40" s="167"/>
      <c r="F40" s="167"/>
      <c r="G40" s="167"/>
      <c r="H40" s="167"/>
      <c r="I40" s="167"/>
      <c r="J40" s="130">
        <v>135685</v>
      </c>
      <c r="K40" s="89">
        <v>9617</v>
      </c>
      <c r="L40" s="89">
        <v>40750</v>
      </c>
      <c r="M40" s="89">
        <v>4785</v>
      </c>
      <c r="N40" s="12"/>
      <c r="O40" s="89">
        <v>711.69</v>
      </c>
      <c r="P40" s="12"/>
      <c r="Q40" s="89">
        <v>273.16000000000003</v>
      </c>
    </row>
    <row r="41" spans="1:17" x14ac:dyDescent="0.2">
      <c r="A41" s="168" t="s">
        <v>37</v>
      </c>
      <c r="B41" s="167"/>
      <c r="C41" s="167"/>
      <c r="D41" s="167"/>
      <c r="E41" s="167"/>
      <c r="F41" s="167"/>
      <c r="G41" s="167"/>
      <c r="H41" s="167"/>
      <c r="I41" s="167"/>
      <c r="J41" s="130">
        <v>154830</v>
      </c>
      <c r="K41" s="89">
        <v>13542</v>
      </c>
      <c r="L41" s="89">
        <v>55291</v>
      </c>
      <c r="M41" s="89">
        <v>6738</v>
      </c>
      <c r="N41" s="12"/>
      <c r="O41" s="89">
        <v>960.78</v>
      </c>
      <c r="P41" s="12"/>
      <c r="Q41" s="89">
        <v>368.77</v>
      </c>
    </row>
    <row r="42" spans="1:17" x14ac:dyDescent="0.2">
      <c r="A42" s="168" t="s">
        <v>86</v>
      </c>
      <c r="B42" s="167"/>
      <c r="C42" s="167"/>
      <c r="D42" s="167"/>
      <c r="E42" s="167"/>
      <c r="F42" s="167"/>
      <c r="G42" s="167"/>
      <c r="H42" s="167"/>
      <c r="I42" s="167"/>
      <c r="J42" s="129"/>
      <c r="K42" s="12"/>
      <c r="L42" s="12"/>
      <c r="M42" s="12"/>
      <c r="N42" s="12"/>
      <c r="O42" s="12"/>
      <c r="P42" s="12"/>
      <c r="Q42" s="12"/>
    </row>
    <row r="43" spans="1:17" x14ac:dyDescent="0.2">
      <c r="A43" s="168" t="s">
        <v>163</v>
      </c>
      <c r="B43" s="167"/>
      <c r="C43" s="167"/>
      <c r="D43" s="167"/>
      <c r="E43" s="167"/>
      <c r="F43" s="167"/>
      <c r="G43" s="167"/>
      <c r="H43" s="167"/>
      <c r="I43" s="167"/>
      <c r="J43" s="130">
        <v>620</v>
      </c>
      <c r="K43" s="89">
        <v>414</v>
      </c>
      <c r="L43" s="89">
        <v>206</v>
      </c>
      <c r="M43" s="89">
        <v>206</v>
      </c>
      <c r="N43" s="12"/>
      <c r="O43" s="12"/>
      <c r="P43" s="12"/>
      <c r="Q43" s="12"/>
    </row>
    <row r="44" spans="1:17" ht="15" customHeight="1" x14ac:dyDescent="0.2">
      <c r="A44" s="168" t="s">
        <v>162</v>
      </c>
      <c r="B44" s="167"/>
      <c r="C44" s="167"/>
      <c r="D44" s="167"/>
      <c r="E44" s="167"/>
      <c r="F44" s="167"/>
      <c r="G44" s="167"/>
      <c r="H44" s="167"/>
      <c r="I44" s="167"/>
      <c r="J44" s="130">
        <v>679</v>
      </c>
      <c r="K44" s="12"/>
      <c r="L44" s="12"/>
      <c r="M44" s="12"/>
      <c r="N44" s="12"/>
      <c r="O44" s="12"/>
      <c r="P44" s="12"/>
      <c r="Q44" s="12"/>
    </row>
    <row r="45" spans="1:17" ht="20.45" customHeight="1" x14ac:dyDescent="0.2">
      <c r="A45" s="168" t="s">
        <v>161</v>
      </c>
      <c r="B45" s="167"/>
      <c r="C45" s="167"/>
      <c r="D45" s="167"/>
      <c r="E45" s="167"/>
      <c r="F45" s="167"/>
      <c r="G45" s="167"/>
      <c r="H45" s="167"/>
      <c r="I45" s="167"/>
      <c r="J45" s="130">
        <v>17846</v>
      </c>
      <c r="K45" s="89">
        <v>3511</v>
      </c>
      <c r="L45" s="89">
        <v>14335</v>
      </c>
      <c r="M45" s="89">
        <v>1747</v>
      </c>
      <c r="N45" s="12"/>
      <c r="O45" s="89">
        <v>249.0915</v>
      </c>
      <c r="P45" s="12"/>
      <c r="Q45" s="89">
        <v>95.605999999999995</v>
      </c>
    </row>
    <row r="46" spans="1:17" x14ac:dyDescent="0.2">
      <c r="A46" s="168" t="s">
        <v>38</v>
      </c>
      <c r="B46" s="167"/>
      <c r="C46" s="167"/>
      <c r="D46" s="167"/>
      <c r="E46" s="167"/>
      <c r="F46" s="167"/>
      <c r="G46" s="167"/>
      <c r="H46" s="167"/>
      <c r="I46" s="167"/>
      <c r="J46" s="130">
        <v>19266</v>
      </c>
      <c r="K46" s="12"/>
      <c r="L46" s="12"/>
      <c r="M46" s="12"/>
      <c r="N46" s="12"/>
      <c r="O46" s="12"/>
      <c r="P46" s="12"/>
      <c r="Q46" s="12"/>
    </row>
    <row r="47" spans="1:17" x14ac:dyDescent="0.2">
      <c r="A47" s="168" t="s">
        <v>86</v>
      </c>
      <c r="B47" s="167"/>
      <c r="C47" s="167"/>
      <c r="D47" s="167"/>
      <c r="E47" s="167"/>
      <c r="F47" s="167"/>
      <c r="G47" s="167"/>
      <c r="H47" s="167"/>
      <c r="I47" s="167"/>
      <c r="J47" s="129"/>
      <c r="K47" s="12"/>
      <c r="L47" s="12"/>
      <c r="M47" s="12"/>
      <c r="N47" s="12"/>
      <c r="O47" s="12"/>
      <c r="P47" s="12"/>
      <c r="Q47" s="12"/>
    </row>
    <row r="48" spans="1:17" x14ac:dyDescent="0.2">
      <c r="A48" s="168" t="s">
        <v>160</v>
      </c>
      <c r="B48" s="167"/>
      <c r="C48" s="167"/>
      <c r="D48" s="167"/>
      <c r="E48" s="167"/>
      <c r="F48" s="167"/>
      <c r="G48" s="167"/>
      <c r="H48" s="167"/>
      <c r="I48" s="167"/>
      <c r="J48" s="130">
        <v>19266</v>
      </c>
      <c r="K48" s="12"/>
      <c r="L48" s="12"/>
      <c r="M48" s="12"/>
      <c r="N48" s="12"/>
      <c r="O48" s="12"/>
      <c r="P48" s="12"/>
      <c r="Q48" s="12"/>
    </row>
    <row r="49" spans="1:17" x14ac:dyDescent="0.2">
      <c r="A49" s="168" t="s">
        <v>39</v>
      </c>
      <c r="B49" s="167"/>
      <c r="C49" s="167"/>
      <c r="D49" s="167"/>
      <c r="E49" s="167"/>
      <c r="F49" s="167"/>
      <c r="G49" s="167"/>
      <c r="H49" s="167"/>
      <c r="I49" s="167"/>
      <c r="J49" s="130">
        <v>13182</v>
      </c>
      <c r="K49" s="12"/>
      <c r="L49" s="12"/>
      <c r="M49" s="12"/>
      <c r="N49" s="12"/>
      <c r="O49" s="12"/>
      <c r="P49" s="12"/>
      <c r="Q49" s="12"/>
    </row>
    <row r="50" spans="1:17" x14ac:dyDescent="0.2">
      <c r="A50" s="168" t="s">
        <v>86</v>
      </c>
      <c r="B50" s="167"/>
      <c r="C50" s="167"/>
      <c r="D50" s="167"/>
      <c r="E50" s="167"/>
      <c r="F50" s="167"/>
      <c r="G50" s="167"/>
      <c r="H50" s="167"/>
      <c r="I50" s="167"/>
      <c r="J50" s="129"/>
      <c r="K50" s="12"/>
      <c r="L50" s="12"/>
      <c r="M50" s="12"/>
      <c r="N50" s="12"/>
      <c r="O50" s="12"/>
      <c r="P50" s="12"/>
      <c r="Q50" s="12"/>
    </row>
    <row r="51" spans="1:17" x14ac:dyDescent="0.2">
      <c r="A51" s="168" t="s">
        <v>159</v>
      </c>
      <c r="B51" s="167"/>
      <c r="C51" s="167"/>
      <c r="D51" s="167"/>
      <c r="E51" s="167"/>
      <c r="F51" s="167"/>
      <c r="G51" s="167"/>
      <c r="H51" s="167"/>
      <c r="I51" s="167"/>
      <c r="J51" s="130">
        <v>13182</v>
      </c>
      <c r="K51" s="12"/>
      <c r="L51" s="12"/>
      <c r="M51" s="12"/>
      <c r="N51" s="12"/>
      <c r="O51" s="12"/>
      <c r="P51" s="12"/>
      <c r="Q51" s="12"/>
    </row>
    <row r="52" spans="1:17" x14ac:dyDescent="0.2">
      <c r="A52" s="173" t="s">
        <v>40</v>
      </c>
      <c r="B52" s="167"/>
      <c r="C52" s="167"/>
      <c r="D52" s="167"/>
      <c r="E52" s="167"/>
      <c r="F52" s="167"/>
      <c r="G52" s="167"/>
      <c r="H52" s="167"/>
      <c r="I52" s="167"/>
      <c r="J52" s="129"/>
      <c r="K52" s="12"/>
      <c r="L52" s="12"/>
      <c r="M52" s="12"/>
      <c r="N52" s="12"/>
      <c r="O52" s="12"/>
      <c r="P52" s="12"/>
      <c r="Q52" s="12"/>
    </row>
    <row r="53" spans="1:17" x14ac:dyDescent="0.2">
      <c r="A53" s="168" t="s">
        <v>41</v>
      </c>
      <c r="B53" s="167"/>
      <c r="C53" s="167"/>
      <c r="D53" s="167"/>
      <c r="E53" s="167"/>
      <c r="F53" s="167"/>
      <c r="G53" s="167"/>
      <c r="H53" s="167"/>
      <c r="I53" s="167"/>
      <c r="J53" s="130">
        <v>187278</v>
      </c>
      <c r="K53" s="12"/>
      <c r="L53" s="12"/>
      <c r="M53" s="12"/>
      <c r="N53" s="12"/>
      <c r="O53" s="89">
        <v>960.78</v>
      </c>
      <c r="P53" s="12"/>
      <c r="Q53" s="89">
        <v>368.77</v>
      </c>
    </row>
    <row r="54" spans="1:17" x14ac:dyDescent="0.2">
      <c r="A54" s="168" t="s">
        <v>42</v>
      </c>
      <c r="B54" s="167"/>
      <c r="C54" s="167"/>
      <c r="D54" s="167"/>
      <c r="E54" s="167"/>
      <c r="F54" s="167"/>
      <c r="G54" s="167"/>
      <c r="H54" s="167"/>
      <c r="I54" s="167"/>
      <c r="J54" s="129"/>
      <c r="K54" s="12"/>
      <c r="L54" s="12"/>
      <c r="M54" s="12"/>
      <c r="N54" s="12"/>
      <c r="O54" s="12"/>
      <c r="P54" s="12"/>
      <c r="Q54" s="12"/>
    </row>
    <row r="55" spans="1:17" x14ac:dyDescent="0.2">
      <c r="A55" s="168" t="s">
        <v>43</v>
      </c>
      <c r="B55" s="167"/>
      <c r="C55" s="167"/>
      <c r="D55" s="167"/>
      <c r="E55" s="167"/>
      <c r="F55" s="167"/>
      <c r="G55" s="167"/>
      <c r="H55" s="167"/>
      <c r="I55" s="167"/>
      <c r="J55" s="130">
        <v>85997</v>
      </c>
      <c r="K55" s="12"/>
      <c r="L55" s="12"/>
      <c r="M55" s="12"/>
      <c r="N55" s="12"/>
      <c r="O55" s="12"/>
      <c r="P55" s="12"/>
      <c r="Q55" s="12"/>
    </row>
    <row r="56" spans="1:17" x14ac:dyDescent="0.2">
      <c r="A56" s="168" t="s">
        <v>44</v>
      </c>
      <c r="B56" s="167"/>
      <c r="C56" s="167"/>
      <c r="D56" s="167"/>
      <c r="E56" s="167"/>
      <c r="F56" s="167"/>
      <c r="G56" s="167"/>
      <c r="H56" s="167"/>
      <c r="I56" s="167"/>
      <c r="J56" s="130">
        <f>55291-M41</f>
        <v>48553</v>
      </c>
      <c r="K56" s="12"/>
      <c r="L56" s="12"/>
      <c r="M56" s="12"/>
      <c r="N56" s="12"/>
      <c r="O56" s="12"/>
      <c r="P56" s="12"/>
      <c r="Q56" s="12"/>
    </row>
    <row r="57" spans="1:17" x14ac:dyDescent="0.2">
      <c r="A57" s="168" t="s">
        <v>45</v>
      </c>
      <c r="B57" s="167"/>
      <c r="C57" s="167"/>
      <c r="D57" s="167"/>
      <c r="E57" s="167"/>
      <c r="F57" s="167"/>
      <c r="G57" s="167"/>
      <c r="H57" s="167"/>
      <c r="I57" s="167"/>
      <c r="J57" s="130">
        <v>20280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168" t="s">
        <v>46</v>
      </c>
      <c r="B58" s="167"/>
      <c r="C58" s="167"/>
      <c r="D58" s="167"/>
      <c r="E58" s="167"/>
      <c r="F58" s="167"/>
      <c r="G58" s="167"/>
      <c r="H58" s="167"/>
      <c r="I58" s="167"/>
      <c r="J58" s="130">
        <v>19266</v>
      </c>
      <c r="K58" s="12"/>
      <c r="L58" s="12"/>
      <c r="M58" s="12"/>
      <c r="N58" s="12"/>
      <c r="O58" s="12"/>
      <c r="P58" s="12"/>
      <c r="Q58" s="12"/>
    </row>
    <row r="59" spans="1:17" x14ac:dyDescent="0.2">
      <c r="A59" s="168" t="s">
        <v>47</v>
      </c>
      <c r="B59" s="167"/>
      <c r="C59" s="167"/>
      <c r="D59" s="167"/>
      <c r="E59" s="167"/>
      <c r="F59" s="167"/>
      <c r="G59" s="167"/>
      <c r="H59" s="167"/>
      <c r="I59" s="167"/>
      <c r="J59" s="130">
        <v>13182</v>
      </c>
      <c r="K59" s="12"/>
      <c r="L59" s="12"/>
      <c r="M59" s="12"/>
      <c r="N59" s="12"/>
      <c r="O59" s="12"/>
      <c r="P59" s="12"/>
      <c r="Q59" s="12"/>
    </row>
    <row r="60" spans="1:17" x14ac:dyDescent="0.2">
      <c r="A60" s="173" t="s">
        <v>48</v>
      </c>
      <c r="B60" s="167"/>
      <c r="C60" s="167"/>
      <c r="D60" s="167"/>
      <c r="E60" s="167"/>
      <c r="F60" s="167"/>
      <c r="G60" s="167"/>
      <c r="H60" s="167"/>
      <c r="I60" s="167"/>
      <c r="J60" s="131">
        <f>SUM(J55:J59)</f>
        <v>187278</v>
      </c>
      <c r="K60" s="12"/>
      <c r="L60" s="12"/>
      <c r="M60" s="12"/>
      <c r="N60" s="12"/>
      <c r="O60" s="13">
        <v>960.78</v>
      </c>
      <c r="P60" s="12"/>
      <c r="Q60" s="13">
        <v>368.77</v>
      </c>
    </row>
    <row r="61" spans="1:17" ht="8.4499999999999993" customHeight="1" x14ac:dyDescent="0.2">
      <c r="F61" s="10"/>
      <c r="G61" s="10"/>
      <c r="H61" s="10"/>
      <c r="I61" s="10"/>
      <c r="J61" s="132"/>
      <c r="K61" s="10"/>
      <c r="L61" s="10"/>
      <c r="M61" s="10"/>
      <c r="N61" s="10"/>
      <c r="O61" s="10"/>
      <c r="P61" s="10"/>
      <c r="Q61" s="10"/>
    </row>
  </sheetData>
  <mergeCells count="41">
    <mergeCell ref="A60:I60"/>
    <mergeCell ref="J14:K14"/>
    <mergeCell ref="J15:K15"/>
    <mergeCell ref="J16:K16"/>
    <mergeCell ref="E1:I1"/>
    <mergeCell ref="A54:I54"/>
    <mergeCell ref="A55:I55"/>
    <mergeCell ref="A56:I56"/>
    <mergeCell ref="A57:I57"/>
    <mergeCell ref="A58:I58"/>
    <mergeCell ref="A41:I41"/>
    <mergeCell ref="A42:I42"/>
    <mergeCell ref="A43:I43"/>
    <mergeCell ref="A44:I44"/>
    <mergeCell ref="A59:I59"/>
    <mergeCell ref="A51:I51"/>
    <mergeCell ref="A52:I52"/>
    <mergeCell ref="A53:I53"/>
    <mergeCell ref="A45:I45"/>
    <mergeCell ref="A46:I46"/>
    <mergeCell ref="A47:I47"/>
    <mergeCell ref="A48:I48"/>
    <mergeCell ref="A49:I49"/>
    <mergeCell ref="A50:I50"/>
    <mergeCell ref="F20:F21"/>
    <mergeCell ref="F19:I19"/>
    <mergeCell ref="G20:I20"/>
    <mergeCell ref="A23:Q23"/>
    <mergeCell ref="A40:I40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</mergeCells>
  <pageMargins left="0.23622047244094491" right="0" top="0.39370078740157483" bottom="0.39370078740157483" header="0.19685039370078741" footer="0.1968503937007874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70"/>
  <sheetViews>
    <sheetView showGridLines="0" topLeftCell="A37" zoomScaleNormal="75" zoomScaleSheetLayoutView="75" workbookViewId="0">
      <selection activeCell="K70" sqref="K70"/>
    </sheetView>
  </sheetViews>
  <sheetFormatPr defaultColWidth="9.140625" defaultRowHeight="12.75" outlineLevelRow="2" x14ac:dyDescent="0.2"/>
  <cols>
    <col min="1" max="1" width="3.28515625" style="11" customWidth="1"/>
    <col min="2" max="2" width="15.42578125" style="1" customWidth="1"/>
    <col min="3" max="3" width="34.28515625" style="8" customWidth="1"/>
    <col min="4" max="4" width="7.7109375" style="7" customWidth="1"/>
    <col min="5" max="5" width="8.28515625" style="9" customWidth="1"/>
    <col min="6" max="6" width="7.7109375" style="3" customWidth="1"/>
    <col min="7" max="9" width="6.7109375" style="3" customWidth="1"/>
    <col min="10" max="10" width="7.7109375" style="133" customWidth="1"/>
    <col min="11" max="15" width="6.7109375" style="3" customWidth="1"/>
    <col min="16" max="16" width="9.140625" style="3" customWidth="1"/>
    <col min="17" max="17" width="6.7109375" style="3" customWidth="1"/>
    <col min="18" max="16384" width="9.140625" style="4"/>
  </cols>
  <sheetData>
    <row r="1" spans="1:19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125"/>
      <c r="K1" s="98"/>
      <c r="L1" s="98"/>
      <c r="M1" s="2" t="s">
        <v>28</v>
      </c>
      <c r="N1" s="98"/>
      <c r="O1" s="98"/>
      <c r="P1" s="98"/>
      <c r="Q1"/>
      <c r="R1"/>
    </row>
    <row r="2" spans="1:19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125"/>
      <c r="K2" s="98"/>
      <c r="L2" s="98"/>
      <c r="M2" s="5" t="s">
        <v>158</v>
      </c>
      <c r="N2" s="98"/>
      <c r="O2" s="98"/>
      <c r="P2" s="98"/>
      <c r="Q2"/>
      <c r="R2"/>
    </row>
    <row r="3" spans="1:19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125"/>
      <c r="K3" s="98"/>
      <c r="L3" s="5"/>
      <c r="M3" s="5" t="s">
        <v>157</v>
      </c>
      <c r="N3" s="98"/>
      <c r="O3" s="98"/>
      <c r="P3" s="98"/>
      <c r="Q3"/>
      <c r="R3"/>
    </row>
    <row r="4" spans="1:19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125"/>
      <c r="K4" s="98"/>
      <c r="L4" s="98"/>
      <c r="M4" s="5" t="s">
        <v>156</v>
      </c>
      <c r="N4" s="98"/>
      <c r="O4" s="98"/>
      <c r="P4" s="98"/>
      <c r="Q4"/>
      <c r="R4"/>
    </row>
    <row r="5" spans="1:19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125"/>
      <c r="K5" s="98"/>
      <c r="L5" s="98"/>
      <c r="M5" s="5" t="s">
        <v>154</v>
      </c>
      <c r="N5" s="98"/>
      <c r="O5" s="98"/>
      <c r="P5" s="98"/>
      <c r="Q5"/>
      <c r="R5"/>
    </row>
    <row r="6" spans="1:19" x14ac:dyDescent="0.2">
      <c r="A6" s="99"/>
      <c r="B6" s="102"/>
      <c r="C6" s="100"/>
      <c r="D6" s="4"/>
      <c r="E6" s="98"/>
      <c r="F6" s="98"/>
      <c r="G6" s="121" t="s">
        <v>246</v>
      </c>
      <c r="H6" s="121"/>
      <c r="I6" s="121"/>
      <c r="J6" s="125"/>
      <c r="K6" s="98"/>
      <c r="L6" s="98"/>
      <c r="M6" s="98"/>
      <c r="N6" s="98"/>
      <c r="O6" s="98"/>
      <c r="P6" s="98"/>
      <c r="Q6" s="4"/>
      <c r="R6"/>
    </row>
    <row r="7" spans="1:19" x14ac:dyDescent="0.2">
      <c r="A7" s="99"/>
      <c r="B7" s="102"/>
      <c r="C7" s="100"/>
      <c r="D7" s="4"/>
      <c r="E7" s="98"/>
      <c r="F7" s="98"/>
      <c r="G7" s="120" t="s">
        <v>245</v>
      </c>
      <c r="H7" s="99"/>
      <c r="I7" s="99"/>
      <c r="J7" s="125"/>
      <c r="K7" s="98"/>
      <c r="L7" s="98"/>
      <c r="M7" s="98"/>
      <c r="N7" s="98"/>
      <c r="O7" s="98"/>
      <c r="P7" s="98"/>
      <c r="Q7" s="4"/>
      <c r="R7"/>
    </row>
    <row r="8" spans="1:19" x14ac:dyDescent="0.2">
      <c r="A8" s="99"/>
      <c r="B8" s="102"/>
      <c r="C8" s="100"/>
      <c r="D8" s="4"/>
      <c r="E8" s="98"/>
      <c r="F8" s="98"/>
      <c r="G8" s="98"/>
      <c r="H8" s="98"/>
      <c r="I8" s="98"/>
      <c r="J8" s="125"/>
      <c r="K8" s="98"/>
      <c r="L8" s="98"/>
      <c r="M8" s="98"/>
      <c r="N8" s="98"/>
      <c r="O8" s="98"/>
      <c r="P8" s="98"/>
      <c r="Q8"/>
      <c r="R8"/>
      <c r="S8"/>
    </row>
    <row r="9" spans="1:19" x14ac:dyDescent="0.2">
      <c r="A9" s="99"/>
      <c r="B9" s="102"/>
      <c r="C9" s="117" t="s">
        <v>22</v>
      </c>
      <c r="D9" s="119" t="s">
        <v>151</v>
      </c>
      <c r="E9" s="118"/>
      <c r="F9" s="118"/>
      <c r="G9" s="118"/>
      <c r="H9" s="118"/>
      <c r="I9" s="118"/>
      <c r="J9" s="126"/>
      <c r="K9" s="118"/>
      <c r="L9" s="118"/>
      <c r="M9" s="118"/>
      <c r="N9" s="98"/>
      <c r="O9" s="98"/>
      <c r="P9" s="98"/>
      <c r="Q9"/>
      <c r="R9"/>
      <c r="S9"/>
    </row>
    <row r="10" spans="1:19" x14ac:dyDescent="0.2">
      <c r="A10" s="99"/>
      <c r="B10" s="102"/>
      <c r="C10" s="117"/>
      <c r="D10" s="95" t="s">
        <v>190</v>
      </c>
      <c r="E10" s="98"/>
      <c r="F10" s="98"/>
      <c r="G10" s="99"/>
      <c r="H10" s="98"/>
      <c r="I10" s="98"/>
      <c r="J10" s="125"/>
      <c r="K10" s="98"/>
      <c r="L10" s="98"/>
      <c r="M10" s="98"/>
      <c r="N10" s="98"/>
      <c r="O10" s="98"/>
      <c r="P10" s="98"/>
      <c r="Q10"/>
      <c r="R10"/>
      <c r="S10"/>
    </row>
    <row r="11" spans="1:19" x14ac:dyDescent="0.2">
      <c r="A11" s="99"/>
      <c r="B11" s="102"/>
      <c r="C11" s="100"/>
      <c r="D11" s="116"/>
      <c r="E11" s="114"/>
      <c r="F11" s="114"/>
      <c r="G11" s="115" t="s">
        <v>149</v>
      </c>
      <c r="H11" s="115"/>
      <c r="I11" s="115"/>
      <c r="J11" s="134"/>
      <c r="K11" s="113"/>
      <c r="L11" s="98"/>
      <c r="M11" s="98"/>
      <c r="N11" s="98"/>
      <c r="O11" s="98"/>
      <c r="P11" s="98"/>
      <c r="Q11"/>
      <c r="R11"/>
      <c r="S11"/>
    </row>
    <row r="12" spans="1:19" x14ac:dyDescent="0.2">
      <c r="A12" s="112"/>
      <c r="B12" s="111"/>
      <c r="C12" s="101"/>
      <c r="D12" s="100"/>
      <c r="E12" s="4"/>
      <c r="F12" s="98"/>
      <c r="G12" s="98"/>
      <c r="H12" s="98"/>
      <c r="I12" s="98"/>
      <c r="J12" s="125"/>
      <c r="K12" s="98"/>
      <c r="L12" s="98"/>
      <c r="M12" s="98"/>
      <c r="N12" s="98"/>
      <c r="O12" s="98"/>
      <c r="P12" s="98"/>
      <c r="Q12" s="98"/>
    </row>
    <row r="13" spans="1:19" ht="14.25" x14ac:dyDescent="0.2">
      <c r="A13" s="99"/>
      <c r="B13" s="102"/>
      <c r="C13" s="101"/>
      <c r="D13" s="95" t="s">
        <v>244</v>
      </c>
      <c r="E13" s="99"/>
      <c r="F13" s="98"/>
      <c r="G13" s="98"/>
      <c r="H13" s="98"/>
      <c r="I13" s="95"/>
      <c r="J13" s="128"/>
      <c r="K13" s="98"/>
      <c r="L13" s="98"/>
      <c r="M13" s="98"/>
      <c r="N13" s="110" t="s">
        <v>147</v>
      </c>
      <c r="O13" s="108"/>
      <c r="P13" s="108"/>
      <c r="Q13" s="98"/>
      <c r="R13" s="124"/>
    </row>
    <row r="14" spans="1:19" x14ac:dyDescent="0.2">
      <c r="A14" s="99"/>
      <c r="B14" s="102"/>
      <c r="C14" s="101"/>
      <c r="D14" s="95" t="s">
        <v>51</v>
      </c>
      <c r="E14" s="99"/>
      <c r="F14" s="98"/>
      <c r="G14" s="98"/>
      <c r="H14" s="98"/>
      <c r="I14" s="95"/>
      <c r="J14" s="175">
        <v>9.4939999999999998</v>
      </c>
      <c r="K14" s="176"/>
      <c r="L14" s="5" t="s">
        <v>139</v>
      </c>
      <c r="M14" s="98"/>
      <c r="N14" s="109" t="s">
        <v>145</v>
      </c>
      <c r="O14" s="108"/>
      <c r="P14" s="107">
        <f>P15+P16</f>
        <v>49.501379999999997</v>
      </c>
      <c r="Q14" s="98"/>
    </row>
    <row r="15" spans="1:19" outlineLevel="1" x14ac:dyDescent="0.2">
      <c r="A15" s="99"/>
      <c r="B15" s="102"/>
      <c r="C15" s="101"/>
      <c r="D15" s="95" t="s">
        <v>52</v>
      </c>
      <c r="E15" s="99"/>
      <c r="F15" s="98"/>
      <c r="G15" s="98"/>
      <c r="H15" s="98"/>
      <c r="I15" s="95"/>
      <c r="J15" s="175">
        <v>7.0960000000000001</v>
      </c>
      <c r="K15" s="176"/>
      <c r="L15" s="5" t="s">
        <v>139</v>
      </c>
      <c r="M15" s="98"/>
      <c r="N15" s="109" t="s">
        <v>138</v>
      </c>
      <c r="O15" s="108"/>
      <c r="P15" s="107">
        <f>7.096*5.56</f>
        <v>39.453759999999996</v>
      </c>
      <c r="Q15" s="98"/>
    </row>
    <row r="16" spans="1:19" outlineLevel="1" x14ac:dyDescent="0.2">
      <c r="A16" s="99"/>
      <c r="B16" s="102"/>
      <c r="C16" s="101"/>
      <c r="D16" s="95" t="s">
        <v>20</v>
      </c>
      <c r="E16" s="99"/>
      <c r="F16" s="98"/>
      <c r="G16" s="98"/>
      <c r="H16" s="98"/>
      <c r="I16" s="95"/>
      <c r="J16" s="175">
        <v>2.3980000000000001</v>
      </c>
      <c r="K16" s="176"/>
      <c r="L16" s="5" t="s">
        <v>139</v>
      </c>
      <c r="M16" s="98"/>
      <c r="N16" s="109" t="s">
        <v>142</v>
      </c>
      <c r="O16" s="108"/>
      <c r="P16" s="107">
        <f>4.19*2.398</f>
        <v>10.047620000000002</v>
      </c>
      <c r="Q16" s="98"/>
    </row>
    <row r="17" spans="1:17" x14ac:dyDescent="0.2">
      <c r="A17" s="99"/>
      <c r="B17" s="102"/>
      <c r="C17" s="101"/>
      <c r="D17" s="95" t="s">
        <v>187</v>
      </c>
      <c r="E17" s="99"/>
      <c r="F17" s="98"/>
      <c r="G17" s="98"/>
      <c r="H17" s="98"/>
      <c r="I17" s="95"/>
      <c r="J17" s="175" t="s">
        <v>243</v>
      </c>
      <c r="K17" s="176"/>
      <c r="L17" s="5" t="s">
        <v>139</v>
      </c>
      <c r="M17" s="98"/>
      <c r="N17" s="109" t="s">
        <v>138</v>
      </c>
      <c r="O17" s="108"/>
      <c r="P17" s="107">
        <f>1.457*5.56</f>
        <v>8.1009200000000003</v>
      </c>
      <c r="Q17" s="98"/>
    </row>
    <row r="18" spans="1:17" outlineLevel="1" x14ac:dyDescent="0.2">
      <c r="A18" s="99"/>
      <c r="B18" s="102"/>
      <c r="C18" s="101"/>
      <c r="D18" s="95" t="s">
        <v>49</v>
      </c>
      <c r="E18" s="99"/>
      <c r="F18" s="98"/>
      <c r="G18" s="98"/>
      <c r="H18" s="98"/>
      <c r="I18" s="95"/>
      <c r="J18" s="175" t="s">
        <v>242</v>
      </c>
      <c r="K18" s="176"/>
      <c r="L18" s="5" t="s">
        <v>50</v>
      </c>
      <c r="M18" s="98"/>
      <c r="N18" s="98"/>
      <c r="O18" s="98"/>
      <c r="P18" s="98"/>
      <c r="Q18" s="98"/>
    </row>
    <row r="19" spans="1:17" x14ac:dyDescent="0.2">
      <c r="A19" s="99"/>
      <c r="B19" s="102"/>
      <c r="C19" s="101"/>
      <c r="D19" s="103" t="s">
        <v>136</v>
      </c>
      <c r="E19" s="99"/>
      <c r="F19" s="98"/>
      <c r="G19" s="98"/>
      <c r="H19" s="98"/>
      <c r="I19" s="98"/>
      <c r="J19" s="125"/>
      <c r="K19" s="98"/>
      <c r="L19" s="98"/>
      <c r="M19" s="98"/>
      <c r="N19" s="98"/>
      <c r="O19" s="98"/>
      <c r="P19" s="98"/>
      <c r="Q19" s="98"/>
    </row>
    <row r="21" spans="1:17" ht="18" customHeight="1" x14ac:dyDescent="0.2">
      <c r="A21" s="161" t="s">
        <v>23</v>
      </c>
      <c r="B21" s="171" t="s">
        <v>184</v>
      </c>
      <c r="C21" s="161" t="s">
        <v>134</v>
      </c>
      <c r="D21" s="161" t="s">
        <v>24</v>
      </c>
      <c r="E21" s="161" t="s">
        <v>25</v>
      </c>
      <c r="F21" s="161" t="s">
        <v>133</v>
      </c>
      <c r="G21" s="165"/>
      <c r="H21" s="165"/>
      <c r="I21" s="165"/>
      <c r="J21" s="161" t="s">
        <v>132</v>
      </c>
      <c r="K21" s="165"/>
      <c r="L21" s="165"/>
      <c r="M21" s="165"/>
      <c r="N21" s="161" t="s">
        <v>131</v>
      </c>
      <c r="O21" s="161" t="s">
        <v>130</v>
      </c>
      <c r="P21" s="161" t="s">
        <v>183</v>
      </c>
      <c r="Q21" s="161" t="s">
        <v>182</v>
      </c>
    </row>
    <row r="22" spans="1:17" ht="15.75" customHeight="1" x14ac:dyDescent="0.2">
      <c r="A22" s="165"/>
      <c r="B22" s="172"/>
      <c r="C22" s="170"/>
      <c r="D22" s="161"/>
      <c r="E22" s="165"/>
      <c r="F22" s="161" t="s">
        <v>26</v>
      </c>
      <c r="G22" s="161" t="s">
        <v>127</v>
      </c>
      <c r="H22" s="165"/>
      <c r="I22" s="165"/>
      <c r="J22" s="163" t="s">
        <v>26</v>
      </c>
      <c r="K22" s="161" t="s">
        <v>127</v>
      </c>
      <c r="L22" s="165"/>
      <c r="M22" s="165"/>
      <c r="N22" s="161"/>
      <c r="O22" s="161"/>
      <c r="P22" s="161"/>
      <c r="Q22" s="161"/>
    </row>
    <row r="23" spans="1:17" ht="15.75" customHeight="1" x14ac:dyDescent="0.2">
      <c r="A23" s="165"/>
      <c r="B23" s="172"/>
      <c r="C23" s="170"/>
      <c r="D23" s="161"/>
      <c r="E23" s="165"/>
      <c r="F23" s="165"/>
      <c r="G23" s="147" t="s">
        <v>126</v>
      </c>
      <c r="H23" s="147" t="s">
        <v>125</v>
      </c>
      <c r="I23" s="147" t="s">
        <v>124</v>
      </c>
      <c r="J23" s="164"/>
      <c r="K23" s="147" t="s">
        <v>126</v>
      </c>
      <c r="L23" s="147" t="s">
        <v>125</v>
      </c>
      <c r="M23" s="147" t="s">
        <v>124</v>
      </c>
      <c r="N23" s="161"/>
      <c r="O23" s="161"/>
      <c r="P23" s="161"/>
      <c r="Q23" s="161"/>
    </row>
    <row r="24" spans="1:17" x14ac:dyDescent="0.2">
      <c r="A24" s="6">
        <v>1</v>
      </c>
      <c r="B24" s="148">
        <v>2</v>
      </c>
      <c r="C24" s="147">
        <v>3</v>
      </c>
      <c r="D24" s="147">
        <v>4</v>
      </c>
      <c r="E24" s="6">
        <v>5</v>
      </c>
      <c r="F24" s="149">
        <v>6</v>
      </c>
      <c r="G24" s="149">
        <v>7</v>
      </c>
      <c r="H24" s="149">
        <v>8</v>
      </c>
      <c r="I24" s="149">
        <v>9</v>
      </c>
      <c r="J24" s="150">
        <v>10</v>
      </c>
      <c r="K24" s="149">
        <v>11</v>
      </c>
      <c r="L24" s="149">
        <v>12</v>
      </c>
      <c r="M24" s="149">
        <v>13</v>
      </c>
      <c r="N24" s="149">
        <v>14</v>
      </c>
      <c r="O24" s="149">
        <v>15</v>
      </c>
      <c r="P24" s="149">
        <v>16</v>
      </c>
      <c r="Q24" s="149">
        <v>17</v>
      </c>
    </row>
    <row r="25" spans="1:17" x14ac:dyDescent="0.2">
      <c r="A25" s="166" t="s">
        <v>123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</row>
    <row r="26" spans="1:17" ht="63" x14ac:dyDescent="0.2">
      <c r="A26" s="6">
        <v>1</v>
      </c>
      <c r="B26" s="92" t="s">
        <v>241</v>
      </c>
      <c r="C26" s="146" t="s">
        <v>240</v>
      </c>
      <c r="D26" s="91" t="s">
        <v>30</v>
      </c>
      <c r="E26" s="97">
        <v>1</v>
      </c>
      <c r="F26" s="89">
        <v>1335.61</v>
      </c>
      <c r="G26" s="12"/>
      <c r="H26" s="12"/>
      <c r="I26" s="12"/>
      <c r="J26" s="129">
        <v>1336</v>
      </c>
      <c r="K26" s="12"/>
      <c r="L26" s="12"/>
      <c r="M26" s="12"/>
      <c r="N26" s="12"/>
      <c r="O26" s="12"/>
      <c r="P26" s="12"/>
      <c r="Q26" s="12"/>
    </row>
    <row r="27" spans="1:17" ht="24" x14ac:dyDescent="0.2">
      <c r="A27" s="6">
        <v>2</v>
      </c>
      <c r="B27" s="92" t="s">
        <v>239</v>
      </c>
      <c r="C27" s="146" t="s">
        <v>238</v>
      </c>
      <c r="D27" s="91" t="s">
        <v>29</v>
      </c>
      <c r="E27" s="97">
        <v>1</v>
      </c>
      <c r="F27" s="89">
        <v>256.7</v>
      </c>
      <c r="G27" s="89">
        <v>157.76</v>
      </c>
      <c r="H27" s="89">
        <v>33.83</v>
      </c>
      <c r="I27" s="89">
        <v>6.87</v>
      </c>
      <c r="J27" s="129">
        <v>257</v>
      </c>
      <c r="K27" s="12">
        <v>158</v>
      </c>
      <c r="L27" s="12">
        <v>34</v>
      </c>
      <c r="M27" s="12">
        <v>7</v>
      </c>
      <c r="N27" s="12">
        <v>10.1</v>
      </c>
      <c r="O27" s="12">
        <v>10.1</v>
      </c>
      <c r="P27" s="12">
        <v>0.44</v>
      </c>
      <c r="Q27" s="12">
        <v>0.44</v>
      </c>
    </row>
    <row r="28" spans="1:17" ht="52.15" customHeight="1" x14ac:dyDescent="0.2">
      <c r="A28" s="6">
        <v>3</v>
      </c>
      <c r="B28" s="92" t="s">
        <v>237</v>
      </c>
      <c r="C28" s="146" t="s">
        <v>236</v>
      </c>
      <c r="D28" s="91" t="s">
        <v>30</v>
      </c>
      <c r="E28" s="97">
        <v>2</v>
      </c>
      <c r="F28" s="89">
        <v>163.06</v>
      </c>
      <c r="G28" s="12"/>
      <c r="H28" s="12"/>
      <c r="I28" s="12"/>
      <c r="J28" s="129">
        <v>326</v>
      </c>
      <c r="K28" s="12"/>
      <c r="L28" s="12"/>
      <c r="M28" s="12"/>
      <c r="N28" s="12"/>
      <c r="O28" s="12"/>
      <c r="P28" s="12"/>
      <c r="Q28" s="12"/>
    </row>
    <row r="29" spans="1:17" ht="63" x14ac:dyDescent="0.2">
      <c r="A29" s="6">
        <v>4</v>
      </c>
      <c r="B29" s="92" t="s">
        <v>235</v>
      </c>
      <c r="C29" s="146" t="s">
        <v>234</v>
      </c>
      <c r="D29" s="91" t="s">
        <v>30</v>
      </c>
      <c r="E29" s="97">
        <v>1</v>
      </c>
      <c r="F29" s="89">
        <v>871.75</v>
      </c>
      <c r="G29" s="12"/>
      <c r="H29" s="12"/>
      <c r="I29" s="12"/>
      <c r="J29" s="129">
        <v>872</v>
      </c>
      <c r="K29" s="12"/>
      <c r="L29" s="12"/>
      <c r="M29" s="12"/>
      <c r="N29" s="12"/>
      <c r="O29" s="12"/>
      <c r="P29" s="12"/>
      <c r="Q29" s="12"/>
    </row>
    <row r="30" spans="1:17" ht="36" x14ac:dyDescent="0.2">
      <c r="A30" s="6">
        <v>5</v>
      </c>
      <c r="B30" s="92" t="s">
        <v>233</v>
      </c>
      <c r="C30" s="146" t="s">
        <v>232</v>
      </c>
      <c r="D30" s="91" t="s">
        <v>29</v>
      </c>
      <c r="E30" s="97">
        <v>1</v>
      </c>
      <c r="F30" s="89">
        <v>99.26</v>
      </c>
      <c r="G30" s="89">
        <v>33.11</v>
      </c>
      <c r="H30" s="89">
        <v>62.05</v>
      </c>
      <c r="I30" s="89">
        <v>4.71</v>
      </c>
      <c r="J30" s="129">
        <v>99</v>
      </c>
      <c r="K30" s="12">
        <v>33</v>
      </c>
      <c r="L30" s="12">
        <v>62</v>
      </c>
      <c r="M30" s="12">
        <v>5</v>
      </c>
      <c r="N30" s="12">
        <v>2.37</v>
      </c>
      <c r="O30" s="12">
        <v>2.37</v>
      </c>
      <c r="P30" s="12">
        <v>0.28999999999999998</v>
      </c>
      <c r="Q30" s="12">
        <v>0.28999999999999998</v>
      </c>
    </row>
    <row r="31" spans="1:17" x14ac:dyDescent="0.2">
      <c r="A31" s="6">
        <v>6</v>
      </c>
      <c r="B31" s="92" t="s">
        <v>231</v>
      </c>
      <c r="C31" s="146" t="s">
        <v>230</v>
      </c>
      <c r="D31" s="91" t="s">
        <v>229</v>
      </c>
      <c r="E31" s="97">
        <v>1</v>
      </c>
      <c r="F31" s="89">
        <v>186.08</v>
      </c>
      <c r="G31" s="12"/>
      <c r="H31" s="12"/>
      <c r="I31" s="12"/>
      <c r="J31" s="129">
        <v>186</v>
      </c>
      <c r="K31" s="12"/>
      <c r="L31" s="12"/>
      <c r="M31" s="12"/>
      <c r="N31" s="12"/>
      <c r="O31" s="12"/>
      <c r="P31" s="12"/>
      <c r="Q31" s="12"/>
    </row>
    <row r="32" spans="1:17" ht="24" x14ac:dyDescent="0.2">
      <c r="A32" s="6">
        <v>7</v>
      </c>
      <c r="B32" s="92" t="s">
        <v>228</v>
      </c>
      <c r="C32" s="146" t="s">
        <v>227</v>
      </c>
      <c r="D32" s="91" t="s">
        <v>226</v>
      </c>
      <c r="E32" s="97">
        <v>1</v>
      </c>
      <c r="F32" s="89">
        <v>77.790000000000006</v>
      </c>
      <c r="G32" s="12"/>
      <c r="H32" s="12"/>
      <c r="I32" s="12"/>
      <c r="J32" s="129">
        <v>78</v>
      </c>
      <c r="K32" s="12"/>
      <c r="L32" s="12"/>
      <c r="M32" s="12"/>
      <c r="N32" s="12"/>
      <c r="O32" s="12"/>
      <c r="P32" s="12"/>
      <c r="Q32" s="12"/>
    </row>
    <row r="33" spans="1:17" ht="24" x14ac:dyDescent="0.2">
      <c r="A33" s="6">
        <v>8</v>
      </c>
      <c r="B33" s="92" t="s">
        <v>225</v>
      </c>
      <c r="C33" s="146" t="s">
        <v>224</v>
      </c>
      <c r="D33" s="91" t="s">
        <v>223</v>
      </c>
      <c r="E33" s="97">
        <v>1</v>
      </c>
      <c r="F33" s="89">
        <v>177.71</v>
      </c>
      <c r="G33" s="12"/>
      <c r="H33" s="12"/>
      <c r="I33" s="12"/>
      <c r="J33" s="129">
        <v>178</v>
      </c>
      <c r="K33" s="12"/>
      <c r="L33" s="12"/>
      <c r="M33" s="12"/>
      <c r="N33" s="12"/>
      <c r="O33" s="12"/>
      <c r="P33" s="12"/>
      <c r="Q33" s="12"/>
    </row>
    <row r="34" spans="1:17" ht="24" x14ac:dyDescent="0.2">
      <c r="A34" s="6">
        <v>9</v>
      </c>
      <c r="B34" s="92" t="s">
        <v>222</v>
      </c>
      <c r="C34" s="146" t="s">
        <v>221</v>
      </c>
      <c r="D34" s="91" t="s">
        <v>29</v>
      </c>
      <c r="E34" s="97">
        <v>1</v>
      </c>
      <c r="F34" s="89">
        <v>34.200000000000003</v>
      </c>
      <c r="G34" s="89">
        <v>6.41</v>
      </c>
      <c r="H34" s="89">
        <v>7.18</v>
      </c>
      <c r="I34" s="89">
        <v>0.81</v>
      </c>
      <c r="J34" s="129">
        <v>34</v>
      </c>
      <c r="K34" s="12">
        <v>6</v>
      </c>
      <c r="L34" s="12">
        <v>7</v>
      </c>
      <c r="M34" s="12">
        <v>1</v>
      </c>
      <c r="N34" s="12">
        <v>0.52</v>
      </c>
      <c r="O34" s="12">
        <v>0.52</v>
      </c>
      <c r="P34" s="12">
        <v>0.06</v>
      </c>
      <c r="Q34" s="12">
        <v>0.06</v>
      </c>
    </row>
    <row r="35" spans="1:17" x14ac:dyDescent="0.2">
      <c r="A35" s="6">
        <v>10</v>
      </c>
      <c r="B35" s="92" t="s">
        <v>220</v>
      </c>
      <c r="C35" s="146" t="s">
        <v>219</v>
      </c>
      <c r="D35" s="91" t="s">
        <v>30</v>
      </c>
      <c r="E35" s="97">
        <v>1</v>
      </c>
      <c r="F35" s="89">
        <v>46.81</v>
      </c>
      <c r="G35" s="12"/>
      <c r="H35" s="12"/>
      <c r="I35" s="12"/>
      <c r="J35" s="129">
        <v>47</v>
      </c>
      <c r="K35" s="12"/>
      <c r="L35" s="12"/>
      <c r="M35" s="12"/>
      <c r="N35" s="12"/>
      <c r="O35" s="12"/>
      <c r="P35" s="12"/>
      <c r="Q35" s="12"/>
    </row>
    <row r="36" spans="1:17" ht="24" x14ac:dyDescent="0.2">
      <c r="A36" s="6">
        <v>11</v>
      </c>
      <c r="B36" s="92" t="s">
        <v>218</v>
      </c>
      <c r="C36" s="146" t="s">
        <v>217</v>
      </c>
      <c r="D36" s="91" t="s">
        <v>29</v>
      </c>
      <c r="E36" s="97">
        <v>1</v>
      </c>
      <c r="F36" s="89">
        <v>137.5</v>
      </c>
      <c r="G36" s="89">
        <v>31.8</v>
      </c>
      <c r="H36" s="89">
        <v>2.36</v>
      </c>
      <c r="I36" s="12"/>
      <c r="J36" s="129">
        <v>138</v>
      </c>
      <c r="K36" s="12">
        <v>32</v>
      </c>
      <c r="L36" s="12">
        <v>2</v>
      </c>
      <c r="M36" s="12"/>
      <c r="N36" s="12">
        <v>2.4</v>
      </c>
      <c r="O36" s="12">
        <v>2.4</v>
      </c>
      <c r="P36" s="12"/>
      <c r="Q36" s="12"/>
    </row>
    <row r="37" spans="1:17" x14ac:dyDescent="0.2">
      <c r="A37" s="6">
        <v>12</v>
      </c>
      <c r="B37" s="92" t="s">
        <v>216</v>
      </c>
      <c r="C37" s="146" t="s">
        <v>215</v>
      </c>
      <c r="D37" s="91" t="s">
        <v>32</v>
      </c>
      <c r="E37" s="90">
        <v>0.01</v>
      </c>
      <c r="F37" s="89">
        <v>4296.6400000000003</v>
      </c>
      <c r="G37" s="12"/>
      <c r="H37" s="12"/>
      <c r="I37" s="12"/>
      <c r="J37" s="129">
        <v>43</v>
      </c>
      <c r="K37" s="12"/>
      <c r="L37" s="12"/>
      <c r="M37" s="12"/>
      <c r="N37" s="12"/>
      <c r="O37" s="12"/>
      <c r="P37" s="12"/>
      <c r="Q37" s="12"/>
    </row>
    <row r="38" spans="1:17" x14ac:dyDescent="0.2">
      <c r="A38" s="6">
        <v>13</v>
      </c>
      <c r="B38" s="92" t="s">
        <v>214</v>
      </c>
      <c r="C38" s="146" t="s">
        <v>213</v>
      </c>
      <c r="D38" s="91" t="s">
        <v>35</v>
      </c>
      <c r="E38" s="97">
        <v>2</v>
      </c>
      <c r="F38" s="89">
        <v>51.17</v>
      </c>
      <c r="G38" s="12"/>
      <c r="H38" s="12"/>
      <c r="I38" s="12"/>
      <c r="J38" s="129">
        <v>102</v>
      </c>
      <c r="K38" s="12"/>
      <c r="L38" s="12"/>
      <c r="M38" s="12"/>
      <c r="N38" s="12"/>
      <c r="O38" s="12"/>
      <c r="P38" s="12"/>
      <c r="Q38" s="12"/>
    </row>
    <row r="39" spans="1:17" ht="24" x14ac:dyDescent="0.2">
      <c r="A39" s="6">
        <v>14</v>
      </c>
      <c r="B39" s="92" t="s">
        <v>212</v>
      </c>
      <c r="C39" s="146" t="s">
        <v>211</v>
      </c>
      <c r="D39" s="91" t="s">
        <v>210</v>
      </c>
      <c r="E39" s="97">
        <v>2</v>
      </c>
      <c r="F39" s="89">
        <v>19.2</v>
      </c>
      <c r="G39" s="89">
        <v>13.09</v>
      </c>
      <c r="H39" s="89">
        <v>3.08</v>
      </c>
      <c r="I39" s="89">
        <v>0.62</v>
      </c>
      <c r="J39" s="129">
        <v>38</v>
      </c>
      <c r="K39" s="12">
        <v>26</v>
      </c>
      <c r="L39" s="12">
        <v>6</v>
      </c>
      <c r="M39" s="12">
        <v>1</v>
      </c>
      <c r="N39" s="12">
        <v>1.0900000000000001</v>
      </c>
      <c r="O39" s="12">
        <v>2.1800000000000002</v>
      </c>
      <c r="P39" s="12">
        <v>0.04</v>
      </c>
      <c r="Q39" s="12">
        <v>0.08</v>
      </c>
    </row>
    <row r="40" spans="1:17" ht="24" x14ac:dyDescent="0.2">
      <c r="A40" s="6">
        <v>15</v>
      </c>
      <c r="B40" s="92" t="s">
        <v>209</v>
      </c>
      <c r="C40" s="146" t="s">
        <v>208</v>
      </c>
      <c r="D40" s="91" t="s">
        <v>30</v>
      </c>
      <c r="E40" s="97">
        <v>30</v>
      </c>
      <c r="F40" s="12"/>
      <c r="G40" s="12"/>
      <c r="H40" s="12"/>
      <c r="I40" s="12"/>
      <c r="J40" s="129">
        <v>2398</v>
      </c>
      <c r="K40" s="12"/>
      <c r="L40" s="12"/>
      <c r="M40" s="12"/>
      <c r="N40" s="12"/>
      <c r="O40" s="12"/>
      <c r="P40" s="12"/>
      <c r="Q40" s="12"/>
    </row>
    <row r="41" spans="1:17" ht="24" x14ac:dyDescent="0.2">
      <c r="A41" s="6">
        <v>16</v>
      </c>
      <c r="B41" s="92" t="s">
        <v>207</v>
      </c>
      <c r="C41" s="146" t="s">
        <v>206</v>
      </c>
      <c r="D41" s="91" t="s">
        <v>29</v>
      </c>
      <c r="E41" s="97">
        <v>30</v>
      </c>
      <c r="F41" s="89">
        <v>24.5</v>
      </c>
      <c r="G41" s="89">
        <v>24.02</v>
      </c>
      <c r="H41" s="12"/>
      <c r="I41" s="12"/>
      <c r="J41" s="129">
        <v>735</v>
      </c>
      <c r="K41" s="12">
        <v>721</v>
      </c>
      <c r="L41" s="12"/>
      <c r="M41" s="12"/>
      <c r="N41" s="12">
        <v>2</v>
      </c>
      <c r="O41" s="12">
        <v>60</v>
      </c>
      <c r="P41" s="12"/>
      <c r="Q41" s="12"/>
    </row>
    <row r="42" spans="1:17" ht="72" x14ac:dyDescent="0.2">
      <c r="A42" s="6">
        <v>17</v>
      </c>
      <c r="B42" s="92" t="s">
        <v>205</v>
      </c>
      <c r="C42" s="146" t="s">
        <v>204</v>
      </c>
      <c r="D42" s="91" t="s">
        <v>31</v>
      </c>
      <c r="E42" s="90">
        <v>0.03</v>
      </c>
      <c r="F42" s="89">
        <v>1853.8</v>
      </c>
      <c r="G42" s="12"/>
      <c r="H42" s="12"/>
      <c r="I42" s="12"/>
      <c r="J42" s="129">
        <v>56</v>
      </c>
      <c r="K42" s="12"/>
      <c r="L42" s="12"/>
      <c r="M42" s="12"/>
      <c r="N42" s="12"/>
      <c r="O42" s="12"/>
      <c r="P42" s="12"/>
      <c r="Q42" s="12"/>
    </row>
    <row r="43" spans="1:17" ht="48" x14ac:dyDescent="0.2">
      <c r="A43" s="6">
        <v>18</v>
      </c>
      <c r="B43" s="92" t="s">
        <v>203</v>
      </c>
      <c r="C43" s="146" t="s">
        <v>202</v>
      </c>
      <c r="D43" s="91" t="s">
        <v>31</v>
      </c>
      <c r="E43" s="90">
        <v>1E-3</v>
      </c>
      <c r="F43" s="89">
        <v>5800</v>
      </c>
      <c r="G43" s="12"/>
      <c r="H43" s="12"/>
      <c r="I43" s="12"/>
      <c r="J43" s="129">
        <v>6</v>
      </c>
      <c r="K43" s="12"/>
      <c r="L43" s="12"/>
      <c r="M43" s="12"/>
      <c r="N43" s="12"/>
      <c r="O43" s="12"/>
      <c r="P43" s="12"/>
      <c r="Q43" s="12"/>
    </row>
    <row r="44" spans="1:17" ht="24" x14ac:dyDescent="0.2">
      <c r="A44" s="6">
        <v>19</v>
      </c>
      <c r="B44" s="92" t="s">
        <v>201</v>
      </c>
      <c r="C44" s="146" t="s">
        <v>200</v>
      </c>
      <c r="D44" s="91" t="s">
        <v>34</v>
      </c>
      <c r="E44" s="90">
        <v>0.31</v>
      </c>
      <c r="F44" s="89">
        <v>164.55</v>
      </c>
      <c r="G44" s="89">
        <v>144.80000000000001</v>
      </c>
      <c r="H44" s="12"/>
      <c r="I44" s="12"/>
      <c r="J44" s="129">
        <v>51</v>
      </c>
      <c r="K44" s="12">
        <v>45</v>
      </c>
      <c r="L44" s="12"/>
      <c r="M44" s="12"/>
      <c r="N44" s="12">
        <v>9.27</v>
      </c>
      <c r="O44" s="12">
        <v>2.87</v>
      </c>
      <c r="P44" s="12"/>
      <c r="Q44" s="12"/>
    </row>
    <row r="45" spans="1:17" x14ac:dyDescent="0.2">
      <c r="A45" s="168" t="s">
        <v>36</v>
      </c>
      <c r="B45" s="167"/>
      <c r="C45" s="167"/>
      <c r="D45" s="167"/>
      <c r="E45" s="167"/>
      <c r="F45" s="167"/>
      <c r="G45" s="167"/>
      <c r="H45" s="167"/>
      <c r="I45" s="167"/>
      <c r="J45" s="130">
        <v>6980</v>
      </c>
      <c r="K45" s="89">
        <v>1021</v>
      </c>
      <c r="L45" s="89">
        <v>111</v>
      </c>
      <c r="M45" s="89">
        <v>14</v>
      </c>
      <c r="N45" s="12"/>
      <c r="O45" s="89">
        <v>80.44</v>
      </c>
      <c r="P45" s="12"/>
      <c r="Q45" s="89">
        <v>0.87</v>
      </c>
    </row>
    <row r="46" spans="1:17" x14ac:dyDescent="0.2">
      <c r="A46" s="168" t="s">
        <v>37</v>
      </c>
      <c r="B46" s="167"/>
      <c r="C46" s="167"/>
      <c r="D46" s="167"/>
      <c r="E46" s="167"/>
      <c r="F46" s="167"/>
      <c r="G46" s="167"/>
      <c r="H46" s="167"/>
      <c r="I46" s="167"/>
      <c r="J46" s="130">
        <v>7435</v>
      </c>
      <c r="K46" s="89">
        <v>1438</v>
      </c>
      <c r="L46" s="89">
        <v>149</v>
      </c>
      <c r="M46" s="89">
        <v>19</v>
      </c>
      <c r="N46" s="12"/>
      <c r="O46" s="89">
        <v>108.59</v>
      </c>
      <c r="P46" s="12"/>
      <c r="Q46" s="89">
        <v>1.17</v>
      </c>
    </row>
    <row r="47" spans="1:17" x14ac:dyDescent="0.2">
      <c r="A47" s="168" t="s">
        <v>86</v>
      </c>
      <c r="B47" s="167"/>
      <c r="C47" s="167"/>
      <c r="D47" s="167"/>
      <c r="E47" s="167"/>
      <c r="F47" s="167"/>
      <c r="G47" s="167"/>
      <c r="H47" s="167"/>
      <c r="I47" s="167"/>
      <c r="J47" s="129"/>
      <c r="K47" s="12"/>
      <c r="L47" s="12"/>
      <c r="M47" s="12"/>
      <c r="N47" s="12"/>
      <c r="O47" s="12"/>
      <c r="P47" s="12"/>
      <c r="Q47" s="12"/>
    </row>
    <row r="48" spans="1:17" x14ac:dyDescent="0.2">
      <c r="A48" s="168" t="s">
        <v>199</v>
      </c>
      <c r="B48" s="167"/>
      <c r="C48" s="167"/>
      <c r="D48" s="167"/>
      <c r="E48" s="167"/>
      <c r="F48" s="167"/>
      <c r="G48" s="167"/>
      <c r="H48" s="167"/>
      <c r="I48" s="167"/>
      <c r="J48" s="130">
        <v>44</v>
      </c>
      <c r="K48" s="89">
        <v>44</v>
      </c>
      <c r="L48" s="89">
        <v>1</v>
      </c>
      <c r="M48" s="89">
        <v>1</v>
      </c>
      <c r="N48" s="12"/>
      <c r="O48" s="12"/>
      <c r="P48" s="12"/>
      <c r="Q48" s="12"/>
    </row>
    <row r="49" spans="1:17" ht="24.6" customHeight="1" x14ac:dyDescent="0.2">
      <c r="A49" s="168" t="s">
        <v>198</v>
      </c>
      <c r="B49" s="167"/>
      <c r="C49" s="167"/>
      <c r="D49" s="167"/>
      <c r="E49" s="167"/>
      <c r="F49" s="167"/>
      <c r="G49" s="167"/>
      <c r="H49" s="167"/>
      <c r="I49" s="167"/>
      <c r="J49" s="130">
        <v>411</v>
      </c>
      <c r="K49" s="89">
        <v>373</v>
      </c>
      <c r="L49" s="89">
        <v>39</v>
      </c>
      <c r="M49" s="89">
        <v>5</v>
      </c>
      <c r="N49" s="12"/>
      <c r="O49" s="89">
        <v>28.154</v>
      </c>
      <c r="P49" s="12"/>
      <c r="Q49" s="89">
        <v>0.30449999999999999</v>
      </c>
    </row>
    <row r="50" spans="1:17" x14ac:dyDescent="0.2">
      <c r="A50" s="168" t="s">
        <v>38</v>
      </c>
      <c r="B50" s="167"/>
      <c r="C50" s="167"/>
      <c r="D50" s="167"/>
      <c r="E50" s="167"/>
      <c r="F50" s="167"/>
      <c r="G50" s="167"/>
      <c r="H50" s="167"/>
      <c r="I50" s="167"/>
      <c r="J50" s="130">
        <v>1180</v>
      </c>
      <c r="K50" s="12"/>
      <c r="L50" s="12"/>
      <c r="M50" s="12"/>
      <c r="N50" s="12"/>
      <c r="O50" s="12"/>
      <c r="P50" s="12"/>
      <c r="Q50" s="12"/>
    </row>
    <row r="51" spans="1:17" x14ac:dyDescent="0.2">
      <c r="A51" s="168" t="s">
        <v>86</v>
      </c>
      <c r="B51" s="167"/>
      <c r="C51" s="167"/>
      <c r="D51" s="167"/>
      <c r="E51" s="167"/>
      <c r="F51" s="167"/>
      <c r="G51" s="167"/>
      <c r="H51" s="167"/>
      <c r="I51" s="167"/>
      <c r="J51" s="129"/>
      <c r="K51" s="12"/>
      <c r="L51" s="12"/>
      <c r="M51" s="12"/>
      <c r="N51" s="12"/>
      <c r="O51" s="12"/>
      <c r="P51" s="12"/>
      <c r="Q51" s="12"/>
    </row>
    <row r="52" spans="1:17" x14ac:dyDescent="0.2">
      <c r="A52" s="168" t="s">
        <v>197</v>
      </c>
      <c r="B52" s="167"/>
      <c r="C52" s="167"/>
      <c r="D52" s="167"/>
      <c r="E52" s="167"/>
      <c r="F52" s="167"/>
      <c r="G52" s="167"/>
      <c r="H52" s="167"/>
      <c r="I52" s="167"/>
      <c r="J52" s="130">
        <v>1086</v>
      </c>
      <c r="K52" s="12"/>
      <c r="L52" s="12"/>
      <c r="M52" s="12"/>
      <c r="N52" s="12"/>
      <c r="O52" s="12"/>
      <c r="P52" s="12"/>
      <c r="Q52" s="12"/>
    </row>
    <row r="53" spans="1:17" x14ac:dyDescent="0.2">
      <c r="A53" s="168" t="s">
        <v>196</v>
      </c>
      <c r="B53" s="167"/>
      <c r="C53" s="167"/>
      <c r="D53" s="167"/>
      <c r="E53" s="167"/>
      <c r="F53" s="167"/>
      <c r="G53" s="167"/>
      <c r="H53" s="167"/>
      <c r="I53" s="167"/>
      <c r="J53" s="130">
        <v>94</v>
      </c>
      <c r="K53" s="12"/>
      <c r="L53" s="12"/>
      <c r="M53" s="12"/>
      <c r="N53" s="12"/>
      <c r="O53" s="12"/>
      <c r="P53" s="12"/>
      <c r="Q53" s="12"/>
    </row>
    <row r="54" spans="1:17" x14ac:dyDescent="0.2">
      <c r="A54" s="168" t="s">
        <v>39</v>
      </c>
      <c r="B54" s="167"/>
      <c r="C54" s="167"/>
      <c r="D54" s="167"/>
      <c r="E54" s="167"/>
      <c r="F54" s="167"/>
      <c r="G54" s="167"/>
      <c r="H54" s="167"/>
      <c r="I54" s="167"/>
      <c r="J54" s="130">
        <v>879</v>
      </c>
      <c r="K54" s="12"/>
      <c r="L54" s="12"/>
      <c r="M54" s="12"/>
      <c r="N54" s="12"/>
      <c r="O54" s="12"/>
      <c r="P54" s="12"/>
      <c r="Q54" s="12"/>
    </row>
    <row r="55" spans="1:17" x14ac:dyDescent="0.2">
      <c r="A55" s="168" t="s">
        <v>86</v>
      </c>
      <c r="B55" s="167"/>
      <c r="C55" s="167"/>
      <c r="D55" s="167"/>
      <c r="E55" s="167"/>
      <c r="F55" s="167"/>
      <c r="G55" s="167"/>
      <c r="H55" s="167"/>
      <c r="I55" s="167"/>
      <c r="J55" s="129"/>
      <c r="K55" s="12"/>
      <c r="L55" s="12"/>
      <c r="M55" s="12"/>
      <c r="N55" s="12"/>
      <c r="O55" s="12"/>
      <c r="P55" s="12"/>
      <c r="Q55" s="12"/>
    </row>
    <row r="56" spans="1:17" x14ac:dyDescent="0.2">
      <c r="A56" s="168" t="s">
        <v>195</v>
      </c>
      <c r="B56" s="167"/>
      <c r="C56" s="167"/>
      <c r="D56" s="167"/>
      <c r="E56" s="167"/>
      <c r="F56" s="167"/>
      <c r="G56" s="167"/>
      <c r="H56" s="167"/>
      <c r="I56" s="167"/>
      <c r="J56" s="130">
        <v>815</v>
      </c>
      <c r="K56" s="12"/>
      <c r="L56" s="12"/>
      <c r="M56" s="12"/>
      <c r="N56" s="12"/>
      <c r="O56" s="12"/>
      <c r="P56" s="12"/>
      <c r="Q56" s="12"/>
    </row>
    <row r="57" spans="1:17" x14ac:dyDescent="0.2">
      <c r="A57" s="168" t="s">
        <v>194</v>
      </c>
      <c r="B57" s="167"/>
      <c r="C57" s="167"/>
      <c r="D57" s="167"/>
      <c r="E57" s="167"/>
      <c r="F57" s="167"/>
      <c r="G57" s="167"/>
      <c r="H57" s="167"/>
      <c r="I57" s="167"/>
      <c r="J57" s="130">
        <v>64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173" t="s">
        <v>40</v>
      </c>
      <c r="B58" s="167"/>
      <c r="C58" s="167"/>
      <c r="D58" s="167"/>
      <c r="E58" s="167"/>
      <c r="F58" s="167"/>
      <c r="G58" s="167"/>
      <c r="H58" s="167"/>
      <c r="I58" s="167"/>
      <c r="J58" s="129"/>
      <c r="K58" s="12"/>
      <c r="L58" s="12"/>
      <c r="M58" s="12"/>
      <c r="N58" s="12"/>
      <c r="O58" s="12"/>
      <c r="P58" s="12"/>
      <c r="Q58" s="12"/>
    </row>
    <row r="59" spans="1:17" x14ac:dyDescent="0.2">
      <c r="A59" s="168" t="s">
        <v>83</v>
      </c>
      <c r="B59" s="167"/>
      <c r="C59" s="167"/>
      <c r="D59" s="167"/>
      <c r="E59" s="167"/>
      <c r="F59" s="167"/>
      <c r="G59" s="167"/>
      <c r="H59" s="167"/>
      <c r="I59" s="167"/>
      <c r="J59" s="130">
        <v>7096</v>
      </c>
      <c r="K59" s="12"/>
      <c r="L59" s="12"/>
      <c r="M59" s="12"/>
      <c r="N59" s="12"/>
      <c r="O59" s="89">
        <v>108.59</v>
      </c>
      <c r="P59" s="12"/>
      <c r="Q59" s="89">
        <v>1.17</v>
      </c>
    </row>
    <row r="60" spans="1:17" x14ac:dyDescent="0.2">
      <c r="A60" s="168" t="s">
        <v>82</v>
      </c>
      <c r="B60" s="167"/>
      <c r="C60" s="167"/>
      <c r="D60" s="167"/>
      <c r="E60" s="167"/>
      <c r="F60" s="167"/>
      <c r="G60" s="167"/>
      <c r="H60" s="167"/>
      <c r="I60" s="167"/>
      <c r="J60" s="130">
        <v>2398</v>
      </c>
      <c r="K60" s="12"/>
      <c r="L60" s="12"/>
      <c r="M60" s="12"/>
      <c r="N60" s="12"/>
      <c r="O60" s="12"/>
      <c r="P60" s="12"/>
      <c r="Q60" s="12"/>
    </row>
    <row r="61" spans="1:17" x14ac:dyDescent="0.2">
      <c r="A61" s="168" t="s">
        <v>41</v>
      </c>
      <c r="B61" s="167"/>
      <c r="C61" s="167"/>
      <c r="D61" s="167"/>
      <c r="E61" s="167"/>
      <c r="F61" s="167"/>
      <c r="G61" s="167"/>
      <c r="H61" s="167"/>
      <c r="I61" s="167"/>
      <c r="J61" s="130">
        <f>SUM(J59:J60)</f>
        <v>9494</v>
      </c>
      <c r="K61" s="12"/>
      <c r="L61" s="12"/>
      <c r="M61" s="12"/>
      <c r="N61" s="12"/>
      <c r="O61" s="89">
        <v>108.59</v>
      </c>
      <c r="P61" s="12"/>
      <c r="Q61" s="89">
        <v>1.17</v>
      </c>
    </row>
    <row r="62" spans="1:17" x14ac:dyDescent="0.2">
      <c r="A62" s="168" t="s">
        <v>193</v>
      </c>
      <c r="B62" s="167"/>
      <c r="C62" s="167"/>
      <c r="D62" s="167"/>
      <c r="E62" s="167"/>
      <c r="F62" s="167"/>
      <c r="G62" s="167"/>
      <c r="H62" s="167"/>
      <c r="I62" s="167"/>
      <c r="J62" s="129"/>
      <c r="K62" s="12"/>
      <c r="L62" s="12"/>
      <c r="M62" s="12"/>
      <c r="N62" s="12"/>
      <c r="O62" s="12"/>
      <c r="P62" s="12"/>
      <c r="Q62" s="12"/>
    </row>
    <row r="63" spans="1:17" x14ac:dyDescent="0.2">
      <c r="A63" s="168" t="s">
        <v>43</v>
      </c>
      <c r="B63" s="167"/>
      <c r="C63" s="167"/>
      <c r="D63" s="167"/>
      <c r="E63" s="167"/>
      <c r="F63" s="167"/>
      <c r="G63" s="167"/>
      <c r="H63" s="167"/>
      <c r="I63" s="167"/>
      <c r="J63" s="130">
        <v>3450</v>
      </c>
      <c r="K63" s="12"/>
      <c r="L63" s="12"/>
      <c r="M63" s="12"/>
      <c r="N63" s="12"/>
      <c r="O63" s="12"/>
      <c r="P63" s="12"/>
      <c r="Q63" s="12"/>
    </row>
    <row r="64" spans="1:17" x14ac:dyDescent="0.2">
      <c r="A64" s="168" t="s">
        <v>44</v>
      </c>
      <c r="B64" s="167"/>
      <c r="C64" s="167"/>
      <c r="D64" s="167"/>
      <c r="E64" s="167"/>
      <c r="F64" s="167"/>
      <c r="G64" s="167"/>
      <c r="H64" s="167"/>
      <c r="I64" s="167"/>
      <c r="J64" s="130">
        <f>149-M46</f>
        <v>130</v>
      </c>
      <c r="K64" s="12"/>
      <c r="L64" s="12"/>
      <c r="M64" s="12"/>
      <c r="N64" s="12"/>
      <c r="O64" s="12"/>
      <c r="P64" s="12"/>
      <c r="Q64" s="12"/>
    </row>
    <row r="65" spans="1:17" x14ac:dyDescent="0.2">
      <c r="A65" s="168" t="s">
        <v>45</v>
      </c>
      <c r="B65" s="167"/>
      <c r="C65" s="167"/>
      <c r="D65" s="167"/>
      <c r="E65" s="167"/>
      <c r="F65" s="167"/>
      <c r="G65" s="167"/>
      <c r="H65" s="167"/>
      <c r="I65" s="167"/>
      <c r="J65" s="130">
        <v>1457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168" t="s">
        <v>19</v>
      </c>
      <c r="B66" s="167"/>
      <c r="C66" s="167"/>
      <c r="D66" s="167"/>
      <c r="E66" s="167"/>
      <c r="F66" s="167"/>
      <c r="G66" s="167"/>
      <c r="H66" s="167"/>
      <c r="I66" s="167"/>
      <c r="J66" s="130">
        <v>2398</v>
      </c>
      <c r="K66" s="12"/>
      <c r="L66" s="12"/>
      <c r="M66" s="12"/>
      <c r="N66" s="12"/>
      <c r="O66" s="12"/>
      <c r="P66" s="12"/>
      <c r="Q66" s="12"/>
    </row>
    <row r="67" spans="1:17" x14ac:dyDescent="0.2">
      <c r="A67" s="168" t="s">
        <v>46</v>
      </c>
      <c r="B67" s="167"/>
      <c r="C67" s="167"/>
      <c r="D67" s="167"/>
      <c r="E67" s="167"/>
      <c r="F67" s="167"/>
      <c r="G67" s="167"/>
      <c r="H67" s="167"/>
      <c r="I67" s="167"/>
      <c r="J67" s="130">
        <v>1180</v>
      </c>
      <c r="K67" s="12"/>
      <c r="L67" s="12"/>
      <c r="M67" s="12"/>
      <c r="N67" s="12"/>
      <c r="O67" s="12"/>
      <c r="P67" s="12"/>
      <c r="Q67" s="12"/>
    </row>
    <row r="68" spans="1:17" x14ac:dyDescent="0.2">
      <c r="A68" s="168" t="s">
        <v>47</v>
      </c>
      <c r="B68" s="167"/>
      <c r="C68" s="167"/>
      <c r="D68" s="167"/>
      <c r="E68" s="167"/>
      <c r="F68" s="167"/>
      <c r="G68" s="167"/>
      <c r="H68" s="167"/>
      <c r="I68" s="167"/>
      <c r="J68" s="130">
        <v>879</v>
      </c>
      <c r="K68" s="12"/>
      <c r="L68" s="12"/>
      <c r="M68" s="12"/>
      <c r="N68" s="12"/>
      <c r="O68" s="12"/>
      <c r="P68" s="12"/>
      <c r="Q68" s="12"/>
    </row>
    <row r="69" spans="1:17" x14ac:dyDescent="0.2">
      <c r="A69" s="173" t="s">
        <v>48</v>
      </c>
      <c r="B69" s="167"/>
      <c r="C69" s="167"/>
      <c r="D69" s="167"/>
      <c r="E69" s="167"/>
      <c r="F69" s="167"/>
      <c r="G69" s="167"/>
      <c r="H69" s="167"/>
      <c r="I69" s="167"/>
      <c r="J69" s="131">
        <f>SUM(J63:J68)</f>
        <v>9494</v>
      </c>
      <c r="K69" s="12"/>
      <c r="L69" s="12"/>
      <c r="M69" s="12"/>
      <c r="N69" s="12"/>
      <c r="O69" s="13">
        <v>108.59</v>
      </c>
      <c r="P69" s="12"/>
      <c r="Q69" s="13">
        <v>1.17</v>
      </c>
    </row>
    <row r="70" spans="1:17" x14ac:dyDescent="0.2">
      <c r="F70" s="10"/>
      <c r="G70" s="10"/>
      <c r="H70" s="10"/>
      <c r="I70" s="10"/>
      <c r="J70" s="132"/>
      <c r="K70" s="10"/>
      <c r="L70" s="10"/>
      <c r="M70" s="10"/>
      <c r="N70" s="10"/>
      <c r="O70" s="10"/>
      <c r="P70" s="10"/>
      <c r="Q70" s="10"/>
    </row>
  </sheetData>
  <mergeCells count="47">
    <mergeCell ref="E1:I1"/>
    <mergeCell ref="A68:I68"/>
    <mergeCell ref="A69:I69"/>
    <mergeCell ref="J14:K14"/>
    <mergeCell ref="J17:K17"/>
    <mergeCell ref="J18:K18"/>
    <mergeCell ref="J16:K16"/>
    <mergeCell ref="J15:K15"/>
    <mergeCell ref="A62:I62"/>
    <mergeCell ref="A63:I63"/>
    <mergeCell ref="A55:I55"/>
    <mergeCell ref="A64:I64"/>
    <mergeCell ref="A65:I65"/>
    <mergeCell ref="A66:I66"/>
    <mergeCell ref="A67:I67"/>
    <mergeCell ref="A56:I56"/>
    <mergeCell ref="A57:I57"/>
    <mergeCell ref="A58:I58"/>
    <mergeCell ref="A59:I59"/>
    <mergeCell ref="A60:I60"/>
    <mergeCell ref="A61:I61"/>
    <mergeCell ref="A50:I50"/>
    <mergeCell ref="A51:I51"/>
    <mergeCell ref="A52:I52"/>
    <mergeCell ref="A53:I53"/>
    <mergeCell ref="A54:I54"/>
    <mergeCell ref="A49:I49"/>
    <mergeCell ref="A21:A23"/>
    <mergeCell ref="C21:C23"/>
    <mergeCell ref="D21:D23"/>
    <mergeCell ref="E21:E23"/>
    <mergeCell ref="B21:B23"/>
    <mergeCell ref="F22:F23"/>
    <mergeCell ref="F21:I21"/>
    <mergeCell ref="G22:I22"/>
    <mergeCell ref="A25:Q25"/>
    <mergeCell ref="A45:I45"/>
    <mergeCell ref="A46:I46"/>
    <mergeCell ref="A47:I47"/>
    <mergeCell ref="A48:I48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7"/>
  <sheetViews>
    <sheetView showGridLines="0" topLeftCell="A109" zoomScaleNormal="100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9.570312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10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outlineLevel="1" x14ac:dyDescent="0.2">
      <c r="A6" s="99"/>
      <c r="B6" s="102"/>
      <c r="C6" s="100"/>
      <c r="D6" s="4"/>
      <c r="E6" s="98"/>
      <c r="F6" s="98"/>
      <c r="G6" s="121" t="s">
        <v>695</v>
      </c>
      <c r="H6" s="121"/>
      <c r="I6" s="121"/>
      <c r="J6" s="98"/>
      <c r="K6" s="125"/>
      <c r="L6" s="98"/>
      <c r="M6" s="98"/>
      <c r="N6" s="98"/>
      <c r="O6" s="98"/>
      <c r="P6" s="98"/>
    </row>
    <row r="7" spans="1:18" x14ac:dyDescent="0.2">
      <c r="A7" s="99"/>
      <c r="B7" s="102"/>
      <c r="C7" s="100"/>
      <c r="D7" s="4"/>
      <c r="E7" s="98"/>
      <c r="F7" s="98"/>
      <c r="G7" s="120" t="s">
        <v>694</v>
      </c>
      <c r="H7" s="99"/>
      <c r="I7" s="99"/>
      <c r="J7" s="98"/>
      <c r="K7" s="125"/>
      <c r="L7" s="98"/>
      <c r="M7" s="98"/>
      <c r="N7" s="98"/>
      <c r="O7" s="98"/>
      <c r="P7" s="98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 t="s">
        <v>22</v>
      </c>
      <c r="D9" s="140" t="s">
        <v>693</v>
      </c>
      <c r="E9" s="139"/>
      <c r="F9" s="118"/>
      <c r="G9" s="118"/>
      <c r="H9" s="138"/>
      <c r="I9" s="118"/>
      <c r="J9" s="118"/>
      <c r="K9" s="126"/>
      <c r="L9" s="118"/>
      <c r="M9" s="98"/>
      <c r="N9" s="98"/>
      <c r="O9" s="98"/>
      <c r="P9" s="98"/>
      <c r="Q9" s="98"/>
    </row>
    <row r="10" spans="1:18" x14ac:dyDescent="0.2">
      <c r="A10" s="99"/>
      <c r="B10" s="102"/>
      <c r="C10" s="117"/>
      <c r="D10" s="157" t="s">
        <v>692</v>
      </c>
      <c r="E10" s="142"/>
      <c r="F10" s="142"/>
      <c r="G10" s="142"/>
      <c r="H10" s="142"/>
      <c r="I10" s="142"/>
      <c r="J10" s="142"/>
      <c r="K10" s="126"/>
      <c r="L10" s="118"/>
      <c r="M10" s="118"/>
      <c r="N10" s="98"/>
      <c r="O10" s="98"/>
      <c r="P10" s="98"/>
      <c r="Q10" s="98"/>
    </row>
    <row r="11" spans="1:18" x14ac:dyDescent="0.2">
      <c r="A11" s="99"/>
      <c r="B11" s="102"/>
      <c r="C11" s="101"/>
      <c r="D11" s="100"/>
      <c r="E11" s="116"/>
      <c r="F11" s="114"/>
      <c r="G11" s="114"/>
      <c r="H11" s="115" t="s">
        <v>149</v>
      </c>
      <c r="I11" s="115"/>
      <c r="J11" s="114"/>
      <c r="K11" s="127"/>
      <c r="L11" s="98"/>
      <c r="M11" s="98"/>
      <c r="N11" s="98"/>
      <c r="O11" s="98"/>
      <c r="P11" s="98"/>
      <c r="Q11" s="98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691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690</v>
      </c>
      <c r="K14" s="176"/>
      <c r="L14" s="5" t="s">
        <v>139</v>
      </c>
      <c r="M14" s="98"/>
      <c r="N14" s="109" t="s">
        <v>145</v>
      </c>
      <c r="O14" s="108"/>
      <c r="P14" s="107">
        <f>P15+P16+P17</f>
        <v>750.30909999999994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689</v>
      </c>
      <c r="K15" s="176"/>
      <c r="L15" s="5" t="s">
        <v>139</v>
      </c>
      <c r="M15" s="98"/>
      <c r="N15" s="109" t="s">
        <v>138</v>
      </c>
      <c r="O15" s="108"/>
      <c r="P15" s="107">
        <f>103.899*5.56</f>
        <v>577.67843999999991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688</v>
      </c>
      <c r="K16" s="176"/>
      <c r="L16" s="5" t="s">
        <v>139</v>
      </c>
      <c r="M16" s="98"/>
      <c r="N16" s="109" t="s">
        <v>370</v>
      </c>
      <c r="O16" s="108"/>
      <c r="P16" s="107">
        <f>1.661*9.32</f>
        <v>15.48052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687</v>
      </c>
      <c r="K17" s="176"/>
      <c r="L17" s="5" t="s">
        <v>139</v>
      </c>
      <c r="M17" s="98"/>
      <c r="N17" s="109" t="s">
        <v>142</v>
      </c>
      <c r="O17" s="108"/>
      <c r="P17" s="107">
        <f>37.506*4.19</f>
        <v>157.15014000000002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686</v>
      </c>
      <c r="K18" s="176"/>
      <c r="L18" s="5" t="s">
        <v>139</v>
      </c>
      <c r="M18" s="98"/>
      <c r="N18" s="109" t="s">
        <v>138</v>
      </c>
      <c r="O18" s="108"/>
      <c r="P18" s="107">
        <f>12.385*5.56</f>
        <v>68.860599999999991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685</v>
      </c>
      <c r="K19" s="176"/>
      <c r="L19" s="5" t="s">
        <v>50</v>
      </c>
      <c r="M19" s="98"/>
      <c r="N19" s="109"/>
      <c r="O19" s="108"/>
      <c r="P19" s="107"/>
    </row>
    <row r="20" spans="1:17" s="135" customFormat="1" outlineLevel="1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K128/1000</f>
        <v>72.563999999999993</v>
      </c>
      <c r="L20" s="95" t="s">
        <v>365</v>
      </c>
      <c r="M20" s="96"/>
      <c r="N20" s="109" t="s">
        <v>138</v>
      </c>
      <c r="O20" s="136"/>
      <c r="P20" s="107">
        <f>K20*5.56</f>
        <v>403.45583999999991</v>
      </c>
    </row>
    <row r="21" spans="1:17" customFormat="1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x14ac:dyDescent="0.2">
      <c r="A27" s="166" t="s">
        <v>684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33.6" customHeight="1" x14ac:dyDescent="0.2">
      <c r="A28" s="6">
        <v>1</v>
      </c>
      <c r="B28" s="92" t="s">
        <v>348</v>
      </c>
      <c r="C28" s="146" t="s">
        <v>683</v>
      </c>
      <c r="D28" s="91" t="s">
        <v>346</v>
      </c>
      <c r="E28" s="97">
        <v>6</v>
      </c>
      <c r="F28" s="89">
        <v>26.64</v>
      </c>
      <c r="G28" s="89">
        <v>26.34</v>
      </c>
      <c r="H28" s="89">
        <v>0.3</v>
      </c>
      <c r="I28" s="12"/>
      <c r="J28" s="12"/>
      <c r="K28" s="129">
        <v>160</v>
      </c>
      <c r="L28" s="12">
        <v>158</v>
      </c>
      <c r="M28" s="12">
        <v>2</v>
      </c>
      <c r="N28" s="12"/>
      <c r="O28" s="12">
        <v>1.94</v>
      </c>
      <c r="P28" s="12">
        <v>11.64</v>
      </c>
      <c r="Q28" s="12"/>
    </row>
    <row r="29" spans="1:17" ht="24" x14ac:dyDescent="0.2">
      <c r="A29" s="6">
        <v>2</v>
      </c>
      <c r="B29" s="92" t="s">
        <v>106</v>
      </c>
      <c r="C29" s="146" t="s">
        <v>349</v>
      </c>
      <c r="D29" s="91" t="s">
        <v>33</v>
      </c>
      <c r="E29" s="97">
        <v>7</v>
      </c>
      <c r="F29" s="12"/>
      <c r="G29" s="12"/>
      <c r="H29" s="12"/>
      <c r="I29" s="12"/>
      <c r="J29" s="12">
        <v>23640</v>
      </c>
      <c r="K29" s="129">
        <v>23640</v>
      </c>
      <c r="L29" s="12"/>
      <c r="M29" s="12"/>
      <c r="N29" s="12"/>
      <c r="O29" s="12"/>
      <c r="P29" s="12"/>
      <c r="Q29" s="12"/>
    </row>
    <row r="30" spans="1:17" ht="24" x14ac:dyDescent="0.2">
      <c r="A30" s="6">
        <v>3</v>
      </c>
      <c r="B30" s="92" t="s">
        <v>348</v>
      </c>
      <c r="C30" s="146" t="s">
        <v>347</v>
      </c>
      <c r="D30" s="91" t="s">
        <v>346</v>
      </c>
      <c r="E30" s="97">
        <v>6</v>
      </c>
      <c r="F30" s="89">
        <v>104.48</v>
      </c>
      <c r="G30" s="89">
        <v>87.8</v>
      </c>
      <c r="H30" s="89">
        <v>1</v>
      </c>
      <c r="I30" s="12"/>
      <c r="J30" s="12"/>
      <c r="K30" s="129">
        <v>627</v>
      </c>
      <c r="L30" s="12">
        <v>527</v>
      </c>
      <c r="M30" s="12">
        <v>6</v>
      </c>
      <c r="N30" s="12"/>
      <c r="O30" s="12">
        <v>6.48</v>
      </c>
      <c r="P30" s="12">
        <v>38.880000000000003</v>
      </c>
      <c r="Q30" s="12"/>
    </row>
    <row r="31" spans="1:17" ht="33.6" customHeight="1" x14ac:dyDescent="0.2">
      <c r="A31" s="6">
        <v>4</v>
      </c>
      <c r="B31" s="92" t="s">
        <v>106</v>
      </c>
      <c r="C31" s="146" t="s">
        <v>345</v>
      </c>
      <c r="D31" s="91" t="s">
        <v>35</v>
      </c>
      <c r="E31" s="90">
        <v>175</v>
      </c>
      <c r="F31" s="89">
        <v>143.88</v>
      </c>
      <c r="G31" s="12"/>
      <c r="H31" s="12"/>
      <c r="I31" s="12"/>
      <c r="J31" s="12"/>
      <c r="K31" s="129">
        <v>25179</v>
      </c>
      <c r="L31" s="12"/>
      <c r="M31" s="12"/>
      <c r="N31" s="12"/>
      <c r="O31" s="12"/>
      <c r="P31" s="12"/>
      <c r="Q31" s="12"/>
    </row>
    <row r="32" spans="1:17" ht="24" x14ac:dyDescent="0.2">
      <c r="A32" s="6">
        <v>5</v>
      </c>
      <c r="B32" s="92" t="s">
        <v>343</v>
      </c>
      <c r="C32" s="146" t="s">
        <v>342</v>
      </c>
      <c r="D32" s="91" t="s">
        <v>76</v>
      </c>
      <c r="E32" s="90">
        <v>1.5</v>
      </c>
      <c r="F32" s="89">
        <v>1837.57</v>
      </c>
      <c r="G32" s="89">
        <v>474.14</v>
      </c>
      <c r="H32" s="89">
        <v>129.78</v>
      </c>
      <c r="I32" s="89">
        <v>23.9</v>
      </c>
      <c r="J32" s="12"/>
      <c r="K32" s="129">
        <v>2756</v>
      </c>
      <c r="L32" s="12">
        <v>711</v>
      </c>
      <c r="M32" s="12">
        <v>195</v>
      </c>
      <c r="N32" s="12">
        <v>36</v>
      </c>
      <c r="O32" s="12">
        <v>37.1</v>
      </c>
      <c r="P32" s="12">
        <v>55.65</v>
      </c>
      <c r="Q32" s="12"/>
    </row>
    <row r="33" spans="1:17" ht="24" x14ac:dyDescent="0.2">
      <c r="A33" s="6">
        <v>6</v>
      </c>
      <c r="B33" s="92" t="s">
        <v>106</v>
      </c>
      <c r="C33" s="146" t="s">
        <v>422</v>
      </c>
      <c r="D33" s="91" t="s">
        <v>29</v>
      </c>
      <c r="E33" s="97">
        <v>1</v>
      </c>
      <c r="F33" s="12"/>
      <c r="G33" s="12"/>
      <c r="H33" s="12"/>
      <c r="I33" s="12"/>
      <c r="J33" s="12">
        <v>642</v>
      </c>
      <c r="K33" s="129">
        <v>642</v>
      </c>
      <c r="L33" s="12"/>
      <c r="M33" s="12"/>
      <c r="N33" s="12"/>
      <c r="O33" s="12"/>
      <c r="P33" s="12"/>
      <c r="Q33" s="12"/>
    </row>
    <row r="34" spans="1:17" ht="12.6" customHeight="1" x14ac:dyDescent="0.2">
      <c r="A34" s="6">
        <v>7</v>
      </c>
      <c r="B34" s="92" t="s">
        <v>360</v>
      </c>
      <c r="C34" s="146" t="s">
        <v>359</v>
      </c>
      <c r="D34" s="91" t="s">
        <v>29</v>
      </c>
      <c r="E34" s="97">
        <v>1</v>
      </c>
      <c r="F34" s="89">
        <v>256.7</v>
      </c>
      <c r="G34" s="89">
        <v>157.76</v>
      </c>
      <c r="H34" s="89">
        <v>33.83</v>
      </c>
      <c r="I34" s="89">
        <v>6.87</v>
      </c>
      <c r="J34" s="12"/>
      <c r="K34" s="129">
        <v>257</v>
      </c>
      <c r="L34" s="12">
        <v>158</v>
      </c>
      <c r="M34" s="12">
        <v>34</v>
      </c>
      <c r="N34" s="12">
        <v>7</v>
      </c>
      <c r="O34" s="12">
        <v>10.1</v>
      </c>
      <c r="P34" s="12">
        <v>10.1</v>
      </c>
      <c r="Q34" s="12"/>
    </row>
    <row r="35" spans="1:17" x14ac:dyDescent="0.2">
      <c r="A35" s="6">
        <v>8</v>
      </c>
      <c r="B35" s="92" t="s">
        <v>106</v>
      </c>
      <c r="C35" s="146" t="s">
        <v>358</v>
      </c>
      <c r="D35" s="91" t="s">
        <v>33</v>
      </c>
      <c r="E35" s="97">
        <v>2</v>
      </c>
      <c r="F35" s="89">
        <v>65.510000000000005</v>
      </c>
      <c r="G35" s="12"/>
      <c r="H35" s="12"/>
      <c r="I35" s="12"/>
      <c r="J35" s="12"/>
      <c r="K35" s="129">
        <v>131</v>
      </c>
      <c r="L35" s="12"/>
      <c r="M35" s="12"/>
      <c r="N35" s="12"/>
      <c r="O35" s="12"/>
      <c r="P35" s="12"/>
      <c r="Q35" s="12"/>
    </row>
    <row r="36" spans="1:17" ht="24" x14ac:dyDescent="0.2">
      <c r="A36" s="6">
        <v>9</v>
      </c>
      <c r="B36" s="92" t="s">
        <v>106</v>
      </c>
      <c r="C36" s="146" t="s">
        <v>646</v>
      </c>
      <c r="D36" s="91" t="s">
        <v>31</v>
      </c>
      <c r="E36" s="90">
        <v>0.21929999999999999</v>
      </c>
      <c r="F36" s="89">
        <v>4071</v>
      </c>
      <c r="G36" s="12"/>
      <c r="H36" s="12"/>
      <c r="I36" s="12"/>
      <c r="J36" s="12"/>
      <c r="K36" s="129">
        <v>893</v>
      </c>
      <c r="L36" s="12"/>
      <c r="M36" s="12"/>
      <c r="N36" s="12"/>
      <c r="O36" s="12"/>
      <c r="P36" s="12"/>
      <c r="Q36" s="12"/>
    </row>
    <row r="37" spans="1:17" ht="24" x14ac:dyDescent="0.2">
      <c r="A37" s="6">
        <v>10</v>
      </c>
      <c r="B37" s="92" t="s">
        <v>343</v>
      </c>
      <c r="C37" s="146" t="s">
        <v>644</v>
      </c>
      <c r="D37" s="91" t="s">
        <v>76</v>
      </c>
      <c r="E37" s="90">
        <v>2.15</v>
      </c>
      <c r="F37" s="89">
        <v>1837.57</v>
      </c>
      <c r="G37" s="89">
        <v>474.14</v>
      </c>
      <c r="H37" s="89">
        <v>129.78</v>
      </c>
      <c r="I37" s="89">
        <v>23.9</v>
      </c>
      <c r="J37" s="12"/>
      <c r="K37" s="129">
        <v>3951</v>
      </c>
      <c r="L37" s="12">
        <v>1019</v>
      </c>
      <c r="M37" s="12">
        <v>279</v>
      </c>
      <c r="N37" s="12">
        <v>51</v>
      </c>
      <c r="O37" s="12">
        <v>37.1</v>
      </c>
      <c r="P37" s="12">
        <v>79.77</v>
      </c>
      <c r="Q37" s="12"/>
    </row>
    <row r="38" spans="1:17" ht="24" x14ac:dyDescent="0.2">
      <c r="A38" s="6">
        <v>11</v>
      </c>
      <c r="B38" s="92" t="s">
        <v>106</v>
      </c>
      <c r="C38" s="146" t="s">
        <v>682</v>
      </c>
      <c r="D38" s="91" t="s">
        <v>33</v>
      </c>
      <c r="E38" s="97">
        <v>1</v>
      </c>
      <c r="F38" s="89">
        <v>76.97</v>
      </c>
      <c r="G38" s="12"/>
      <c r="H38" s="12"/>
      <c r="I38" s="12"/>
      <c r="J38" s="12"/>
      <c r="K38" s="129">
        <v>77</v>
      </c>
      <c r="L38" s="12"/>
      <c r="M38" s="12"/>
      <c r="N38" s="12"/>
      <c r="O38" s="12"/>
      <c r="P38" s="12"/>
      <c r="Q38" s="12"/>
    </row>
    <row r="39" spans="1:17" ht="24" x14ac:dyDescent="0.2">
      <c r="A39" s="6">
        <v>12</v>
      </c>
      <c r="B39" s="92" t="s">
        <v>681</v>
      </c>
      <c r="C39" s="146" t="s">
        <v>680</v>
      </c>
      <c r="D39" s="91" t="s">
        <v>29</v>
      </c>
      <c r="E39" s="97">
        <v>1</v>
      </c>
      <c r="F39" s="89">
        <v>6.52</v>
      </c>
      <c r="G39" s="89">
        <v>6.39</v>
      </c>
      <c r="H39" s="12"/>
      <c r="I39" s="12"/>
      <c r="J39" s="12"/>
      <c r="K39" s="129">
        <v>7</v>
      </c>
      <c r="L39" s="12">
        <v>6</v>
      </c>
      <c r="M39" s="12"/>
      <c r="N39" s="12"/>
      <c r="O39" s="12">
        <v>0.5</v>
      </c>
      <c r="P39" s="12">
        <v>0.5</v>
      </c>
      <c r="Q39" s="12"/>
    </row>
    <row r="40" spans="1:17" x14ac:dyDescent="0.2">
      <c r="A40" s="6">
        <v>13</v>
      </c>
      <c r="B40" s="92" t="s">
        <v>679</v>
      </c>
      <c r="C40" s="146" t="s">
        <v>678</v>
      </c>
      <c r="D40" s="91" t="s">
        <v>30</v>
      </c>
      <c r="E40" s="97">
        <v>1</v>
      </c>
      <c r="F40" s="89">
        <v>27.16</v>
      </c>
      <c r="G40" s="12"/>
      <c r="H40" s="12"/>
      <c r="I40" s="12"/>
      <c r="J40" s="12"/>
      <c r="K40" s="129">
        <v>27</v>
      </c>
      <c r="L40" s="12"/>
      <c r="M40" s="12"/>
      <c r="N40" s="12"/>
      <c r="O40" s="12"/>
      <c r="P40" s="12"/>
      <c r="Q40" s="12"/>
    </row>
    <row r="41" spans="1:17" ht="24" x14ac:dyDescent="0.2">
      <c r="A41" s="6">
        <v>14</v>
      </c>
      <c r="B41" s="92" t="s">
        <v>677</v>
      </c>
      <c r="C41" s="146" t="s">
        <v>676</v>
      </c>
      <c r="D41" s="91" t="s">
        <v>29</v>
      </c>
      <c r="E41" s="97">
        <v>1</v>
      </c>
      <c r="F41" s="89">
        <v>11.74</v>
      </c>
      <c r="G41" s="89">
        <v>11.51</v>
      </c>
      <c r="H41" s="12"/>
      <c r="I41" s="12"/>
      <c r="J41" s="12"/>
      <c r="K41" s="129">
        <v>12</v>
      </c>
      <c r="L41" s="12">
        <v>12</v>
      </c>
      <c r="M41" s="12"/>
      <c r="N41" s="12"/>
      <c r="O41" s="12">
        <v>1</v>
      </c>
      <c r="P41" s="12">
        <v>1</v>
      </c>
      <c r="Q41" s="12"/>
    </row>
    <row r="42" spans="1:17" ht="24" x14ac:dyDescent="0.2">
      <c r="A42" s="6">
        <v>15</v>
      </c>
      <c r="B42" s="92" t="s">
        <v>106</v>
      </c>
      <c r="C42" s="146" t="s">
        <v>659</v>
      </c>
      <c r="D42" s="91" t="s">
        <v>33</v>
      </c>
      <c r="E42" s="97">
        <v>1</v>
      </c>
      <c r="F42" s="89">
        <v>80.48</v>
      </c>
      <c r="G42" s="12"/>
      <c r="H42" s="12"/>
      <c r="I42" s="12"/>
      <c r="J42" s="12"/>
      <c r="K42" s="129">
        <v>80</v>
      </c>
      <c r="L42" s="12"/>
      <c r="M42" s="12"/>
      <c r="N42" s="12"/>
      <c r="O42" s="12"/>
      <c r="P42" s="12"/>
      <c r="Q42" s="12"/>
    </row>
    <row r="43" spans="1:17" ht="24" x14ac:dyDescent="0.2">
      <c r="A43" s="6">
        <v>16</v>
      </c>
      <c r="B43" s="92" t="s">
        <v>324</v>
      </c>
      <c r="C43" s="146" t="s">
        <v>323</v>
      </c>
      <c r="D43" s="91" t="s">
        <v>29</v>
      </c>
      <c r="E43" s="97">
        <v>1</v>
      </c>
      <c r="F43" s="89">
        <v>59.97</v>
      </c>
      <c r="G43" s="89">
        <v>51.77</v>
      </c>
      <c r="H43" s="89">
        <v>0.37</v>
      </c>
      <c r="I43" s="12"/>
      <c r="J43" s="12"/>
      <c r="K43" s="129">
        <v>60</v>
      </c>
      <c r="L43" s="12">
        <v>52</v>
      </c>
      <c r="M43" s="12"/>
      <c r="N43" s="12"/>
      <c r="O43" s="12">
        <v>3.6</v>
      </c>
      <c r="P43" s="12">
        <v>3.6</v>
      </c>
      <c r="Q43" s="12"/>
    </row>
    <row r="44" spans="1:17" ht="24" x14ac:dyDescent="0.2">
      <c r="A44" s="6">
        <v>17</v>
      </c>
      <c r="B44" s="92" t="s">
        <v>297</v>
      </c>
      <c r="C44" s="146" t="s">
        <v>661</v>
      </c>
      <c r="D44" s="91" t="s">
        <v>30</v>
      </c>
      <c r="E44" s="97">
        <v>1</v>
      </c>
      <c r="F44" s="89">
        <v>27.74</v>
      </c>
      <c r="G44" s="12"/>
      <c r="H44" s="12"/>
      <c r="I44" s="12"/>
      <c r="J44" s="12"/>
      <c r="K44" s="129">
        <v>28</v>
      </c>
      <c r="L44" s="12"/>
      <c r="M44" s="12"/>
      <c r="N44" s="12"/>
      <c r="O44" s="12"/>
      <c r="P44" s="12"/>
      <c r="Q44" s="12"/>
    </row>
    <row r="45" spans="1:17" ht="36" x14ac:dyDescent="0.2">
      <c r="A45" s="6">
        <v>18</v>
      </c>
      <c r="B45" s="92" t="s">
        <v>295</v>
      </c>
      <c r="C45" s="146" t="s">
        <v>660</v>
      </c>
      <c r="D45" s="91" t="s">
        <v>29</v>
      </c>
      <c r="E45" s="97">
        <v>1</v>
      </c>
      <c r="F45" s="89">
        <v>174.77</v>
      </c>
      <c r="G45" s="89">
        <v>20.9</v>
      </c>
      <c r="H45" s="89">
        <v>1.28</v>
      </c>
      <c r="I45" s="12"/>
      <c r="J45" s="12"/>
      <c r="K45" s="129">
        <v>175</v>
      </c>
      <c r="L45" s="12">
        <v>21</v>
      </c>
      <c r="M45" s="12">
        <v>1</v>
      </c>
      <c r="N45" s="12"/>
      <c r="O45" s="12">
        <v>1.56</v>
      </c>
      <c r="P45" s="12">
        <v>1.56</v>
      </c>
      <c r="Q45" s="12"/>
    </row>
    <row r="46" spans="1:17" x14ac:dyDescent="0.2">
      <c r="A46" s="166" t="s">
        <v>675</v>
      </c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</row>
    <row r="47" spans="1:17" ht="33.6" customHeight="1" x14ac:dyDescent="0.2">
      <c r="A47" s="6">
        <v>19</v>
      </c>
      <c r="B47" s="92" t="s">
        <v>106</v>
      </c>
      <c r="C47" s="146" t="s">
        <v>674</v>
      </c>
      <c r="D47" s="91" t="s">
        <v>33</v>
      </c>
      <c r="E47" s="97">
        <v>1</v>
      </c>
      <c r="F47" s="12"/>
      <c r="G47" s="12"/>
      <c r="H47" s="12"/>
      <c r="I47" s="12"/>
      <c r="J47" s="12">
        <v>1197</v>
      </c>
      <c r="K47" s="129">
        <v>1197</v>
      </c>
      <c r="L47" s="12"/>
      <c r="M47" s="12"/>
      <c r="N47" s="12"/>
      <c r="O47" s="12"/>
      <c r="P47" s="12"/>
      <c r="Q47" s="12"/>
    </row>
    <row r="48" spans="1:17" ht="33.6" customHeight="1" x14ac:dyDescent="0.2">
      <c r="A48" s="6">
        <v>20</v>
      </c>
      <c r="B48" s="92" t="s">
        <v>363</v>
      </c>
      <c r="C48" s="146" t="s">
        <v>657</v>
      </c>
      <c r="D48" s="91" t="s">
        <v>29</v>
      </c>
      <c r="E48" s="97">
        <v>1</v>
      </c>
      <c r="F48" s="89">
        <v>117.52</v>
      </c>
      <c r="G48" s="89">
        <v>102.02</v>
      </c>
      <c r="H48" s="89">
        <v>0.46</v>
      </c>
      <c r="I48" s="12"/>
      <c r="J48" s="12"/>
      <c r="K48" s="129">
        <v>118</v>
      </c>
      <c r="L48" s="12">
        <v>102</v>
      </c>
      <c r="M48" s="12"/>
      <c r="N48" s="12"/>
      <c r="O48" s="12">
        <v>7.2</v>
      </c>
      <c r="P48" s="12">
        <v>7.2</v>
      </c>
      <c r="Q48" s="12"/>
    </row>
    <row r="49" spans="1:17" x14ac:dyDescent="0.2">
      <c r="A49" s="6">
        <v>21</v>
      </c>
      <c r="B49" s="92" t="s">
        <v>106</v>
      </c>
      <c r="C49" s="146" t="s">
        <v>673</v>
      </c>
      <c r="D49" s="91" t="s">
        <v>33</v>
      </c>
      <c r="E49" s="97">
        <v>2</v>
      </c>
      <c r="F49" s="89">
        <v>84.08</v>
      </c>
      <c r="G49" s="12"/>
      <c r="H49" s="12"/>
      <c r="I49" s="12"/>
      <c r="J49" s="12"/>
      <c r="K49" s="129">
        <v>168</v>
      </c>
      <c r="L49" s="12"/>
      <c r="M49" s="12"/>
      <c r="N49" s="12"/>
      <c r="O49" s="12"/>
      <c r="P49" s="12"/>
      <c r="Q49" s="12"/>
    </row>
    <row r="50" spans="1:17" ht="37.9" customHeight="1" x14ac:dyDescent="0.2">
      <c r="A50" s="6">
        <v>22</v>
      </c>
      <c r="B50" s="92" t="s">
        <v>106</v>
      </c>
      <c r="C50" s="146" t="s">
        <v>672</v>
      </c>
      <c r="D50" s="91" t="s">
        <v>33</v>
      </c>
      <c r="E50" s="97">
        <v>3</v>
      </c>
      <c r="F50" s="89">
        <v>1098.6500000000001</v>
      </c>
      <c r="G50" s="12"/>
      <c r="H50" s="12"/>
      <c r="I50" s="12"/>
      <c r="J50" s="12"/>
      <c r="K50" s="129">
        <v>3296</v>
      </c>
      <c r="L50" s="12"/>
      <c r="M50" s="12"/>
      <c r="N50" s="12"/>
      <c r="O50" s="12"/>
      <c r="P50" s="12"/>
      <c r="Q50" s="12"/>
    </row>
    <row r="51" spans="1:17" ht="36" x14ac:dyDescent="0.2">
      <c r="A51" s="6">
        <v>23</v>
      </c>
      <c r="B51" s="92" t="s">
        <v>663</v>
      </c>
      <c r="C51" s="146" t="s">
        <v>662</v>
      </c>
      <c r="D51" s="91" t="s">
        <v>29</v>
      </c>
      <c r="E51" s="97">
        <v>3</v>
      </c>
      <c r="F51" s="89">
        <v>34.49</v>
      </c>
      <c r="G51" s="89">
        <v>27.97</v>
      </c>
      <c r="H51" s="89">
        <v>0.54</v>
      </c>
      <c r="I51" s="12"/>
      <c r="J51" s="12"/>
      <c r="K51" s="129">
        <v>103</v>
      </c>
      <c r="L51" s="12">
        <v>84</v>
      </c>
      <c r="M51" s="12">
        <v>2</v>
      </c>
      <c r="N51" s="12"/>
      <c r="O51" s="12">
        <v>1.68</v>
      </c>
      <c r="P51" s="12">
        <v>5.04</v>
      </c>
      <c r="Q51" s="12"/>
    </row>
    <row r="52" spans="1:17" ht="36" x14ac:dyDescent="0.2">
      <c r="A52" s="6">
        <v>24</v>
      </c>
      <c r="B52" s="92" t="s">
        <v>106</v>
      </c>
      <c r="C52" s="146" t="s">
        <v>671</v>
      </c>
      <c r="D52" s="91" t="s">
        <v>33</v>
      </c>
      <c r="E52" s="97">
        <v>3</v>
      </c>
      <c r="F52" s="89">
        <v>27.44</v>
      </c>
      <c r="G52" s="12"/>
      <c r="H52" s="12"/>
      <c r="I52" s="12"/>
      <c r="J52" s="12"/>
      <c r="K52" s="129">
        <v>82</v>
      </c>
      <c r="L52" s="12"/>
      <c r="M52" s="12"/>
      <c r="N52" s="12"/>
      <c r="O52" s="12"/>
      <c r="P52" s="12"/>
      <c r="Q52" s="12"/>
    </row>
    <row r="53" spans="1:17" ht="36" x14ac:dyDescent="0.2">
      <c r="A53" s="6">
        <v>25</v>
      </c>
      <c r="B53" s="92" t="s">
        <v>106</v>
      </c>
      <c r="C53" s="146" t="s">
        <v>670</v>
      </c>
      <c r="D53" s="91" t="s">
        <v>33</v>
      </c>
      <c r="E53" s="97">
        <v>3</v>
      </c>
      <c r="F53" s="89">
        <v>27.44</v>
      </c>
      <c r="G53" s="12"/>
      <c r="H53" s="12"/>
      <c r="I53" s="12"/>
      <c r="J53" s="12"/>
      <c r="K53" s="129">
        <v>82</v>
      </c>
      <c r="L53" s="12"/>
      <c r="M53" s="12"/>
      <c r="N53" s="12"/>
      <c r="O53" s="12"/>
      <c r="P53" s="12"/>
      <c r="Q53" s="12"/>
    </row>
    <row r="54" spans="1:17" x14ac:dyDescent="0.2">
      <c r="A54" s="6">
        <v>26</v>
      </c>
      <c r="B54" s="92" t="s">
        <v>330</v>
      </c>
      <c r="C54" s="146" t="s">
        <v>335</v>
      </c>
      <c r="D54" s="91" t="s">
        <v>29</v>
      </c>
      <c r="E54" s="90">
        <v>6</v>
      </c>
      <c r="F54" s="89">
        <v>98.76</v>
      </c>
      <c r="G54" s="89">
        <v>74.88</v>
      </c>
      <c r="H54" s="12"/>
      <c r="I54" s="12"/>
      <c r="J54" s="12"/>
      <c r="K54" s="129">
        <v>593</v>
      </c>
      <c r="L54" s="12">
        <v>449</v>
      </c>
      <c r="M54" s="12"/>
      <c r="N54" s="12"/>
      <c r="O54" s="12">
        <v>6</v>
      </c>
      <c r="P54" s="12">
        <v>36</v>
      </c>
      <c r="Q54" s="12"/>
    </row>
    <row r="55" spans="1:17" ht="24" x14ac:dyDescent="0.2">
      <c r="A55" s="6">
        <v>27</v>
      </c>
      <c r="B55" s="92" t="s">
        <v>304</v>
      </c>
      <c r="C55" s="146" t="s">
        <v>669</v>
      </c>
      <c r="D55" s="91" t="s">
        <v>29</v>
      </c>
      <c r="E55" s="97">
        <v>1</v>
      </c>
      <c r="F55" s="89">
        <v>121.87</v>
      </c>
      <c r="G55" s="89">
        <v>26.33</v>
      </c>
      <c r="H55" s="89">
        <v>2.39</v>
      </c>
      <c r="I55" s="12"/>
      <c r="J55" s="12"/>
      <c r="K55" s="129">
        <v>122</v>
      </c>
      <c r="L55" s="12">
        <v>26</v>
      </c>
      <c r="M55" s="12">
        <v>2</v>
      </c>
      <c r="N55" s="12"/>
      <c r="O55" s="12">
        <v>2.06</v>
      </c>
      <c r="P55" s="12">
        <v>2.06</v>
      </c>
      <c r="Q55" s="12"/>
    </row>
    <row r="56" spans="1:17" ht="36" x14ac:dyDescent="0.2">
      <c r="A56" s="6">
        <v>28</v>
      </c>
      <c r="B56" s="92" t="s">
        <v>106</v>
      </c>
      <c r="C56" s="146" t="s">
        <v>668</v>
      </c>
      <c r="D56" s="91" t="s">
        <v>33</v>
      </c>
      <c r="E56" s="97">
        <v>1</v>
      </c>
      <c r="F56" s="89">
        <v>1384.45</v>
      </c>
      <c r="G56" s="12"/>
      <c r="H56" s="12"/>
      <c r="I56" s="12"/>
      <c r="J56" s="12"/>
      <c r="K56" s="129">
        <v>1384</v>
      </c>
      <c r="L56" s="12"/>
      <c r="M56" s="12"/>
      <c r="N56" s="12"/>
      <c r="O56" s="12"/>
      <c r="P56" s="12"/>
      <c r="Q56" s="12"/>
    </row>
    <row r="57" spans="1:17" ht="24" x14ac:dyDescent="0.2">
      <c r="A57" s="6">
        <v>29</v>
      </c>
      <c r="B57" s="92" t="s">
        <v>106</v>
      </c>
      <c r="C57" s="146" t="s">
        <v>400</v>
      </c>
      <c r="D57" s="91" t="s">
        <v>33</v>
      </c>
      <c r="E57" s="97">
        <v>1</v>
      </c>
      <c r="F57" s="89">
        <v>332.36</v>
      </c>
      <c r="G57" s="12"/>
      <c r="H57" s="12"/>
      <c r="I57" s="12"/>
      <c r="J57" s="12"/>
      <c r="K57" s="129">
        <v>332</v>
      </c>
      <c r="L57" s="12"/>
      <c r="M57" s="12"/>
      <c r="N57" s="12"/>
      <c r="O57" s="12"/>
      <c r="P57" s="12"/>
      <c r="Q57" s="12"/>
    </row>
    <row r="58" spans="1:17" ht="24" x14ac:dyDescent="0.2">
      <c r="A58" s="6">
        <v>30</v>
      </c>
      <c r="B58" s="92" t="s">
        <v>106</v>
      </c>
      <c r="C58" s="146" t="s">
        <v>300</v>
      </c>
      <c r="D58" s="91" t="s">
        <v>299</v>
      </c>
      <c r="E58" s="97">
        <v>1</v>
      </c>
      <c r="F58" s="89">
        <v>53.52</v>
      </c>
      <c r="G58" s="12"/>
      <c r="H58" s="12"/>
      <c r="I58" s="12"/>
      <c r="J58" s="12"/>
      <c r="K58" s="129">
        <v>54</v>
      </c>
      <c r="L58" s="12"/>
      <c r="M58" s="12"/>
      <c r="N58" s="12"/>
      <c r="O58" s="12"/>
      <c r="P58" s="12"/>
      <c r="Q58" s="12"/>
    </row>
    <row r="59" spans="1:17" ht="24" x14ac:dyDescent="0.2">
      <c r="A59" s="6">
        <v>31</v>
      </c>
      <c r="B59" s="92" t="s">
        <v>106</v>
      </c>
      <c r="C59" s="146" t="s">
        <v>454</v>
      </c>
      <c r="D59" s="91" t="s">
        <v>33</v>
      </c>
      <c r="E59" s="97">
        <v>1</v>
      </c>
      <c r="F59" s="89">
        <v>84.54</v>
      </c>
      <c r="G59" s="12"/>
      <c r="H59" s="12"/>
      <c r="I59" s="12"/>
      <c r="J59" s="12"/>
      <c r="K59" s="129">
        <v>85</v>
      </c>
      <c r="L59" s="12"/>
      <c r="M59" s="12"/>
      <c r="N59" s="12"/>
      <c r="O59" s="12"/>
      <c r="P59" s="12"/>
      <c r="Q59" s="12"/>
    </row>
    <row r="60" spans="1:17" ht="24" x14ac:dyDescent="0.2">
      <c r="A60" s="6">
        <v>32</v>
      </c>
      <c r="B60" s="92" t="s">
        <v>106</v>
      </c>
      <c r="C60" s="146" t="s">
        <v>667</v>
      </c>
      <c r="D60" s="91" t="s">
        <v>33</v>
      </c>
      <c r="E60" s="97">
        <v>3</v>
      </c>
      <c r="F60" s="12"/>
      <c r="G60" s="12"/>
      <c r="H60" s="12"/>
      <c r="I60" s="12"/>
      <c r="J60" s="12">
        <v>9702</v>
      </c>
      <c r="K60" s="129">
        <v>9702</v>
      </c>
      <c r="L60" s="12"/>
      <c r="M60" s="12"/>
      <c r="N60" s="12"/>
      <c r="O60" s="12"/>
      <c r="P60" s="12"/>
      <c r="Q60" s="12"/>
    </row>
    <row r="61" spans="1:17" ht="24" x14ac:dyDescent="0.2">
      <c r="A61" s="6">
        <v>33</v>
      </c>
      <c r="B61" s="92" t="s">
        <v>348</v>
      </c>
      <c r="C61" s="146" t="s">
        <v>347</v>
      </c>
      <c r="D61" s="91" t="s">
        <v>346</v>
      </c>
      <c r="E61" s="97">
        <v>2</v>
      </c>
      <c r="F61" s="89">
        <v>104.48</v>
      </c>
      <c r="G61" s="89">
        <v>87.8</v>
      </c>
      <c r="H61" s="89">
        <v>1</v>
      </c>
      <c r="I61" s="12"/>
      <c r="J61" s="12"/>
      <c r="K61" s="129">
        <v>209</v>
      </c>
      <c r="L61" s="12">
        <v>176</v>
      </c>
      <c r="M61" s="12">
        <v>2</v>
      </c>
      <c r="N61" s="12"/>
      <c r="O61" s="12">
        <v>6.48</v>
      </c>
      <c r="P61" s="12">
        <v>12.96</v>
      </c>
      <c r="Q61" s="12"/>
    </row>
    <row r="62" spans="1:17" ht="33.6" customHeight="1" x14ac:dyDescent="0.2">
      <c r="A62" s="6">
        <v>34</v>
      </c>
      <c r="B62" s="92" t="s">
        <v>106</v>
      </c>
      <c r="C62" s="146" t="s">
        <v>345</v>
      </c>
      <c r="D62" s="91" t="s">
        <v>35</v>
      </c>
      <c r="E62" s="90">
        <v>75</v>
      </c>
      <c r="F62" s="89">
        <v>143.88</v>
      </c>
      <c r="G62" s="12"/>
      <c r="H62" s="12"/>
      <c r="I62" s="12"/>
      <c r="J62" s="12"/>
      <c r="K62" s="129">
        <v>10791</v>
      </c>
      <c r="L62" s="12"/>
      <c r="M62" s="12"/>
      <c r="N62" s="12"/>
      <c r="O62" s="12"/>
      <c r="P62" s="12"/>
      <c r="Q62" s="12"/>
    </row>
    <row r="63" spans="1:17" ht="24" x14ac:dyDescent="0.2">
      <c r="A63" s="6">
        <v>35</v>
      </c>
      <c r="B63" s="92" t="s">
        <v>343</v>
      </c>
      <c r="C63" s="146" t="s">
        <v>342</v>
      </c>
      <c r="D63" s="91" t="s">
        <v>76</v>
      </c>
      <c r="E63" s="90">
        <v>0.5</v>
      </c>
      <c r="F63" s="89">
        <v>1837.57</v>
      </c>
      <c r="G63" s="89">
        <v>474.14</v>
      </c>
      <c r="H63" s="89">
        <v>129.78</v>
      </c>
      <c r="I63" s="89">
        <v>23.9</v>
      </c>
      <c r="J63" s="12"/>
      <c r="K63" s="129">
        <v>919</v>
      </c>
      <c r="L63" s="12">
        <v>237</v>
      </c>
      <c r="M63" s="12">
        <v>65</v>
      </c>
      <c r="N63" s="12">
        <v>12</v>
      </c>
      <c r="O63" s="12">
        <v>37.1</v>
      </c>
      <c r="P63" s="12">
        <v>18.55</v>
      </c>
      <c r="Q63" s="12"/>
    </row>
    <row r="64" spans="1:17" ht="36" x14ac:dyDescent="0.2">
      <c r="A64" s="6">
        <v>36</v>
      </c>
      <c r="B64" s="92" t="s">
        <v>106</v>
      </c>
      <c r="C64" s="146" t="s">
        <v>666</v>
      </c>
      <c r="D64" s="91" t="s">
        <v>33</v>
      </c>
      <c r="E64" s="97">
        <v>3</v>
      </c>
      <c r="F64" s="89">
        <v>739.11</v>
      </c>
      <c r="G64" s="12"/>
      <c r="H64" s="12"/>
      <c r="I64" s="12"/>
      <c r="J64" s="12"/>
      <c r="K64" s="129">
        <v>2217</v>
      </c>
      <c r="L64" s="12"/>
      <c r="M64" s="12"/>
      <c r="N64" s="12"/>
      <c r="O64" s="12"/>
      <c r="P64" s="12"/>
      <c r="Q64" s="12"/>
    </row>
    <row r="65" spans="1:17" x14ac:dyDescent="0.2">
      <c r="A65" s="6">
        <v>37</v>
      </c>
      <c r="B65" s="92" t="s">
        <v>333</v>
      </c>
      <c r="C65" s="146" t="s">
        <v>541</v>
      </c>
      <c r="D65" s="91" t="s">
        <v>29</v>
      </c>
      <c r="E65" s="97">
        <v>2</v>
      </c>
      <c r="F65" s="89">
        <v>13.89</v>
      </c>
      <c r="G65" s="89">
        <v>12.78</v>
      </c>
      <c r="H65" s="12"/>
      <c r="I65" s="12"/>
      <c r="J65" s="12"/>
      <c r="K65" s="129">
        <v>28</v>
      </c>
      <c r="L65" s="12">
        <v>26</v>
      </c>
      <c r="M65" s="12"/>
      <c r="N65" s="12"/>
      <c r="O65" s="12">
        <v>1</v>
      </c>
      <c r="P65" s="12">
        <v>2</v>
      </c>
      <c r="Q65" s="12"/>
    </row>
    <row r="66" spans="1:17" ht="36" x14ac:dyDescent="0.2">
      <c r="A66" s="6">
        <v>38</v>
      </c>
      <c r="B66" s="92" t="s">
        <v>106</v>
      </c>
      <c r="C66" s="146" t="s">
        <v>665</v>
      </c>
      <c r="D66" s="91" t="s">
        <v>33</v>
      </c>
      <c r="E66" s="97">
        <v>5</v>
      </c>
      <c r="F66" s="89">
        <v>696.26</v>
      </c>
      <c r="G66" s="12"/>
      <c r="H66" s="12"/>
      <c r="I66" s="12"/>
      <c r="J66" s="12"/>
      <c r="K66" s="129">
        <v>3481</v>
      </c>
      <c r="L66" s="12"/>
      <c r="M66" s="12"/>
      <c r="N66" s="12"/>
      <c r="O66" s="12"/>
      <c r="P66" s="12"/>
      <c r="Q66" s="12"/>
    </row>
    <row r="67" spans="1:17" ht="24.6" customHeight="1" x14ac:dyDescent="0.2">
      <c r="A67" s="6">
        <v>39</v>
      </c>
      <c r="B67" s="92" t="s">
        <v>106</v>
      </c>
      <c r="C67" s="146" t="s">
        <v>664</v>
      </c>
      <c r="D67" s="91" t="s">
        <v>33</v>
      </c>
      <c r="E67" s="97">
        <v>1</v>
      </c>
      <c r="F67" s="89">
        <v>723.84</v>
      </c>
      <c r="G67" s="12"/>
      <c r="H67" s="12"/>
      <c r="I67" s="12"/>
      <c r="J67" s="12"/>
      <c r="K67" s="129">
        <v>724</v>
      </c>
      <c r="L67" s="12"/>
      <c r="M67" s="12"/>
      <c r="N67" s="12"/>
      <c r="O67" s="12"/>
      <c r="P67" s="12"/>
      <c r="Q67" s="12"/>
    </row>
    <row r="68" spans="1:17" ht="36" x14ac:dyDescent="0.2">
      <c r="A68" s="6">
        <v>40</v>
      </c>
      <c r="B68" s="92" t="s">
        <v>663</v>
      </c>
      <c r="C68" s="146" t="s">
        <v>662</v>
      </c>
      <c r="D68" s="91" t="s">
        <v>29</v>
      </c>
      <c r="E68" s="90">
        <v>5</v>
      </c>
      <c r="F68" s="89">
        <v>34.49</v>
      </c>
      <c r="G68" s="89">
        <v>27.97</v>
      </c>
      <c r="H68" s="89">
        <v>0.54</v>
      </c>
      <c r="I68" s="12"/>
      <c r="J68" s="12"/>
      <c r="K68" s="129">
        <v>172</v>
      </c>
      <c r="L68" s="12">
        <v>140</v>
      </c>
      <c r="M68" s="12">
        <v>3</v>
      </c>
      <c r="N68" s="12"/>
      <c r="O68" s="12">
        <v>1.68</v>
      </c>
      <c r="P68" s="12">
        <v>8.4</v>
      </c>
      <c r="Q68" s="12"/>
    </row>
    <row r="69" spans="1:17" ht="24" x14ac:dyDescent="0.2">
      <c r="A69" s="6">
        <v>41</v>
      </c>
      <c r="B69" s="92" t="s">
        <v>297</v>
      </c>
      <c r="C69" s="146" t="s">
        <v>661</v>
      </c>
      <c r="D69" s="91" t="s">
        <v>30</v>
      </c>
      <c r="E69" s="97">
        <v>1</v>
      </c>
      <c r="F69" s="89">
        <v>27.74</v>
      </c>
      <c r="G69" s="12"/>
      <c r="H69" s="12"/>
      <c r="I69" s="12"/>
      <c r="J69" s="12"/>
      <c r="K69" s="129">
        <v>28</v>
      </c>
      <c r="L69" s="12"/>
      <c r="M69" s="12"/>
      <c r="N69" s="12"/>
      <c r="O69" s="12"/>
      <c r="P69" s="12"/>
      <c r="Q69" s="12"/>
    </row>
    <row r="70" spans="1:17" ht="33.6" customHeight="1" x14ac:dyDescent="0.2">
      <c r="A70" s="6">
        <v>42</v>
      </c>
      <c r="B70" s="92" t="s">
        <v>295</v>
      </c>
      <c r="C70" s="146" t="s">
        <v>660</v>
      </c>
      <c r="D70" s="91" t="s">
        <v>29</v>
      </c>
      <c r="E70" s="97">
        <v>1</v>
      </c>
      <c r="F70" s="89">
        <v>174.77</v>
      </c>
      <c r="G70" s="89">
        <v>20.9</v>
      </c>
      <c r="H70" s="89">
        <v>1.28</v>
      </c>
      <c r="I70" s="12"/>
      <c r="J70" s="12"/>
      <c r="K70" s="129">
        <v>175</v>
      </c>
      <c r="L70" s="12">
        <v>21</v>
      </c>
      <c r="M70" s="12">
        <v>1</v>
      </c>
      <c r="N70" s="12"/>
      <c r="O70" s="12">
        <v>1.56</v>
      </c>
      <c r="P70" s="12">
        <v>1.56</v>
      </c>
      <c r="Q70" s="12"/>
    </row>
    <row r="71" spans="1:17" ht="24" x14ac:dyDescent="0.2">
      <c r="A71" s="6">
        <v>43</v>
      </c>
      <c r="B71" s="92" t="s">
        <v>106</v>
      </c>
      <c r="C71" s="146" t="s">
        <v>659</v>
      </c>
      <c r="D71" s="91" t="s">
        <v>33</v>
      </c>
      <c r="E71" s="97">
        <v>1</v>
      </c>
      <c r="F71" s="89">
        <v>80.48</v>
      </c>
      <c r="G71" s="12"/>
      <c r="H71" s="12"/>
      <c r="I71" s="12"/>
      <c r="J71" s="12"/>
      <c r="K71" s="129">
        <v>80</v>
      </c>
      <c r="L71" s="12"/>
      <c r="M71" s="12"/>
      <c r="N71" s="12"/>
      <c r="O71" s="12"/>
      <c r="P71" s="12"/>
      <c r="Q71" s="12"/>
    </row>
    <row r="72" spans="1:17" ht="24" x14ac:dyDescent="0.2">
      <c r="A72" s="6">
        <v>44</v>
      </c>
      <c r="B72" s="92" t="s">
        <v>324</v>
      </c>
      <c r="C72" s="146" t="s">
        <v>323</v>
      </c>
      <c r="D72" s="91" t="s">
        <v>29</v>
      </c>
      <c r="E72" s="97">
        <v>1</v>
      </c>
      <c r="F72" s="89">
        <v>59.97</v>
      </c>
      <c r="G72" s="89">
        <v>51.77</v>
      </c>
      <c r="H72" s="89">
        <v>0.37</v>
      </c>
      <c r="I72" s="12"/>
      <c r="J72" s="12"/>
      <c r="K72" s="129">
        <v>60</v>
      </c>
      <c r="L72" s="12">
        <v>52</v>
      </c>
      <c r="M72" s="12"/>
      <c r="N72" s="12"/>
      <c r="O72" s="12">
        <v>3.6</v>
      </c>
      <c r="P72" s="12">
        <v>3.6</v>
      </c>
      <c r="Q72" s="12"/>
    </row>
    <row r="73" spans="1:17" ht="24" x14ac:dyDescent="0.2">
      <c r="A73" s="6">
        <v>45</v>
      </c>
      <c r="B73" s="92" t="s">
        <v>106</v>
      </c>
      <c r="C73" s="146" t="s">
        <v>658</v>
      </c>
      <c r="D73" s="91" t="s">
        <v>33</v>
      </c>
      <c r="E73" s="97">
        <v>1</v>
      </c>
      <c r="F73" s="12"/>
      <c r="G73" s="12"/>
      <c r="H73" s="12"/>
      <c r="I73" s="12"/>
      <c r="J73" s="12">
        <v>604</v>
      </c>
      <c r="K73" s="129">
        <v>604</v>
      </c>
      <c r="L73" s="12"/>
      <c r="M73" s="12"/>
      <c r="N73" s="12"/>
      <c r="O73" s="12"/>
      <c r="P73" s="12"/>
      <c r="Q73" s="12"/>
    </row>
    <row r="74" spans="1:17" ht="36" x14ac:dyDescent="0.2">
      <c r="A74" s="6">
        <v>46</v>
      </c>
      <c r="B74" s="92" t="s">
        <v>363</v>
      </c>
      <c r="C74" s="146" t="s">
        <v>657</v>
      </c>
      <c r="D74" s="91" t="s">
        <v>29</v>
      </c>
      <c r="E74" s="97">
        <v>1</v>
      </c>
      <c r="F74" s="89">
        <v>117.52</v>
      </c>
      <c r="G74" s="89">
        <v>102.02</v>
      </c>
      <c r="H74" s="89">
        <v>0.46</v>
      </c>
      <c r="I74" s="12"/>
      <c r="J74" s="12"/>
      <c r="K74" s="129">
        <v>118</v>
      </c>
      <c r="L74" s="12">
        <v>102</v>
      </c>
      <c r="M74" s="12"/>
      <c r="N74" s="12"/>
      <c r="O74" s="12">
        <v>7.2</v>
      </c>
      <c r="P74" s="12">
        <v>7.2</v>
      </c>
      <c r="Q74" s="12"/>
    </row>
    <row r="75" spans="1:17" ht="24" x14ac:dyDescent="0.2">
      <c r="A75" s="6">
        <v>47</v>
      </c>
      <c r="B75" s="92" t="s">
        <v>106</v>
      </c>
      <c r="C75" s="146" t="s">
        <v>656</v>
      </c>
      <c r="D75" s="91" t="s">
        <v>33</v>
      </c>
      <c r="E75" s="97">
        <v>3</v>
      </c>
      <c r="F75" s="89">
        <v>58.11</v>
      </c>
      <c r="G75" s="12"/>
      <c r="H75" s="12"/>
      <c r="I75" s="12"/>
      <c r="J75" s="12"/>
      <c r="K75" s="129">
        <v>174</v>
      </c>
      <c r="L75" s="12"/>
      <c r="M75" s="12"/>
      <c r="N75" s="12"/>
      <c r="O75" s="12"/>
      <c r="P75" s="12"/>
      <c r="Q75" s="12"/>
    </row>
    <row r="76" spans="1:17" ht="24" x14ac:dyDescent="0.2">
      <c r="A76" s="6">
        <v>48</v>
      </c>
      <c r="B76" s="92" t="s">
        <v>584</v>
      </c>
      <c r="C76" s="146" t="s">
        <v>583</v>
      </c>
      <c r="D76" s="91" t="s">
        <v>29</v>
      </c>
      <c r="E76" s="97">
        <v>3</v>
      </c>
      <c r="F76" s="89">
        <v>55.9</v>
      </c>
      <c r="G76" s="89">
        <v>48.78</v>
      </c>
      <c r="H76" s="89">
        <v>0.37</v>
      </c>
      <c r="I76" s="12"/>
      <c r="J76" s="12"/>
      <c r="K76" s="129">
        <v>168</v>
      </c>
      <c r="L76" s="12">
        <v>146</v>
      </c>
      <c r="M76" s="12">
        <v>1</v>
      </c>
      <c r="N76" s="12"/>
      <c r="O76" s="12">
        <v>3.6</v>
      </c>
      <c r="P76" s="12">
        <v>10.8</v>
      </c>
      <c r="Q76" s="12"/>
    </row>
    <row r="77" spans="1:17" ht="36" x14ac:dyDescent="0.2">
      <c r="A77" s="6">
        <v>49</v>
      </c>
      <c r="B77" s="92" t="s">
        <v>106</v>
      </c>
      <c r="C77" s="146" t="s">
        <v>655</v>
      </c>
      <c r="D77" s="91" t="s">
        <v>33</v>
      </c>
      <c r="E77" s="97">
        <v>1</v>
      </c>
      <c r="F77" s="12"/>
      <c r="G77" s="12"/>
      <c r="H77" s="12"/>
      <c r="I77" s="12"/>
      <c r="J77" s="12">
        <v>548</v>
      </c>
      <c r="K77" s="129">
        <v>548</v>
      </c>
      <c r="L77" s="12"/>
      <c r="M77" s="12"/>
      <c r="N77" s="12"/>
      <c r="O77" s="12"/>
      <c r="P77" s="12"/>
      <c r="Q77" s="12"/>
    </row>
    <row r="78" spans="1:17" ht="24" x14ac:dyDescent="0.2">
      <c r="A78" s="6">
        <v>50</v>
      </c>
      <c r="B78" s="92" t="s">
        <v>470</v>
      </c>
      <c r="C78" s="146" t="s">
        <v>654</v>
      </c>
      <c r="D78" s="91" t="s">
        <v>29</v>
      </c>
      <c r="E78" s="97">
        <v>1</v>
      </c>
      <c r="F78" s="89">
        <v>64.92</v>
      </c>
      <c r="G78" s="89">
        <v>57.52</v>
      </c>
      <c r="H78" s="89">
        <v>0.37</v>
      </c>
      <c r="I78" s="12"/>
      <c r="J78" s="12"/>
      <c r="K78" s="129">
        <v>65</v>
      </c>
      <c r="L78" s="12">
        <v>58</v>
      </c>
      <c r="M78" s="12"/>
      <c r="N78" s="12"/>
      <c r="O78" s="12">
        <v>4</v>
      </c>
      <c r="P78" s="12">
        <v>4</v>
      </c>
      <c r="Q78" s="12"/>
    </row>
    <row r="79" spans="1:17" x14ac:dyDescent="0.2">
      <c r="A79" s="6">
        <v>51</v>
      </c>
      <c r="B79" s="92" t="s">
        <v>308</v>
      </c>
      <c r="C79" s="146" t="s">
        <v>528</v>
      </c>
      <c r="D79" s="91" t="s">
        <v>30</v>
      </c>
      <c r="E79" s="97">
        <v>8</v>
      </c>
      <c r="F79" s="89">
        <v>1.19</v>
      </c>
      <c r="G79" s="12"/>
      <c r="H79" s="12"/>
      <c r="I79" s="12"/>
      <c r="J79" s="12"/>
      <c r="K79" s="129">
        <v>10</v>
      </c>
      <c r="L79" s="12"/>
      <c r="M79" s="12"/>
      <c r="N79" s="12"/>
      <c r="O79" s="12"/>
      <c r="P79" s="12"/>
      <c r="Q79" s="12"/>
    </row>
    <row r="80" spans="1:17" x14ac:dyDescent="0.2">
      <c r="A80" s="6">
        <v>52</v>
      </c>
      <c r="B80" s="92" t="s">
        <v>306</v>
      </c>
      <c r="C80" s="146" t="s">
        <v>305</v>
      </c>
      <c r="D80" s="91" t="s">
        <v>29</v>
      </c>
      <c r="E80" s="90">
        <v>8</v>
      </c>
      <c r="F80" s="89">
        <v>8.41</v>
      </c>
      <c r="G80" s="89">
        <v>7.26</v>
      </c>
      <c r="H80" s="12"/>
      <c r="I80" s="12"/>
      <c r="J80" s="12"/>
      <c r="K80" s="129">
        <v>67</v>
      </c>
      <c r="L80" s="12">
        <v>58</v>
      </c>
      <c r="M80" s="12"/>
      <c r="N80" s="12"/>
      <c r="O80" s="12">
        <v>0.52</v>
      </c>
      <c r="P80" s="12">
        <v>4.16</v>
      </c>
      <c r="Q80" s="12"/>
    </row>
    <row r="81" spans="1:17" ht="33.6" customHeight="1" x14ac:dyDescent="0.2">
      <c r="A81" s="6">
        <v>53</v>
      </c>
      <c r="B81" s="92" t="s">
        <v>106</v>
      </c>
      <c r="C81" s="146" t="s">
        <v>653</v>
      </c>
      <c r="D81" s="91" t="s">
        <v>33</v>
      </c>
      <c r="E81" s="90">
        <v>4</v>
      </c>
      <c r="F81" s="89">
        <v>453.87</v>
      </c>
      <c r="G81" s="12"/>
      <c r="H81" s="12"/>
      <c r="I81" s="12"/>
      <c r="J81" s="12"/>
      <c r="K81" s="129">
        <v>1815</v>
      </c>
      <c r="L81" s="12"/>
      <c r="M81" s="12"/>
      <c r="N81" s="12"/>
      <c r="O81" s="12"/>
      <c r="P81" s="12"/>
      <c r="Q81" s="12"/>
    </row>
    <row r="82" spans="1:17" ht="33.6" customHeight="1" x14ac:dyDescent="0.2">
      <c r="A82" s="6">
        <v>54</v>
      </c>
      <c r="B82" s="92" t="s">
        <v>652</v>
      </c>
      <c r="C82" s="146" t="s">
        <v>651</v>
      </c>
      <c r="D82" s="91" t="s">
        <v>29</v>
      </c>
      <c r="E82" s="97">
        <v>2</v>
      </c>
      <c r="F82" s="89">
        <v>483.41</v>
      </c>
      <c r="G82" s="89">
        <v>239.39</v>
      </c>
      <c r="H82" s="89">
        <v>48.04</v>
      </c>
      <c r="I82" s="12"/>
      <c r="J82" s="12"/>
      <c r="K82" s="129">
        <v>967</v>
      </c>
      <c r="L82" s="12">
        <v>479</v>
      </c>
      <c r="M82" s="12">
        <v>96</v>
      </c>
      <c r="N82" s="12"/>
      <c r="O82" s="12">
        <v>18.5</v>
      </c>
      <c r="P82" s="12">
        <v>37</v>
      </c>
      <c r="Q82" s="12"/>
    </row>
    <row r="83" spans="1:17" ht="33.6" customHeight="1" x14ac:dyDescent="0.2">
      <c r="A83" s="6">
        <v>55</v>
      </c>
      <c r="B83" s="92" t="s">
        <v>315</v>
      </c>
      <c r="C83" s="146" t="s">
        <v>314</v>
      </c>
      <c r="D83" s="91" t="s">
        <v>31</v>
      </c>
      <c r="E83" s="90">
        <v>3.0599999999999999E-2</v>
      </c>
      <c r="F83" s="89">
        <v>6962.8</v>
      </c>
      <c r="G83" s="12"/>
      <c r="H83" s="12"/>
      <c r="I83" s="12"/>
      <c r="J83" s="12"/>
      <c r="K83" s="129">
        <v>213</v>
      </c>
      <c r="L83" s="12"/>
      <c r="M83" s="12"/>
      <c r="N83" s="12"/>
      <c r="O83" s="12"/>
      <c r="P83" s="12"/>
      <c r="Q83" s="12"/>
    </row>
    <row r="84" spans="1:17" ht="33.6" customHeight="1" x14ac:dyDescent="0.2">
      <c r="A84" s="6">
        <v>56</v>
      </c>
      <c r="B84" s="92" t="s">
        <v>650</v>
      </c>
      <c r="C84" s="146" t="s">
        <v>649</v>
      </c>
      <c r="D84" s="91" t="s">
        <v>31</v>
      </c>
      <c r="E84" s="90">
        <v>1.4999999999999999E-2</v>
      </c>
      <c r="F84" s="89">
        <v>13756</v>
      </c>
      <c r="G84" s="12"/>
      <c r="H84" s="12"/>
      <c r="I84" s="12"/>
      <c r="J84" s="12"/>
      <c r="K84" s="129">
        <v>206</v>
      </c>
      <c r="L84" s="12"/>
      <c r="M84" s="12"/>
      <c r="N84" s="12"/>
      <c r="O84" s="12"/>
      <c r="P84" s="12"/>
      <c r="Q84" s="12"/>
    </row>
    <row r="85" spans="1:17" ht="24" x14ac:dyDescent="0.2">
      <c r="A85" s="6">
        <v>57</v>
      </c>
      <c r="B85" s="92" t="s">
        <v>106</v>
      </c>
      <c r="C85" s="146" t="s">
        <v>648</v>
      </c>
      <c r="D85" s="91" t="s">
        <v>31</v>
      </c>
      <c r="E85" s="90">
        <v>0.18360000000000001</v>
      </c>
      <c r="F85" s="89">
        <v>7078.71</v>
      </c>
      <c r="G85" s="12"/>
      <c r="H85" s="12"/>
      <c r="I85" s="12"/>
      <c r="J85" s="12"/>
      <c r="K85" s="129">
        <v>1300</v>
      </c>
      <c r="L85" s="12"/>
      <c r="M85" s="12"/>
      <c r="N85" s="12"/>
      <c r="O85" s="12"/>
      <c r="P85" s="12"/>
      <c r="Q85" s="12"/>
    </row>
    <row r="86" spans="1:17" ht="33.6" customHeight="1" x14ac:dyDescent="0.2">
      <c r="A86" s="6">
        <v>58</v>
      </c>
      <c r="B86" s="92" t="s">
        <v>418</v>
      </c>
      <c r="C86" s="146" t="s">
        <v>417</v>
      </c>
      <c r="D86" s="91" t="s">
        <v>34</v>
      </c>
      <c r="E86" s="90">
        <v>2.25</v>
      </c>
      <c r="F86" s="89">
        <v>4032.86</v>
      </c>
      <c r="G86" s="89">
        <v>683.7</v>
      </c>
      <c r="H86" s="89">
        <v>957.86</v>
      </c>
      <c r="I86" s="89">
        <v>390.47</v>
      </c>
      <c r="J86" s="12"/>
      <c r="K86" s="129">
        <v>9074</v>
      </c>
      <c r="L86" s="12">
        <v>1538</v>
      </c>
      <c r="M86" s="12">
        <v>2155</v>
      </c>
      <c r="N86" s="12">
        <v>879</v>
      </c>
      <c r="O86" s="12">
        <v>51.6</v>
      </c>
      <c r="P86" s="12">
        <v>116.1</v>
      </c>
      <c r="Q86" s="12"/>
    </row>
    <row r="87" spans="1:17" ht="24" x14ac:dyDescent="0.2">
      <c r="A87" s="6">
        <v>59</v>
      </c>
      <c r="B87" s="92" t="s">
        <v>106</v>
      </c>
      <c r="C87" s="146" t="s">
        <v>647</v>
      </c>
      <c r="D87" s="91" t="s">
        <v>31</v>
      </c>
      <c r="E87" s="90">
        <v>5.6099999999999997E-2</v>
      </c>
      <c r="F87" s="89">
        <v>7630.78</v>
      </c>
      <c r="G87" s="12"/>
      <c r="H87" s="12"/>
      <c r="I87" s="12"/>
      <c r="J87" s="12"/>
      <c r="K87" s="129">
        <v>428</v>
      </c>
      <c r="L87" s="12"/>
      <c r="M87" s="12"/>
      <c r="N87" s="12"/>
      <c r="O87" s="12"/>
      <c r="P87" s="12"/>
      <c r="Q87" s="12"/>
    </row>
    <row r="88" spans="1:17" ht="24" x14ac:dyDescent="0.2">
      <c r="A88" s="6">
        <v>60</v>
      </c>
      <c r="B88" s="92" t="s">
        <v>106</v>
      </c>
      <c r="C88" s="146" t="s">
        <v>646</v>
      </c>
      <c r="D88" s="91" t="s">
        <v>31</v>
      </c>
      <c r="E88" s="90">
        <v>0.56610000000000005</v>
      </c>
      <c r="F88" s="89">
        <v>4071</v>
      </c>
      <c r="G88" s="12"/>
      <c r="H88" s="12"/>
      <c r="I88" s="12"/>
      <c r="J88" s="12"/>
      <c r="K88" s="129">
        <v>2305</v>
      </c>
      <c r="L88" s="12"/>
      <c r="M88" s="12"/>
      <c r="N88" s="12"/>
      <c r="O88" s="12"/>
      <c r="P88" s="12"/>
      <c r="Q88" s="12"/>
    </row>
    <row r="89" spans="1:17" ht="24" x14ac:dyDescent="0.2">
      <c r="A89" s="6">
        <v>61</v>
      </c>
      <c r="B89" s="92" t="s">
        <v>106</v>
      </c>
      <c r="C89" s="146" t="s">
        <v>645</v>
      </c>
      <c r="D89" s="91" t="s">
        <v>31</v>
      </c>
      <c r="E89" s="90">
        <v>9.3840000000000007E-2</v>
      </c>
      <c r="F89" s="89">
        <v>21048.5</v>
      </c>
      <c r="G89" s="12"/>
      <c r="H89" s="12"/>
      <c r="I89" s="12"/>
      <c r="J89" s="12"/>
      <c r="K89" s="129">
        <v>1975</v>
      </c>
      <c r="L89" s="12"/>
      <c r="M89" s="12"/>
      <c r="N89" s="12"/>
      <c r="O89" s="12"/>
      <c r="P89" s="12"/>
      <c r="Q89" s="12"/>
    </row>
    <row r="90" spans="1:17" ht="24" x14ac:dyDescent="0.2">
      <c r="A90" s="6">
        <v>62</v>
      </c>
      <c r="B90" s="92" t="s">
        <v>343</v>
      </c>
      <c r="C90" s="146" t="s">
        <v>644</v>
      </c>
      <c r="D90" s="91" t="s">
        <v>76</v>
      </c>
      <c r="E90" s="90">
        <v>0.70199999999999996</v>
      </c>
      <c r="F90" s="89">
        <v>1837.57</v>
      </c>
      <c r="G90" s="89">
        <v>474.14</v>
      </c>
      <c r="H90" s="89">
        <v>129.78</v>
      </c>
      <c r="I90" s="89">
        <v>23.9</v>
      </c>
      <c r="J90" s="12"/>
      <c r="K90" s="129">
        <v>1290</v>
      </c>
      <c r="L90" s="12">
        <v>333</v>
      </c>
      <c r="M90" s="12">
        <v>91</v>
      </c>
      <c r="N90" s="12">
        <v>17</v>
      </c>
      <c r="O90" s="12">
        <v>37.1</v>
      </c>
      <c r="P90" s="12">
        <v>26.04</v>
      </c>
      <c r="Q90" s="12"/>
    </row>
    <row r="91" spans="1:17" ht="24" x14ac:dyDescent="0.2">
      <c r="A91" s="6">
        <v>63</v>
      </c>
      <c r="B91" s="92" t="s">
        <v>106</v>
      </c>
      <c r="C91" s="146" t="s">
        <v>643</v>
      </c>
      <c r="D91" s="91" t="s">
        <v>33</v>
      </c>
      <c r="E91" s="97">
        <v>3</v>
      </c>
      <c r="F91" s="89">
        <v>291.89</v>
      </c>
      <c r="G91" s="12"/>
      <c r="H91" s="12"/>
      <c r="I91" s="12"/>
      <c r="J91" s="12"/>
      <c r="K91" s="129">
        <v>876</v>
      </c>
      <c r="L91" s="12"/>
      <c r="M91" s="12"/>
      <c r="N91" s="12"/>
      <c r="O91" s="12"/>
      <c r="P91" s="12"/>
      <c r="Q91" s="12"/>
    </row>
    <row r="92" spans="1:17" x14ac:dyDescent="0.2">
      <c r="A92" s="6">
        <v>64</v>
      </c>
      <c r="B92" s="92" t="s">
        <v>399</v>
      </c>
      <c r="C92" s="146" t="s">
        <v>642</v>
      </c>
      <c r="D92" s="91" t="s">
        <v>29</v>
      </c>
      <c r="E92" s="97">
        <v>3</v>
      </c>
      <c r="F92" s="89">
        <v>58.16</v>
      </c>
      <c r="G92" s="89">
        <v>48.04</v>
      </c>
      <c r="H92" s="12"/>
      <c r="I92" s="12"/>
      <c r="J92" s="12"/>
      <c r="K92" s="129">
        <v>174</v>
      </c>
      <c r="L92" s="12">
        <v>144</v>
      </c>
      <c r="M92" s="12"/>
      <c r="N92" s="12"/>
      <c r="O92" s="12">
        <v>4</v>
      </c>
      <c r="P92" s="12">
        <v>12</v>
      </c>
      <c r="Q92" s="12"/>
    </row>
    <row r="93" spans="1:17" ht="24" x14ac:dyDescent="0.2">
      <c r="A93" s="6">
        <v>65</v>
      </c>
      <c r="B93" s="92" t="s">
        <v>399</v>
      </c>
      <c r="C93" s="146" t="s">
        <v>408</v>
      </c>
      <c r="D93" s="91" t="s">
        <v>29</v>
      </c>
      <c r="E93" s="90">
        <v>8</v>
      </c>
      <c r="F93" s="89">
        <v>58.16</v>
      </c>
      <c r="G93" s="89">
        <v>48.04</v>
      </c>
      <c r="H93" s="12"/>
      <c r="I93" s="12"/>
      <c r="J93" s="12"/>
      <c r="K93" s="129">
        <v>465</v>
      </c>
      <c r="L93" s="12">
        <v>384</v>
      </c>
      <c r="M93" s="12"/>
      <c r="N93" s="12"/>
      <c r="O93" s="12">
        <v>4</v>
      </c>
      <c r="P93" s="12">
        <v>32</v>
      </c>
      <c r="Q93" s="12"/>
    </row>
    <row r="94" spans="1:17" ht="36" x14ac:dyDescent="0.2">
      <c r="A94" s="6">
        <v>66</v>
      </c>
      <c r="B94" s="92" t="s">
        <v>106</v>
      </c>
      <c r="C94" s="146" t="s">
        <v>641</v>
      </c>
      <c r="D94" s="91" t="s">
        <v>33</v>
      </c>
      <c r="E94" s="97">
        <v>7</v>
      </c>
      <c r="F94" s="89">
        <v>10.36</v>
      </c>
      <c r="G94" s="12"/>
      <c r="H94" s="12"/>
      <c r="I94" s="12"/>
      <c r="J94" s="12"/>
      <c r="K94" s="129">
        <v>73</v>
      </c>
      <c r="L94" s="12"/>
      <c r="M94" s="12"/>
      <c r="N94" s="12"/>
      <c r="O94" s="12"/>
      <c r="P94" s="12"/>
      <c r="Q94" s="12"/>
    </row>
    <row r="95" spans="1:17" ht="36" x14ac:dyDescent="0.2">
      <c r="A95" s="6">
        <v>67</v>
      </c>
      <c r="B95" s="92" t="s">
        <v>106</v>
      </c>
      <c r="C95" s="146" t="s">
        <v>640</v>
      </c>
      <c r="D95" s="91" t="s">
        <v>33</v>
      </c>
      <c r="E95" s="97">
        <v>1</v>
      </c>
      <c r="F95" s="89">
        <v>57.46</v>
      </c>
      <c r="G95" s="12"/>
      <c r="H95" s="12"/>
      <c r="I95" s="12"/>
      <c r="J95" s="12"/>
      <c r="K95" s="129">
        <v>57</v>
      </c>
      <c r="L95" s="12"/>
      <c r="M95" s="12"/>
      <c r="N95" s="12"/>
      <c r="O95" s="12"/>
      <c r="P95" s="12"/>
      <c r="Q95" s="12"/>
    </row>
    <row r="96" spans="1:17" ht="24" x14ac:dyDescent="0.2">
      <c r="A96" s="6">
        <v>68</v>
      </c>
      <c r="B96" s="92" t="s">
        <v>106</v>
      </c>
      <c r="C96" s="146" t="s">
        <v>639</v>
      </c>
      <c r="D96" s="91" t="s">
        <v>33</v>
      </c>
      <c r="E96" s="97">
        <v>1</v>
      </c>
      <c r="F96" s="89">
        <v>11.58</v>
      </c>
      <c r="G96" s="12"/>
      <c r="H96" s="12"/>
      <c r="I96" s="12"/>
      <c r="J96" s="12"/>
      <c r="K96" s="129">
        <v>12</v>
      </c>
      <c r="L96" s="12"/>
      <c r="M96" s="12"/>
      <c r="N96" s="12"/>
      <c r="O96" s="12"/>
      <c r="P96" s="12"/>
      <c r="Q96" s="12"/>
    </row>
    <row r="97" spans="1:17" x14ac:dyDescent="0.2">
      <c r="A97" s="166" t="s">
        <v>638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</row>
    <row r="98" spans="1:17" ht="33.6" customHeight="1" x14ac:dyDescent="0.2">
      <c r="A98" s="6">
        <v>69</v>
      </c>
      <c r="B98" s="92" t="s">
        <v>273</v>
      </c>
      <c r="C98" s="146" t="s">
        <v>272</v>
      </c>
      <c r="D98" s="91" t="s">
        <v>271</v>
      </c>
      <c r="E98" s="90">
        <v>24</v>
      </c>
      <c r="F98" s="89">
        <v>27.19</v>
      </c>
      <c r="G98" s="89">
        <v>27.19</v>
      </c>
      <c r="H98" s="12"/>
      <c r="I98" s="12"/>
      <c r="J98" s="12"/>
      <c r="K98" s="129">
        <v>653</v>
      </c>
      <c r="L98" s="12">
        <v>653</v>
      </c>
      <c r="M98" s="12"/>
      <c r="N98" s="12"/>
      <c r="O98" s="12">
        <v>1.65</v>
      </c>
      <c r="P98" s="12">
        <v>39.6</v>
      </c>
      <c r="Q98" s="12"/>
    </row>
    <row r="99" spans="1:17" ht="33.6" customHeight="1" x14ac:dyDescent="0.2">
      <c r="A99" s="6">
        <v>70</v>
      </c>
      <c r="B99" s="92" t="s">
        <v>270</v>
      </c>
      <c r="C99" s="146" t="s">
        <v>269</v>
      </c>
      <c r="D99" s="91" t="s">
        <v>268</v>
      </c>
      <c r="E99" s="97">
        <v>2</v>
      </c>
      <c r="F99" s="89">
        <v>95.38</v>
      </c>
      <c r="G99" s="89">
        <v>95.38</v>
      </c>
      <c r="H99" s="12"/>
      <c r="I99" s="12"/>
      <c r="J99" s="12"/>
      <c r="K99" s="129">
        <v>191</v>
      </c>
      <c r="L99" s="12">
        <v>191</v>
      </c>
      <c r="M99" s="12"/>
      <c r="N99" s="12"/>
      <c r="O99" s="12">
        <v>6</v>
      </c>
      <c r="P99" s="12">
        <v>12</v>
      </c>
      <c r="Q99" s="12"/>
    </row>
    <row r="100" spans="1:17" x14ac:dyDescent="0.2">
      <c r="A100" s="168" t="s">
        <v>36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30">
        <v>118732</v>
      </c>
      <c r="L100" s="89">
        <v>8063</v>
      </c>
      <c r="M100" s="89">
        <v>2935</v>
      </c>
      <c r="N100" s="89">
        <v>1002</v>
      </c>
      <c r="O100" s="12"/>
      <c r="P100" s="89">
        <v>600.97</v>
      </c>
      <c r="Q100" s="12"/>
    </row>
    <row r="101" spans="1:17" x14ac:dyDescent="0.2">
      <c r="A101" s="168" t="s">
        <v>37</v>
      </c>
      <c r="B101" s="167"/>
      <c r="C101" s="167"/>
      <c r="D101" s="167"/>
      <c r="E101" s="167"/>
      <c r="F101" s="167"/>
      <c r="G101" s="167"/>
      <c r="H101" s="167"/>
      <c r="I101" s="167"/>
      <c r="J101" s="167"/>
      <c r="K101" s="130">
        <v>125064</v>
      </c>
      <c r="L101" s="89">
        <v>10974</v>
      </c>
      <c r="M101" s="89">
        <v>4020</v>
      </c>
      <c r="N101" s="89">
        <v>1411</v>
      </c>
      <c r="O101" s="12"/>
      <c r="P101" s="89">
        <v>789.13</v>
      </c>
      <c r="Q101" s="12"/>
    </row>
    <row r="102" spans="1:17" x14ac:dyDescent="0.2">
      <c r="A102" s="168" t="s">
        <v>86</v>
      </c>
      <c r="B102" s="167"/>
      <c r="C102" s="167"/>
      <c r="D102" s="167"/>
      <c r="E102" s="167"/>
      <c r="F102" s="167"/>
      <c r="G102" s="167"/>
      <c r="H102" s="167"/>
      <c r="I102" s="167"/>
      <c r="J102" s="167"/>
      <c r="K102" s="129"/>
      <c r="L102" s="12"/>
      <c r="M102" s="12"/>
      <c r="N102" s="12"/>
      <c r="O102" s="12"/>
      <c r="P102" s="12"/>
      <c r="Q102" s="12"/>
    </row>
    <row r="103" spans="1:17" ht="15" customHeight="1" x14ac:dyDescent="0.2">
      <c r="A103" s="168" t="s">
        <v>637</v>
      </c>
      <c r="B103" s="167"/>
      <c r="C103" s="167"/>
      <c r="D103" s="167"/>
      <c r="E103" s="167"/>
      <c r="F103" s="167"/>
      <c r="G103" s="167"/>
      <c r="H103" s="167"/>
      <c r="I103" s="167"/>
      <c r="J103" s="167"/>
      <c r="K103" s="130">
        <v>389</v>
      </c>
      <c r="L103" s="89">
        <v>347</v>
      </c>
      <c r="M103" s="89">
        <v>43</v>
      </c>
      <c r="N103" s="89">
        <v>43</v>
      </c>
      <c r="O103" s="12"/>
      <c r="P103" s="12"/>
      <c r="Q103" s="12"/>
    </row>
    <row r="104" spans="1:17" ht="24" customHeight="1" x14ac:dyDescent="0.2">
      <c r="A104" s="168" t="s">
        <v>636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30">
        <v>1163</v>
      </c>
      <c r="L104" s="12"/>
      <c r="M104" s="12"/>
      <c r="N104" s="12"/>
      <c r="O104" s="12"/>
      <c r="P104" s="12"/>
      <c r="Q104" s="12"/>
    </row>
    <row r="105" spans="1:17" ht="15" customHeight="1" x14ac:dyDescent="0.2">
      <c r="A105" s="168" t="s">
        <v>635</v>
      </c>
      <c r="B105" s="167"/>
      <c r="C105" s="167"/>
      <c r="D105" s="167"/>
      <c r="E105" s="167"/>
      <c r="F105" s="167"/>
      <c r="G105" s="167"/>
      <c r="H105" s="167"/>
      <c r="I105" s="167"/>
      <c r="J105" s="167"/>
      <c r="K105" s="130">
        <v>728</v>
      </c>
      <c r="L105" s="12"/>
      <c r="M105" s="12"/>
      <c r="N105" s="12"/>
      <c r="O105" s="12"/>
      <c r="P105" s="12"/>
      <c r="Q105" s="12"/>
    </row>
    <row r="106" spans="1:17" ht="24.6" customHeight="1" x14ac:dyDescent="0.2">
      <c r="A106" s="168" t="s">
        <v>634</v>
      </c>
      <c r="B106" s="167"/>
      <c r="C106" s="167"/>
      <c r="D106" s="167"/>
      <c r="E106" s="167"/>
      <c r="F106" s="167"/>
      <c r="G106" s="167"/>
      <c r="H106" s="167"/>
      <c r="I106" s="167"/>
      <c r="J106" s="167"/>
      <c r="K106" s="130">
        <v>445</v>
      </c>
      <c r="L106" s="12"/>
      <c r="M106" s="12"/>
      <c r="N106" s="12"/>
      <c r="O106" s="12"/>
      <c r="P106" s="12"/>
      <c r="Q106" s="12"/>
    </row>
    <row r="107" spans="1:17" ht="25.9" customHeight="1" x14ac:dyDescent="0.2">
      <c r="A107" s="168" t="s">
        <v>633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130">
        <v>3677</v>
      </c>
      <c r="L107" s="89">
        <v>2635</v>
      </c>
      <c r="M107" s="89">
        <v>1042</v>
      </c>
      <c r="N107" s="89">
        <v>366</v>
      </c>
      <c r="O107" s="12"/>
      <c r="P107" s="89">
        <v>192.27950000000001</v>
      </c>
      <c r="Q107" s="12"/>
    </row>
    <row r="108" spans="1:17" ht="24.6" customHeight="1" x14ac:dyDescent="0.2">
      <c r="A108" s="168" t="s">
        <v>632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130">
        <v>132</v>
      </c>
      <c r="L108" s="89">
        <v>132</v>
      </c>
      <c r="M108" s="12"/>
      <c r="N108" s="12"/>
      <c r="O108" s="12"/>
      <c r="P108" s="89">
        <v>7.74</v>
      </c>
      <c r="Q108" s="12"/>
    </row>
    <row r="109" spans="1:17" ht="15" customHeight="1" x14ac:dyDescent="0.2">
      <c r="A109" s="168" t="s">
        <v>631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130">
        <v>-202</v>
      </c>
      <c r="L109" s="89">
        <v>-202</v>
      </c>
      <c r="M109" s="12"/>
      <c r="N109" s="12"/>
      <c r="O109" s="12"/>
      <c r="P109" s="89">
        <v>-11.868</v>
      </c>
      <c r="Q109" s="12"/>
    </row>
    <row r="110" spans="1:17" x14ac:dyDescent="0.2">
      <c r="A110" s="168" t="s">
        <v>38</v>
      </c>
      <c r="B110" s="167"/>
      <c r="C110" s="167"/>
      <c r="D110" s="167"/>
      <c r="E110" s="167"/>
      <c r="F110" s="167"/>
      <c r="G110" s="167"/>
      <c r="H110" s="167"/>
      <c r="I110" s="167"/>
      <c r="J110" s="167"/>
      <c r="K110" s="130">
        <v>10486</v>
      </c>
      <c r="L110" s="12"/>
      <c r="M110" s="12"/>
      <c r="N110" s="12"/>
      <c r="O110" s="12"/>
      <c r="P110" s="12"/>
      <c r="Q110" s="12"/>
    </row>
    <row r="111" spans="1:17" x14ac:dyDescent="0.2">
      <c r="A111" s="168" t="s">
        <v>86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129"/>
      <c r="L111" s="12"/>
      <c r="M111" s="12"/>
      <c r="N111" s="12"/>
      <c r="O111" s="12"/>
      <c r="P111" s="12"/>
      <c r="Q111" s="12"/>
    </row>
    <row r="112" spans="1:17" x14ac:dyDescent="0.2">
      <c r="A112" s="168" t="s">
        <v>630</v>
      </c>
      <c r="B112" s="167"/>
      <c r="C112" s="167"/>
      <c r="D112" s="167"/>
      <c r="E112" s="167"/>
      <c r="F112" s="167"/>
      <c r="G112" s="167"/>
      <c r="H112" s="167"/>
      <c r="I112" s="167"/>
      <c r="J112" s="167"/>
      <c r="K112" s="130">
        <v>527</v>
      </c>
      <c r="L112" s="12"/>
      <c r="M112" s="12"/>
      <c r="N112" s="12"/>
      <c r="O112" s="12"/>
      <c r="P112" s="12"/>
      <c r="Q112" s="12"/>
    </row>
    <row r="113" spans="1:17" ht="15" customHeight="1" x14ac:dyDescent="0.2">
      <c r="A113" s="168" t="s">
        <v>629</v>
      </c>
      <c r="B113" s="167"/>
      <c r="C113" s="167"/>
      <c r="D113" s="167"/>
      <c r="E113" s="167"/>
      <c r="F113" s="167"/>
      <c r="G113" s="167"/>
      <c r="H113" s="167"/>
      <c r="I113" s="167"/>
      <c r="J113" s="167"/>
      <c r="K113" s="130">
        <v>5310</v>
      </c>
      <c r="L113" s="12"/>
      <c r="M113" s="12"/>
      <c r="N113" s="12"/>
      <c r="O113" s="12"/>
      <c r="P113" s="12"/>
      <c r="Q113" s="12"/>
    </row>
    <row r="114" spans="1:17" x14ac:dyDescent="0.2">
      <c r="A114" s="168" t="s">
        <v>628</v>
      </c>
      <c r="B114" s="167"/>
      <c r="C114" s="167"/>
      <c r="D114" s="167"/>
      <c r="E114" s="167"/>
      <c r="F114" s="167"/>
      <c r="G114" s="167"/>
      <c r="H114" s="167"/>
      <c r="I114" s="167"/>
      <c r="J114" s="167"/>
      <c r="K114" s="130">
        <v>1323</v>
      </c>
      <c r="L114" s="12"/>
      <c r="M114" s="12"/>
      <c r="N114" s="12"/>
      <c r="O114" s="12"/>
      <c r="P114" s="12"/>
      <c r="Q114" s="12"/>
    </row>
    <row r="115" spans="1:17" x14ac:dyDescent="0.2">
      <c r="A115" s="168" t="s">
        <v>627</v>
      </c>
      <c r="B115" s="167"/>
      <c r="C115" s="167"/>
      <c r="D115" s="167"/>
      <c r="E115" s="167"/>
      <c r="F115" s="167"/>
      <c r="G115" s="167"/>
      <c r="H115" s="167"/>
      <c r="I115" s="167"/>
      <c r="J115" s="167"/>
      <c r="K115" s="130">
        <v>3290</v>
      </c>
      <c r="L115" s="12"/>
      <c r="M115" s="12"/>
      <c r="N115" s="12"/>
      <c r="O115" s="12"/>
      <c r="P115" s="12"/>
      <c r="Q115" s="12"/>
    </row>
    <row r="116" spans="1:17" x14ac:dyDescent="0.2">
      <c r="A116" s="168" t="s">
        <v>626</v>
      </c>
      <c r="B116" s="167"/>
      <c r="C116" s="167"/>
      <c r="D116" s="167"/>
      <c r="E116" s="167"/>
      <c r="F116" s="167"/>
      <c r="G116" s="167"/>
      <c r="H116" s="167"/>
      <c r="I116" s="167"/>
      <c r="J116" s="167"/>
      <c r="K116" s="130">
        <v>36</v>
      </c>
      <c r="L116" s="12"/>
      <c r="M116" s="12"/>
      <c r="N116" s="12"/>
      <c r="O116" s="12"/>
      <c r="P116" s="12"/>
      <c r="Q116" s="12"/>
    </row>
    <row r="117" spans="1:17" x14ac:dyDescent="0.2">
      <c r="A117" s="168" t="s">
        <v>39</v>
      </c>
      <c r="B117" s="167"/>
      <c r="C117" s="167"/>
      <c r="D117" s="167"/>
      <c r="E117" s="167"/>
      <c r="F117" s="167"/>
      <c r="G117" s="167"/>
      <c r="H117" s="167"/>
      <c r="I117" s="167"/>
      <c r="J117" s="167"/>
      <c r="K117" s="130">
        <v>7516</v>
      </c>
      <c r="L117" s="12"/>
      <c r="M117" s="12"/>
      <c r="N117" s="12"/>
      <c r="O117" s="12"/>
      <c r="P117" s="12"/>
      <c r="Q117" s="12"/>
    </row>
    <row r="118" spans="1:17" x14ac:dyDescent="0.2">
      <c r="A118" s="168" t="s">
        <v>86</v>
      </c>
      <c r="B118" s="167"/>
      <c r="C118" s="167"/>
      <c r="D118" s="167"/>
      <c r="E118" s="167"/>
      <c r="F118" s="167"/>
      <c r="G118" s="167"/>
      <c r="H118" s="167"/>
      <c r="I118" s="167"/>
      <c r="J118" s="167"/>
      <c r="K118" s="129"/>
      <c r="L118" s="12"/>
      <c r="M118" s="12"/>
      <c r="N118" s="12"/>
      <c r="O118" s="12"/>
      <c r="P118" s="12"/>
      <c r="Q118" s="12"/>
    </row>
    <row r="119" spans="1:17" x14ac:dyDescent="0.2">
      <c r="A119" s="168" t="s">
        <v>625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30">
        <v>324</v>
      </c>
      <c r="L119" s="12"/>
      <c r="M119" s="12"/>
      <c r="N119" s="12"/>
      <c r="O119" s="12"/>
      <c r="P119" s="12"/>
      <c r="Q119" s="12"/>
    </row>
    <row r="120" spans="1:17" ht="15" customHeight="1" x14ac:dyDescent="0.2">
      <c r="A120" s="168" t="s">
        <v>624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130">
        <v>3983</v>
      </c>
      <c r="L120" s="12"/>
      <c r="M120" s="12"/>
      <c r="N120" s="12"/>
      <c r="O120" s="12"/>
      <c r="P120" s="12"/>
      <c r="Q120" s="12"/>
    </row>
    <row r="121" spans="1:17" x14ac:dyDescent="0.2">
      <c r="A121" s="168" t="s">
        <v>623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30">
        <v>3209</v>
      </c>
      <c r="L121" s="12"/>
      <c r="M121" s="12"/>
      <c r="N121" s="12"/>
      <c r="O121" s="12"/>
      <c r="P121" s="12"/>
      <c r="Q121" s="12"/>
    </row>
    <row r="122" spans="1:17" x14ac:dyDescent="0.2">
      <c r="A122" s="173" t="s">
        <v>40</v>
      </c>
      <c r="B122" s="167"/>
      <c r="C122" s="167"/>
      <c r="D122" s="167"/>
      <c r="E122" s="167"/>
      <c r="F122" s="167"/>
      <c r="G122" s="167"/>
      <c r="H122" s="167"/>
      <c r="I122" s="167"/>
      <c r="J122" s="167"/>
      <c r="K122" s="129"/>
      <c r="L122" s="12"/>
      <c r="M122" s="12"/>
      <c r="N122" s="12"/>
      <c r="O122" s="12"/>
      <c r="P122" s="12"/>
      <c r="Q122" s="12"/>
    </row>
    <row r="123" spans="1:17" x14ac:dyDescent="0.2">
      <c r="A123" s="168" t="s">
        <v>83</v>
      </c>
      <c r="B123" s="167"/>
      <c r="C123" s="167"/>
      <c r="D123" s="167"/>
      <c r="E123" s="167"/>
      <c r="F123" s="167"/>
      <c r="G123" s="167"/>
      <c r="H123" s="167"/>
      <c r="I123" s="167"/>
      <c r="J123" s="167"/>
      <c r="K123" s="130">
        <v>103899</v>
      </c>
      <c r="L123" s="12"/>
      <c r="M123" s="12"/>
      <c r="N123" s="12"/>
      <c r="O123" s="12"/>
      <c r="P123" s="89">
        <v>741.66</v>
      </c>
      <c r="Q123" s="12"/>
    </row>
    <row r="124" spans="1:17" x14ac:dyDescent="0.2">
      <c r="A124" s="168" t="s">
        <v>82</v>
      </c>
      <c r="B124" s="167"/>
      <c r="C124" s="167"/>
      <c r="D124" s="167"/>
      <c r="E124" s="167"/>
      <c r="F124" s="167"/>
      <c r="G124" s="167"/>
      <c r="H124" s="167"/>
      <c r="I124" s="167"/>
      <c r="J124" s="167"/>
      <c r="K124" s="130">
        <v>37506</v>
      </c>
      <c r="L124" s="12"/>
      <c r="M124" s="12"/>
      <c r="N124" s="12"/>
      <c r="O124" s="12"/>
      <c r="P124" s="12"/>
      <c r="Q124" s="12"/>
    </row>
    <row r="125" spans="1:17" x14ac:dyDescent="0.2">
      <c r="A125" s="168" t="s">
        <v>247</v>
      </c>
      <c r="B125" s="167"/>
      <c r="C125" s="167"/>
      <c r="D125" s="167"/>
      <c r="E125" s="167"/>
      <c r="F125" s="167"/>
      <c r="G125" s="167"/>
      <c r="H125" s="167"/>
      <c r="I125" s="167"/>
      <c r="J125" s="167"/>
      <c r="K125" s="130">
        <v>1661</v>
      </c>
      <c r="L125" s="12"/>
      <c r="M125" s="12"/>
      <c r="N125" s="12"/>
      <c r="O125" s="12"/>
      <c r="P125" s="89">
        <v>47.47</v>
      </c>
      <c r="Q125" s="12"/>
    </row>
    <row r="126" spans="1:17" x14ac:dyDescent="0.2">
      <c r="A126" s="168" t="s">
        <v>41</v>
      </c>
      <c r="B126" s="167"/>
      <c r="C126" s="167"/>
      <c r="D126" s="167"/>
      <c r="E126" s="167"/>
      <c r="F126" s="167"/>
      <c r="G126" s="167"/>
      <c r="H126" s="167"/>
      <c r="I126" s="167"/>
      <c r="J126" s="167"/>
      <c r="K126" s="130">
        <v>143066</v>
      </c>
      <c r="L126" s="12"/>
      <c r="M126" s="12"/>
      <c r="N126" s="12"/>
      <c r="O126" s="12"/>
      <c r="P126" s="89">
        <v>789.13</v>
      </c>
      <c r="Q126" s="12"/>
    </row>
    <row r="127" spans="1:17" x14ac:dyDescent="0.2">
      <c r="A127" s="168" t="s">
        <v>42</v>
      </c>
      <c r="B127" s="167"/>
      <c r="C127" s="167"/>
      <c r="D127" s="167"/>
      <c r="E127" s="167"/>
      <c r="F127" s="167"/>
      <c r="G127" s="167"/>
      <c r="H127" s="167"/>
      <c r="I127" s="167"/>
      <c r="J127" s="167"/>
      <c r="K127" s="129"/>
      <c r="L127" s="12"/>
      <c r="M127" s="12"/>
      <c r="N127" s="12"/>
      <c r="O127" s="12"/>
      <c r="P127" s="12"/>
      <c r="Q127" s="12"/>
    </row>
    <row r="128" spans="1:17" x14ac:dyDescent="0.2">
      <c r="A128" s="168" t="s">
        <v>43</v>
      </c>
      <c r="B128" s="167"/>
      <c r="C128" s="167"/>
      <c r="D128" s="167"/>
      <c r="E128" s="167"/>
      <c r="F128" s="167"/>
      <c r="G128" s="167"/>
      <c r="H128" s="167"/>
      <c r="I128" s="167"/>
      <c r="J128" s="167"/>
      <c r="K128" s="130">
        <v>72564</v>
      </c>
      <c r="L128" s="12"/>
      <c r="M128" s="12"/>
      <c r="N128" s="12"/>
      <c r="O128" s="12"/>
      <c r="P128" s="12"/>
      <c r="Q128" s="12"/>
    </row>
    <row r="129" spans="1:19" x14ac:dyDescent="0.2">
      <c r="A129" s="168" t="s">
        <v>44</v>
      </c>
      <c r="B129" s="167"/>
      <c r="C129" s="167"/>
      <c r="D129" s="167"/>
      <c r="E129" s="167"/>
      <c r="F129" s="167"/>
      <c r="G129" s="167"/>
      <c r="H129" s="167"/>
      <c r="I129" s="167"/>
      <c r="J129" s="167"/>
      <c r="K129" s="130">
        <f>4020-N101</f>
        <v>2609</v>
      </c>
      <c r="L129" s="12"/>
      <c r="M129" s="12"/>
      <c r="N129" s="12"/>
      <c r="O129" s="12"/>
      <c r="P129" s="12"/>
      <c r="Q129" s="12"/>
    </row>
    <row r="130" spans="1:19" x14ac:dyDescent="0.2">
      <c r="A130" s="168" t="s">
        <v>45</v>
      </c>
      <c r="B130" s="167"/>
      <c r="C130" s="167"/>
      <c r="D130" s="167"/>
      <c r="E130" s="167"/>
      <c r="F130" s="167"/>
      <c r="G130" s="167"/>
      <c r="H130" s="167"/>
      <c r="I130" s="167"/>
      <c r="J130" s="167"/>
      <c r="K130" s="130">
        <v>12385</v>
      </c>
      <c r="L130" s="12"/>
      <c r="M130" s="12"/>
      <c r="N130" s="12"/>
      <c r="O130" s="12"/>
      <c r="P130" s="12"/>
      <c r="Q130" s="12"/>
    </row>
    <row r="131" spans="1:19" x14ac:dyDescent="0.2">
      <c r="A131" s="168" t="s">
        <v>19</v>
      </c>
      <c r="B131" s="167"/>
      <c r="C131" s="167"/>
      <c r="D131" s="167"/>
      <c r="E131" s="167"/>
      <c r="F131" s="167"/>
      <c r="G131" s="167"/>
      <c r="H131" s="167"/>
      <c r="I131" s="167"/>
      <c r="J131" s="167"/>
      <c r="K131" s="130">
        <v>37506</v>
      </c>
      <c r="L131" s="12"/>
      <c r="M131" s="12"/>
      <c r="N131" s="12"/>
      <c r="O131" s="12"/>
      <c r="P131" s="12"/>
      <c r="Q131" s="12"/>
    </row>
    <row r="132" spans="1:19" x14ac:dyDescent="0.2">
      <c r="A132" s="168" t="s">
        <v>46</v>
      </c>
      <c r="B132" s="167"/>
      <c r="C132" s="167"/>
      <c r="D132" s="167"/>
      <c r="E132" s="167"/>
      <c r="F132" s="167"/>
      <c r="G132" s="167"/>
      <c r="H132" s="167"/>
      <c r="I132" s="167"/>
      <c r="J132" s="167"/>
      <c r="K132" s="130">
        <v>10486</v>
      </c>
      <c r="L132" s="12"/>
      <c r="M132" s="12"/>
      <c r="N132" s="12"/>
      <c r="O132" s="12"/>
      <c r="P132" s="12"/>
      <c r="Q132" s="12"/>
    </row>
    <row r="133" spans="1:19" x14ac:dyDescent="0.2">
      <c r="A133" s="168" t="s">
        <v>47</v>
      </c>
      <c r="B133" s="167"/>
      <c r="C133" s="167"/>
      <c r="D133" s="167"/>
      <c r="E133" s="167"/>
      <c r="F133" s="167"/>
      <c r="G133" s="167"/>
      <c r="H133" s="167"/>
      <c r="I133" s="167"/>
      <c r="J133" s="167"/>
      <c r="K133" s="130">
        <v>7516</v>
      </c>
      <c r="L133" s="12"/>
      <c r="M133" s="12"/>
      <c r="N133" s="12"/>
      <c r="O133" s="12"/>
      <c r="P133" s="12"/>
      <c r="Q133" s="12"/>
    </row>
    <row r="134" spans="1:19" x14ac:dyDescent="0.2">
      <c r="A134" s="173" t="s">
        <v>48</v>
      </c>
      <c r="B134" s="167"/>
      <c r="C134" s="167"/>
      <c r="D134" s="167"/>
      <c r="E134" s="167"/>
      <c r="F134" s="167"/>
      <c r="G134" s="167"/>
      <c r="H134" s="167"/>
      <c r="I134" s="167"/>
      <c r="J134" s="167"/>
      <c r="K134" s="131">
        <f>SUM(K128:K133)</f>
        <v>143066</v>
      </c>
      <c r="L134" s="12"/>
      <c r="M134" s="12"/>
      <c r="N134" s="12"/>
      <c r="O134" s="12"/>
      <c r="P134" s="13">
        <v>789.13</v>
      </c>
      <c r="Q134" s="12"/>
    </row>
    <row r="135" spans="1:19" x14ac:dyDescent="0.2">
      <c r="F135" s="10"/>
      <c r="G135" s="10"/>
      <c r="H135" s="10"/>
      <c r="I135" s="10"/>
      <c r="J135" s="10"/>
      <c r="K135" s="132"/>
      <c r="L135" s="10"/>
      <c r="M135" s="10"/>
      <c r="N135" s="10"/>
      <c r="O135" s="10"/>
      <c r="P135" s="10"/>
      <c r="Q135" s="10"/>
    </row>
    <row r="136" spans="1:19" s="152" customFormat="1" ht="17.25" customHeight="1" x14ac:dyDescent="0.2">
      <c r="A136" s="156"/>
      <c r="B136" s="103" t="s">
        <v>622</v>
      </c>
      <c r="C136" s="103"/>
      <c r="D136" s="103"/>
      <c r="E136" s="103"/>
      <c r="F136" s="103"/>
      <c r="G136" s="103"/>
      <c r="H136" s="103"/>
      <c r="I136" s="103"/>
      <c r="J136" s="103"/>
      <c r="K136" s="158"/>
      <c r="L136" s="103"/>
      <c r="M136" s="103"/>
      <c r="N136" s="155"/>
      <c r="O136" s="155"/>
      <c r="P136" s="154"/>
      <c r="Q136" s="153"/>
      <c r="R136"/>
      <c r="S136"/>
    </row>
    <row r="137" spans="1:19" s="152" customFormat="1" ht="17.25" customHeight="1" x14ac:dyDescent="0.2">
      <c r="A137" s="156"/>
      <c r="B137" s="103"/>
      <c r="C137" s="103"/>
      <c r="D137" s="103"/>
      <c r="E137" s="103"/>
      <c r="F137" s="103"/>
      <c r="G137" s="103"/>
      <c r="H137" s="103"/>
      <c r="I137" s="103"/>
      <c r="J137" s="103"/>
      <c r="K137" s="158"/>
      <c r="L137" s="103"/>
      <c r="M137" s="103"/>
      <c r="N137" s="155"/>
      <c r="O137" s="155"/>
      <c r="P137" s="154"/>
      <c r="Q137" s="153"/>
      <c r="R137"/>
      <c r="S137"/>
    </row>
  </sheetData>
  <mergeCells count="60">
    <mergeCell ref="A27:Q27"/>
    <mergeCell ref="A46:Q46"/>
    <mergeCell ref="A97:Q97"/>
    <mergeCell ref="A100:J100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  <mergeCell ref="D23:D25"/>
    <mergeCell ref="E23:E25"/>
    <mergeCell ref="B23:B25"/>
    <mergeCell ref="A114:J114"/>
    <mergeCell ref="A115:J115"/>
    <mergeCell ref="A101:J101"/>
    <mergeCell ref="A102:J102"/>
    <mergeCell ref="A103:J103"/>
    <mergeCell ref="A104:J104"/>
    <mergeCell ref="A105:J105"/>
    <mergeCell ref="A106:J106"/>
    <mergeCell ref="A107:J107"/>
    <mergeCell ref="E1:I1"/>
    <mergeCell ref="A132:J132"/>
    <mergeCell ref="A133:J133"/>
    <mergeCell ref="A134:J134"/>
    <mergeCell ref="J14:K14"/>
    <mergeCell ref="J18:K18"/>
    <mergeCell ref="J19:K19"/>
    <mergeCell ref="J17:K17"/>
    <mergeCell ref="A116:J116"/>
    <mergeCell ref="A117:J117"/>
    <mergeCell ref="A118:J118"/>
    <mergeCell ref="A120:J120"/>
    <mergeCell ref="A121:J121"/>
    <mergeCell ref="A122:J122"/>
    <mergeCell ref="A125:J125"/>
    <mergeCell ref="A119:J119"/>
    <mergeCell ref="A130:J130"/>
    <mergeCell ref="A131:J131"/>
    <mergeCell ref="J16:K16"/>
    <mergeCell ref="J15:K15"/>
    <mergeCell ref="A126:J126"/>
    <mergeCell ref="A127:J127"/>
    <mergeCell ref="A128:J128"/>
    <mergeCell ref="A129:J129"/>
    <mergeCell ref="A123:J123"/>
    <mergeCell ref="A124:J124"/>
    <mergeCell ref="A108:J108"/>
    <mergeCell ref="A109:J109"/>
    <mergeCell ref="A110:J110"/>
    <mergeCell ref="A111:J111"/>
    <mergeCell ref="A112:J112"/>
    <mergeCell ref="A113:J113"/>
  </mergeCells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5"/>
  <sheetViews>
    <sheetView showGridLines="0" topLeftCell="A115" zoomScaleNormal="100" zoomScaleSheetLayoutView="75" workbookViewId="0">
      <selection activeCell="E10" sqref="E10:J10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8.2851562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9.285156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379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378</v>
      </c>
      <c r="N5" s="98"/>
      <c r="O5" s="98"/>
      <c r="P5" s="98"/>
      <c r="Q5"/>
      <c r="R5"/>
    </row>
    <row r="6" spans="1:18" x14ac:dyDescent="0.2">
      <c r="A6" s="99"/>
      <c r="B6" s="102"/>
      <c r="C6" s="100"/>
      <c r="D6" s="4"/>
      <c r="E6" s="98"/>
      <c r="F6" s="98"/>
      <c r="G6" s="121" t="s">
        <v>377</v>
      </c>
      <c r="H6" s="121"/>
      <c r="I6" s="121"/>
      <c r="J6" s="98"/>
      <c r="K6" s="125"/>
      <c r="L6" s="98"/>
      <c r="M6" s="98"/>
      <c r="N6" s="98"/>
      <c r="O6" s="98"/>
      <c r="P6" s="98"/>
      <c r="R6"/>
    </row>
    <row r="7" spans="1:18" x14ac:dyDescent="0.2">
      <c r="A7" s="99"/>
      <c r="B7" s="102"/>
      <c r="C7" s="100"/>
      <c r="D7" s="4"/>
      <c r="E7" s="98"/>
      <c r="F7" s="98"/>
      <c r="G7" s="99" t="s">
        <v>376</v>
      </c>
      <c r="H7" s="99"/>
      <c r="I7" s="99"/>
      <c r="J7" s="98"/>
      <c r="K7" s="125"/>
      <c r="L7" s="98"/>
      <c r="M7" s="98"/>
      <c r="N7" s="98"/>
      <c r="O7" s="98"/>
      <c r="P7" s="98"/>
      <c r="R7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  <c r="R8"/>
    </row>
    <row r="9" spans="1:18" x14ac:dyDescent="0.2">
      <c r="A9" s="99"/>
      <c r="B9" s="102"/>
      <c r="C9" s="117" t="s">
        <v>22</v>
      </c>
      <c r="D9" s="140" t="s">
        <v>697</v>
      </c>
      <c r="E9" s="139"/>
      <c r="F9" s="118"/>
      <c r="G9" s="118"/>
      <c r="H9" s="138"/>
      <c r="I9" s="118"/>
      <c r="J9" s="118"/>
      <c r="K9" s="126"/>
      <c r="L9" s="118"/>
      <c r="M9" s="118"/>
      <c r="N9" s="118"/>
      <c r="O9" s="98"/>
      <c r="P9" s="98"/>
      <c r="Q9" s="98"/>
      <c r="R9"/>
    </row>
    <row r="10" spans="1:18" x14ac:dyDescent="0.2">
      <c r="A10" s="99"/>
      <c r="B10" s="102"/>
      <c r="C10" s="117"/>
      <c r="D10" s="137"/>
      <c r="E10" s="179" t="s">
        <v>696</v>
      </c>
      <c r="F10" s="179"/>
      <c r="G10" s="179"/>
      <c r="H10" s="179"/>
      <c r="I10" s="179"/>
      <c r="J10" s="179"/>
      <c r="K10" s="127"/>
      <c r="L10" s="113"/>
      <c r="M10" s="98"/>
      <c r="N10" s="98"/>
      <c r="O10" s="98"/>
      <c r="P10" s="98"/>
      <c r="Q10" s="98"/>
      <c r="R10"/>
    </row>
    <row r="11" spans="1:18" x14ac:dyDescent="0.2">
      <c r="A11" s="99"/>
      <c r="B11" s="102"/>
      <c r="C11" s="101"/>
      <c r="D11" s="100"/>
      <c r="E11" s="116"/>
      <c r="F11" s="114"/>
      <c r="G11" s="114"/>
      <c r="H11" s="115" t="s">
        <v>149</v>
      </c>
      <c r="I11" s="115"/>
      <c r="J11" s="114"/>
      <c r="K11" s="127"/>
      <c r="L11" s="98"/>
      <c r="M11" s="98"/>
      <c r="N11" s="98"/>
      <c r="O11" s="98"/>
      <c r="P11" s="98"/>
      <c r="Q11" s="98"/>
      <c r="R11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375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374</v>
      </c>
      <c r="K14" s="176"/>
      <c r="L14" s="5" t="s">
        <v>139</v>
      </c>
      <c r="M14" s="98"/>
      <c r="N14" s="109" t="s">
        <v>145</v>
      </c>
      <c r="O14" s="108"/>
      <c r="P14" s="107">
        <f>P15+P16+P17</f>
        <v>983.55207999999993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373</v>
      </c>
      <c r="K15" s="176"/>
      <c r="L15" s="5" t="s">
        <v>139</v>
      </c>
      <c r="M15" s="98"/>
      <c r="N15" s="109" t="s">
        <v>138</v>
      </c>
      <c r="O15" s="108"/>
      <c r="P15" s="107">
        <f>94.058*5.56</f>
        <v>522.96248000000003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371</v>
      </c>
      <c r="K16" s="176"/>
      <c r="L16" s="5" t="s">
        <v>139</v>
      </c>
      <c r="M16" s="98"/>
      <c r="N16" s="109" t="s">
        <v>370</v>
      </c>
      <c r="O16" s="108"/>
      <c r="P16" s="107">
        <f>8.237*9.32</f>
        <v>76.768839999999997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369</v>
      </c>
      <c r="K17" s="176"/>
      <c r="L17" s="5" t="s">
        <v>139</v>
      </c>
      <c r="M17" s="98"/>
      <c r="N17" s="109" t="s">
        <v>142</v>
      </c>
      <c r="O17" s="108"/>
      <c r="P17" s="107">
        <f>91.604*4.19</f>
        <v>383.82076000000001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368</v>
      </c>
      <c r="K18" s="176"/>
      <c r="L18" s="5" t="s">
        <v>139</v>
      </c>
      <c r="M18" s="98"/>
      <c r="N18" s="109" t="s">
        <v>138</v>
      </c>
      <c r="O18" s="108"/>
      <c r="P18" s="107">
        <f>22.507*5.56</f>
        <v>125.13892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367</v>
      </c>
      <c r="K19" s="176"/>
      <c r="L19" s="5" t="s">
        <v>50</v>
      </c>
      <c r="M19" s="98"/>
      <c r="N19" s="109"/>
      <c r="O19" s="108"/>
      <c r="P19" s="107"/>
    </row>
    <row r="20" spans="1:17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K128/1000</f>
        <v>44.183999999999997</v>
      </c>
      <c r="L20" s="95" t="s">
        <v>365</v>
      </c>
      <c r="M20" s="96"/>
      <c r="N20" s="109" t="s">
        <v>138</v>
      </c>
      <c r="O20" s="136"/>
      <c r="P20" s="107">
        <f>K20*5.56</f>
        <v>245.66303999999997</v>
      </c>
      <c r="Q20" s="135"/>
    </row>
    <row r="21" spans="1:17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  <c r="Q21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ht="19.899999999999999" customHeight="1" x14ac:dyDescent="0.2">
      <c r="A27" s="166" t="s">
        <v>123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24" x14ac:dyDescent="0.2">
      <c r="A28" s="6">
        <v>1</v>
      </c>
      <c r="B28" s="92" t="s">
        <v>106</v>
      </c>
      <c r="C28" s="146" t="s">
        <v>364</v>
      </c>
      <c r="D28" s="91" t="s">
        <v>33</v>
      </c>
      <c r="E28" s="97">
        <v>1</v>
      </c>
      <c r="F28" s="12"/>
      <c r="G28" s="12"/>
      <c r="H28" s="12"/>
      <c r="I28" s="12"/>
      <c r="J28" s="12">
        <v>2880</v>
      </c>
      <c r="K28" s="129">
        <v>2880</v>
      </c>
      <c r="L28" s="12"/>
      <c r="M28" s="12"/>
      <c r="N28" s="12"/>
      <c r="O28" s="12"/>
      <c r="P28" s="12"/>
      <c r="Q28" s="12"/>
    </row>
    <row r="29" spans="1:17" ht="36" x14ac:dyDescent="0.2">
      <c r="A29" s="6">
        <v>2</v>
      </c>
      <c r="B29" s="92" t="s">
        <v>363</v>
      </c>
      <c r="C29" s="146" t="s">
        <v>362</v>
      </c>
      <c r="D29" s="91" t="s">
        <v>29</v>
      </c>
      <c r="E29" s="97">
        <v>1</v>
      </c>
      <c r="F29" s="89">
        <v>117.52</v>
      </c>
      <c r="G29" s="89">
        <v>102.02</v>
      </c>
      <c r="H29" s="89">
        <v>0.46</v>
      </c>
      <c r="I29" s="12"/>
      <c r="J29" s="12"/>
      <c r="K29" s="129">
        <v>118</v>
      </c>
      <c r="L29" s="12">
        <v>102</v>
      </c>
      <c r="M29" s="12"/>
      <c r="N29" s="12"/>
      <c r="O29" s="12">
        <v>7.2</v>
      </c>
      <c r="P29" s="12">
        <v>7.2</v>
      </c>
      <c r="Q29" s="12"/>
    </row>
    <row r="30" spans="1:17" ht="24" x14ac:dyDescent="0.2">
      <c r="A30" s="6">
        <v>3</v>
      </c>
      <c r="B30" s="92" t="s">
        <v>106</v>
      </c>
      <c r="C30" s="146" t="s">
        <v>361</v>
      </c>
      <c r="D30" s="91" t="s">
        <v>29</v>
      </c>
      <c r="E30" s="97">
        <v>1</v>
      </c>
      <c r="F30" s="12"/>
      <c r="G30" s="12"/>
      <c r="H30" s="12"/>
      <c r="I30" s="12"/>
      <c r="J30" s="12">
        <v>961</v>
      </c>
      <c r="K30" s="129">
        <v>961</v>
      </c>
      <c r="L30" s="12"/>
      <c r="M30" s="12"/>
      <c r="N30" s="12"/>
      <c r="O30" s="12"/>
      <c r="P30" s="12"/>
      <c r="Q30" s="12"/>
    </row>
    <row r="31" spans="1:17" ht="15" customHeight="1" x14ac:dyDescent="0.2">
      <c r="A31" s="6">
        <v>4</v>
      </c>
      <c r="B31" s="92" t="s">
        <v>360</v>
      </c>
      <c r="C31" s="146" t="s">
        <v>359</v>
      </c>
      <c r="D31" s="91" t="s">
        <v>29</v>
      </c>
      <c r="E31" s="97">
        <v>1</v>
      </c>
      <c r="F31" s="89">
        <v>256.7</v>
      </c>
      <c r="G31" s="89">
        <v>157.76</v>
      </c>
      <c r="H31" s="89">
        <v>33.83</v>
      </c>
      <c r="I31" s="89">
        <v>6.87</v>
      </c>
      <c r="J31" s="12"/>
      <c r="K31" s="129">
        <v>257</v>
      </c>
      <c r="L31" s="12">
        <v>158</v>
      </c>
      <c r="M31" s="12">
        <v>34</v>
      </c>
      <c r="N31" s="12">
        <v>7</v>
      </c>
      <c r="O31" s="12">
        <v>10.1</v>
      </c>
      <c r="P31" s="12">
        <v>10.1</v>
      </c>
      <c r="Q31" s="12"/>
    </row>
    <row r="32" spans="1:17" x14ac:dyDescent="0.2">
      <c r="A32" s="6">
        <v>5</v>
      </c>
      <c r="B32" s="92" t="s">
        <v>106</v>
      </c>
      <c r="C32" s="146" t="s">
        <v>358</v>
      </c>
      <c r="D32" s="91" t="s">
        <v>33</v>
      </c>
      <c r="E32" s="97">
        <v>1</v>
      </c>
      <c r="F32" s="89">
        <v>65.510000000000005</v>
      </c>
      <c r="G32" s="12"/>
      <c r="H32" s="12"/>
      <c r="I32" s="12"/>
      <c r="J32" s="12"/>
      <c r="K32" s="129">
        <v>66</v>
      </c>
      <c r="L32" s="12"/>
      <c r="M32" s="12"/>
      <c r="N32" s="12"/>
      <c r="O32" s="12"/>
      <c r="P32" s="12"/>
      <c r="Q32" s="12"/>
    </row>
    <row r="33" spans="1:17" ht="24" x14ac:dyDescent="0.2">
      <c r="A33" s="6">
        <v>6</v>
      </c>
      <c r="B33" s="92" t="s">
        <v>106</v>
      </c>
      <c r="C33" s="146" t="s">
        <v>357</v>
      </c>
      <c r="D33" s="91" t="s">
        <v>33</v>
      </c>
      <c r="E33" s="90">
        <v>19</v>
      </c>
      <c r="F33" s="12"/>
      <c r="G33" s="12"/>
      <c r="H33" s="12"/>
      <c r="I33" s="12"/>
      <c r="J33" s="12">
        <v>2267</v>
      </c>
      <c r="K33" s="129">
        <v>2267</v>
      </c>
      <c r="L33" s="12"/>
      <c r="M33" s="12"/>
      <c r="N33" s="12"/>
      <c r="O33" s="12"/>
      <c r="P33" s="12"/>
      <c r="Q33" s="12"/>
    </row>
    <row r="34" spans="1:17" ht="24" x14ac:dyDescent="0.2">
      <c r="A34" s="6">
        <v>7</v>
      </c>
      <c r="B34" s="92" t="s">
        <v>106</v>
      </c>
      <c r="C34" s="146" t="s">
        <v>356</v>
      </c>
      <c r="D34" s="91" t="s">
        <v>33</v>
      </c>
      <c r="E34" s="90">
        <v>3</v>
      </c>
      <c r="F34" s="12"/>
      <c r="G34" s="12"/>
      <c r="H34" s="12"/>
      <c r="I34" s="12"/>
      <c r="J34" s="12">
        <v>698</v>
      </c>
      <c r="K34" s="129">
        <v>698</v>
      </c>
      <c r="L34" s="12"/>
      <c r="M34" s="12"/>
      <c r="N34" s="12"/>
      <c r="O34" s="12"/>
      <c r="P34" s="12"/>
      <c r="Q34" s="12"/>
    </row>
    <row r="35" spans="1:17" ht="24" x14ac:dyDescent="0.2">
      <c r="A35" s="6">
        <v>8</v>
      </c>
      <c r="B35" s="92" t="s">
        <v>106</v>
      </c>
      <c r="C35" s="146" t="s">
        <v>355</v>
      </c>
      <c r="D35" s="91" t="s">
        <v>33</v>
      </c>
      <c r="E35" s="90">
        <v>11</v>
      </c>
      <c r="F35" s="12"/>
      <c r="G35" s="12"/>
      <c r="H35" s="12"/>
      <c r="I35" s="12"/>
      <c r="J35" s="12">
        <v>2559</v>
      </c>
      <c r="K35" s="129">
        <v>2559</v>
      </c>
      <c r="L35" s="12"/>
      <c r="M35" s="12"/>
      <c r="N35" s="12"/>
      <c r="O35" s="12"/>
      <c r="P35" s="12"/>
      <c r="Q35" s="12"/>
    </row>
    <row r="36" spans="1:17" ht="24" x14ac:dyDescent="0.2">
      <c r="A36" s="6">
        <v>9</v>
      </c>
      <c r="B36" s="92" t="s">
        <v>106</v>
      </c>
      <c r="C36" s="146" t="s">
        <v>354</v>
      </c>
      <c r="D36" s="91" t="s">
        <v>33</v>
      </c>
      <c r="E36" s="97">
        <v>2</v>
      </c>
      <c r="F36" s="12"/>
      <c r="G36" s="12"/>
      <c r="H36" s="12"/>
      <c r="I36" s="12"/>
      <c r="J36" s="12">
        <v>465</v>
      </c>
      <c r="K36" s="129">
        <v>465</v>
      </c>
      <c r="L36" s="12"/>
      <c r="M36" s="12"/>
      <c r="N36" s="12"/>
      <c r="O36" s="12"/>
      <c r="P36" s="12"/>
      <c r="Q36" s="12"/>
    </row>
    <row r="37" spans="1:17" ht="24" x14ac:dyDescent="0.2">
      <c r="A37" s="6">
        <v>10</v>
      </c>
      <c r="B37" s="92" t="s">
        <v>327</v>
      </c>
      <c r="C37" s="146" t="s">
        <v>353</v>
      </c>
      <c r="D37" s="91" t="s">
        <v>29</v>
      </c>
      <c r="E37" s="90">
        <v>31</v>
      </c>
      <c r="F37" s="89">
        <v>86.32</v>
      </c>
      <c r="G37" s="89">
        <v>78.05</v>
      </c>
      <c r="H37" s="89">
        <v>0.37</v>
      </c>
      <c r="I37" s="12"/>
      <c r="J37" s="12"/>
      <c r="K37" s="129">
        <v>2676</v>
      </c>
      <c r="L37" s="12">
        <v>2420</v>
      </c>
      <c r="M37" s="12">
        <v>11</v>
      </c>
      <c r="N37" s="12"/>
      <c r="O37" s="12">
        <v>5.76</v>
      </c>
      <c r="P37" s="12">
        <v>178.56</v>
      </c>
      <c r="Q37" s="12"/>
    </row>
    <row r="38" spans="1:17" ht="24" x14ac:dyDescent="0.2">
      <c r="A38" s="6">
        <v>11</v>
      </c>
      <c r="B38" s="92" t="s">
        <v>106</v>
      </c>
      <c r="C38" s="146" t="s">
        <v>352</v>
      </c>
      <c r="D38" s="91" t="s">
        <v>33</v>
      </c>
      <c r="E38" s="90">
        <v>59</v>
      </c>
      <c r="F38" s="89">
        <v>90.69</v>
      </c>
      <c r="G38" s="12"/>
      <c r="H38" s="12"/>
      <c r="I38" s="12"/>
      <c r="J38" s="12"/>
      <c r="K38" s="129">
        <v>5351</v>
      </c>
      <c r="L38" s="12"/>
      <c r="M38" s="12"/>
      <c r="N38" s="12"/>
      <c r="O38" s="12"/>
      <c r="P38" s="12"/>
      <c r="Q38" s="12"/>
    </row>
    <row r="39" spans="1:17" ht="48" x14ac:dyDescent="0.2">
      <c r="A39" s="6">
        <v>12</v>
      </c>
      <c r="B39" s="92" t="s">
        <v>351</v>
      </c>
      <c r="C39" s="146" t="s">
        <v>350</v>
      </c>
      <c r="D39" s="91" t="s">
        <v>29</v>
      </c>
      <c r="E39" s="97">
        <v>54</v>
      </c>
      <c r="F39" s="89">
        <v>28.38</v>
      </c>
      <c r="G39" s="89">
        <v>22.76</v>
      </c>
      <c r="H39" s="89">
        <v>0.46</v>
      </c>
      <c r="I39" s="12"/>
      <c r="J39" s="12"/>
      <c r="K39" s="129">
        <v>1533</v>
      </c>
      <c r="L39" s="12">
        <v>1229</v>
      </c>
      <c r="M39" s="12">
        <v>25</v>
      </c>
      <c r="N39" s="12"/>
      <c r="O39" s="12">
        <v>1.68</v>
      </c>
      <c r="P39" s="12">
        <v>90.72</v>
      </c>
      <c r="Q39" s="12"/>
    </row>
    <row r="40" spans="1:17" ht="24" x14ac:dyDescent="0.2">
      <c r="A40" s="6">
        <v>13</v>
      </c>
      <c r="B40" s="92" t="s">
        <v>106</v>
      </c>
      <c r="C40" s="146" t="s">
        <v>349</v>
      </c>
      <c r="D40" s="91" t="s">
        <v>33</v>
      </c>
      <c r="E40" s="90">
        <v>23</v>
      </c>
      <c r="F40" s="12"/>
      <c r="G40" s="12"/>
      <c r="H40" s="12"/>
      <c r="I40" s="12"/>
      <c r="J40" s="12">
        <v>77673</v>
      </c>
      <c r="K40" s="129">
        <v>77673</v>
      </c>
      <c r="L40" s="12"/>
      <c r="M40" s="12"/>
      <c r="N40" s="12"/>
      <c r="O40" s="12"/>
      <c r="P40" s="12"/>
      <c r="Q40" s="12"/>
    </row>
    <row r="41" spans="1:17" ht="24" x14ac:dyDescent="0.2">
      <c r="A41" s="6">
        <v>14</v>
      </c>
      <c r="B41" s="92" t="s">
        <v>348</v>
      </c>
      <c r="C41" s="146" t="s">
        <v>347</v>
      </c>
      <c r="D41" s="91" t="s">
        <v>346</v>
      </c>
      <c r="E41" s="97">
        <v>21</v>
      </c>
      <c r="F41" s="89">
        <v>104.48</v>
      </c>
      <c r="G41" s="89">
        <v>87.8</v>
      </c>
      <c r="H41" s="89">
        <v>1</v>
      </c>
      <c r="I41" s="12"/>
      <c r="J41" s="12"/>
      <c r="K41" s="129">
        <v>2194</v>
      </c>
      <c r="L41" s="12">
        <v>1844</v>
      </c>
      <c r="M41" s="12">
        <v>21</v>
      </c>
      <c r="N41" s="12"/>
      <c r="O41" s="12">
        <v>6.48</v>
      </c>
      <c r="P41" s="12">
        <v>136.08000000000001</v>
      </c>
      <c r="Q41" s="12"/>
    </row>
    <row r="42" spans="1:17" ht="48" x14ac:dyDescent="0.2">
      <c r="A42" s="6">
        <v>15</v>
      </c>
      <c r="B42" s="92" t="s">
        <v>106</v>
      </c>
      <c r="C42" s="146" t="s">
        <v>345</v>
      </c>
      <c r="D42" s="91" t="s">
        <v>35</v>
      </c>
      <c r="E42" s="90">
        <v>70</v>
      </c>
      <c r="F42" s="89">
        <v>143.88</v>
      </c>
      <c r="G42" s="12"/>
      <c r="H42" s="12"/>
      <c r="I42" s="12"/>
      <c r="J42" s="12"/>
      <c r="K42" s="129">
        <v>10072</v>
      </c>
      <c r="L42" s="12"/>
      <c r="M42" s="12"/>
      <c r="N42" s="12"/>
      <c r="O42" s="12"/>
      <c r="P42" s="12"/>
      <c r="Q42" s="12"/>
    </row>
    <row r="43" spans="1:17" ht="36" x14ac:dyDescent="0.2">
      <c r="A43" s="6">
        <v>16</v>
      </c>
      <c r="B43" s="92" t="s">
        <v>106</v>
      </c>
      <c r="C43" s="146" t="s">
        <v>344</v>
      </c>
      <c r="D43" s="91" t="s">
        <v>33</v>
      </c>
      <c r="E43" s="97">
        <v>21</v>
      </c>
      <c r="F43" s="89">
        <v>137.18</v>
      </c>
      <c r="G43" s="12"/>
      <c r="H43" s="12"/>
      <c r="I43" s="12"/>
      <c r="J43" s="12"/>
      <c r="K43" s="129">
        <v>2881</v>
      </c>
      <c r="L43" s="12"/>
      <c r="M43" s="12"/>
      <c r="N43" s="12"/>
      <c r="O43" s="12"/>
      <c r="P43" s="12"/>
      <c r="Q43" s="12"/>
    </row>
    <row r="44" spans="1:17" ht="24" x14ac:dyDescent="0.2">
      <c r="A44" s="6">
        <v>17</v>
      </c>
      <c r="B44" s="92" t="s">
        <v>343</v>
      </c>
      <c r="C44" s="146" t="s">
        <v>342</v>
      </c>
      <c r="D44" s="91" t="s">
        <v>76</v>
      </c>
      <c r="E44" s="97">
        <v>0.7</v>
      </c>
      <c r="F44" s="89">
        <v>1837.57</v>
      </c>
      <c r="G44" s="89">
        <v>474.14</v>
      </c>
      <c r="H44" s="89">
        <v>129.78</v>
      </c>
      <c r="I44" s="89">
        <v>23.9</v>
      </c>
      <c r="J44" s="12"/>
      <c r="K44" s="129">
        <v>1286</v>
      </c>
      <c r="L44" s="12">
        <v>332</v>
      </c>
      <c r="M44" s="12">
        <v>91</v>
      </c>
      <c r="N44" s="12">
        <v>17</v>
      </c>
      <c r="O44" s="12">
        <v>37.1</v>
      </c>
      <c r="P44" s="12">
        <v>25.97</v>
      </c>
      <c r="Q44" s="12"/>
    </row>
    <row r="45" spans="1:17" ht="36" x14ac:dyDescent="0.2">
      <c r="A45" s="6">
        <v>18</v>
      </c>
      <c r="B45" s="92" t="s">
        <v>106</v>
      </c>
      <c r="C45" s="146" t="s">
        <v>341</v>
      </c>
      <c r="D45" s="91" t="s">
        <v>33</v>
      </c>
      <c r="E45" s="97">
        <v>21</v>
      </c>
      <c r="F45" s="89">
        <v>15.24</v>
      </c>
      <c r="G45" s="12"/>
      <c r="H45" s="12"/>
      <c r="I45" s="12"/>
      <c r="J45" s="12"/>
      <c r="K45" s="129">
        <v>320</v>
      </c>
      <c r="L45" s="12"/>
      <c r="M45" s="12"/>
      <c r="N45" s="12"/>
      <c r="O45" s="12"/>
      <c r="P45" s="12"/>
      <c r="Q45" s="12"/>
    </row>
    <row r="46" spans="1:17" ht="36" x14ac:dyDescent="0.2">
      <c r="A46" s="6">
        <v>19</v>
      </c>
      <c r="B46" s="92" t="s">
        <v>340</v>
      </c>
      <c r="C46" s="146" t="s">
        <v>339</v>
      </c>
      <c r="D46" s="91" t="s">
        <v>29</v>
      </c>
      <c r="E46" s="97">
        <v>21</v>
      </c>
      <c r="F46" s="89">
        <v>8.84</v>
      </c>
      <c r="G46" s="89">
        <v>4.74</v>
      </c>
      <c r="H46" s="89">
        <v>1.08</v>
      </c>
      <c r="I46" s="12"/>
      <c r="J46" s="12"/>
      <c r="K46" s="129">
        <v>186</v>
      </c>
      <c r="L46" s="12">
        <v>100</v>
      </c>
      <c r="M46" s="12">
        <v>23</v>
      </c>
      <c r="N46" s="12"/>
      <c r="O46" s="12">
        <v>0.35</v>
      </c>
      <c r="P46" s="12">
        <v>7.35</v>
      </c>
      <c r="Q46" s="12"/>
    </row>
    <row r="47" spans="1:17" ht="24" x14ac:dyDescent="0.2">
      <c r="A47" s="6">
        <v>20</v>
      </c>
      <c r="B47" s="92" t="s">
        <v>106</v>
      </c>
      <c r="C47" s="146" t="s">
        <v>338</v>
      </c>
      <c r="D47" s="91" t="s">
        <v>33</v>
      </c>
      <c r="E47" s="90">
        <v>11</v>
      </c>
      <c r="F47" s="89">
        <v>26.21</v>
      </c>
      <c r="G47" s="12"/>
      <c r="H47" s="12"/>
      <c r="I47" s="12"/>
      <c r="J47" s="12"/>
      <c r="K47" s="129">
        <v>288</v>
      </c>
      <c r="L47" s="12"/>
      <c r="M47" s="12"/>
      <c r="N47" s="12"/>
      <c r="O47" s="12"/>
      <c r="P47" s="12"/>
      <c r="Q47" s="12"/>
    </row>
    <row r="48" spans="1:17" x14ac:dyDescent="0.2">
      <c r="A48" s="6">
        <v>21</v>
      </c>
      <c r="B48" s="92" t="s">
        <v>333</v>
      </c>
      <c r="C48" s="146" t="s">
        <v>337</v>
      </c>
      <c r="D48" s="91" t="s">
        <v>29</v>
      </c>
      <c r="E48" s="97">
        <v>10</v>
      </c>
      <c r="F48" s="89">
        <v>13.89</v>
      </c>
      <c r="G48" s="89">
        <v>12.78</v>
      </c>
      <c r="H48" s="12"/>
      <c r="I48" s="12"/>
      <c r="J48" s="12"/>
      <c r="K48" s="129">
        <v>139</v>
      </c>
      <c r="L48" s="12">
        <v>128</v>
      </c>
      <c r="M48" s="12"/>
      <c r="N48" s="12"/>
      <c r="O48" s="12">
        <v>1</v>
      </c>
      <c r="P48" s="12">
        <v>10</v>
      </c>
      <c r="Q48" s="12"/>
    </row>
    <row r="49" spans="1:17" ht="24" x14ac:dyDescent="0.2">
      <c r="A49" s="6">
        <v>22</v>
      </c>
      <c r="B49" s="92" t="s">
        <v>106</v>
      </c>
      <c r="C49" s="146" t="s">
        <v>336</v>
      </c>
      <c r="D49" s="91" t="s">
        <v>33</v>
      </c>
      <c r="E49" s="90">
        <v>15</v>
      </c>
      <c r="F49" s="89">
        <v>25.15</v>
      </c>
      <c r="G49" s="12"/>
      <c r="H49" s="12"/>
      <c r="I49" s="12"/>
      <c r="J49" s="12"/>
      <c r="K49" s="129">
        <v>377</v>
      </c>
      <c r="L49" s="12"/>
      <c r="M49" s="12"/>
      <c r="N49" s="12"/>
      <c r="O49" s="12"/>
      <c r="P49" s="12"/>
      <c r="Q49" s="12"/>
    </row>
    <row r="50" spans="1:17" x14ac:dyDescent="0.2">
      <c r="A50" s="6">
        <v>23</v>
      </c>
      <c r="B50" s="92" t="s">
        <v>330</v>
      </c>
      <c r="C50" s="146" t="s">
        <v>335</v>
      </c>
      <c r="D50" s="91" t="s">
        <v>29</v>
      </c>
      <c r="E50" s="97">
        <v>14</v>
      </c>
      <c r="F50" s="89">
        <v>98.76</v>
      </c>
      <c r="G50" s="89">
        <v>74.88</v>
      </c>
      <c r="H50" s="12"/>
      <c r="I50" s="12"/>
      <c r="J50" s="12"/>
      <c r="K50" s="129">
        <v>1383</v>
      </c>
      <c r="L50" s="12">
        <v>1048</v>
      </c>
      <c r="M50" s="12"/>
      <c r="N50" s="12"/>
      <c r="O50" s="12">
        <v>6</v>
      </c>
      <c r="P50" s="12">
        <v>84</v>
      </c>
      <c r="Q50" s="12"/>
    </row>
    <row r="51" spans="1:17" ht="24" x14ac:dyDescent="0.2">
      <c r="A51" s="6">
        <v>24</v>
      </c>
      <c r="B51" s="92" t="s">
        <v>106</v>
      </c>
      <c r="C51" s="146" t="s">
        <v>334</v>
      </c>
      <c r="D51" s="91" t="s">
        <v>33</v>
      </c>
      <c r="E51" s="90">
        <v>22</v>
      </c>
      <c r="F51" s="89">
        <v>22.86</v>
      </c>
      <c r="G51" s="12"/>
      <c r="H51" s="12"/>
      <c r="I51" s="12"/>
      <c r="J51" s="12"/>
      <c r="K51" s="129">
        <v>503</v>
      </c>
      <c r="L51" s="12"/>
      <c r="M51" s="12"/>
      <c r="N51" s="12"/>
      <c r="O51" s="12"/>
      <c r="P51" s="12"/>
      <c r="Q51" s="12"/>
    </row>
    <row r="52" spans="1:17" x14ac:dyDescent="0.2">
      <c r="A52" s="6">
        <v>25</v>
      </c>
      <c r="B52" s="92" t="s">
        <v>333</v>
      </c>
      <c r="C52" s="146" t="s">
        <v>332</v>
      </c>
      <c r="D52" s="91" t="s">
        <v>29</v>
      </c>
      <c r="E52" s="97">
        <v>20</v>
      </c>
      <c r="F52" s="89">
        <v>13.89</v>
      </c>
      <c r="G52" s="89">
        <v>12.78</v>
      </c>
      <c r="H52" s="12"/>
      <c r="I52" s="12"/>
      <c r="J52" s="12"/>
      <c r="K52" s="129">
        <v>278</v>
      </c>
      <c r="L52" s="12">
        <v>256</v>
      </c>
      <c r="M52" s="12"/>
      <c r="N52" s="12"/>
      <c r="O52" s="12">
        <v>1</v>
      </c>
      <c r="P52" s="12">
        <v>20</v>
      </c>
      <c r="Q52" s="12"/>
    </row>
    <row r="53" spans="1:17" ht="24" x14ac:dyDescent="0.2">
      <c r="A53" s="6">
        <v>26</v>
      </c>
      <c r="B53" s="92" t="s">
        <v>106</v>
      </c>
      <c r="C53" s="146" t="s">
        <v>331</v>
      </c>
      <c r="D53" s="91" t="s">
        <v>33</v>
      </c>
      <c r="E53" s="97">
        <v>1</v>
      </c>
      <c r="F53" s="89">
        <v>50.3</v>
      </c>
      <c r="G53" s="12"/>
      <c r="H53" s="12"/>
      <c r="I53" s="12"/>
      <c r="J53" s="12"/>
      <c r="K53" s="129">
        <v>50</v>
      </c>
      <c r="L53" s="12"/>
      <c r="M53" s="12"/>
      <c r="N53" s="12"/>
      <c r="O53" s="12"/>
      <c r="P53" s="12"/>
      <c r="Q53" s="12"/>
    </row>
    <row r="54" spans="1:17" ht="24" x14ac:dyDescent="0.2">
      <c r="A54" s="6">
        <v>27</v>
      </c>
      <c r="B54" s="92" t="s">
        <v>330</v>
      </c>
      <c r="C54" s="146" t="s">
        <v>329</v>
      </c>
      <c r="D54" s="91" t="s">
        <v>29</v>
      </c>
      <c r="E54" s="97">
        <v>1</v>
      </c>
      <c r="F54" s="89">
        <v>98.76</v>
      </c>
      <c r="G54" s="89">
        <v>74.88</v>
      </c>
      <c r="H54" s="12"/>
      <c r="I54" s="12"/>
      <c r="J54" s="12"/>
      <c r="K54" s="129">
        <v>99</v>
      </c>
      <c r="L54" s="12">
        <v>75</v>
      </c>
      <c r="M54" s="12"/>
      <c r="N54" s="12"/>
      <c r="O54" s="12">
        <v>6</v>
      </c>
      <c r="P54" s="12">
        <v>6</v>
      </c>
      <c r="Q54" s="12"/>
    </row>
    <row r="55" spans="1:17" ht="24" x14ac:dyDescent="0.2">
      <c r="A55" s="6">
        <v>28</v>
      </c>
      <c r="B55" s="92" t="s">
        <v>106</v>
      </c>
      <c r="C55" s="146" t="s">
        <v>328</v>
      </c>
      <c r="D55" s="91" t="s">
        <v>33</v>
      </c>
      <c r="E55" s="97">
        <v>7</v>
      </c>
      <c r="F55" s="12"/>
      <c r="G55" s="12"/>
      <c r="H55" s="12"/>
      <c r="I55" s="12"/>
      <c r="J55" s="12">
        <v>272</v>
      </c>
      <c r="K55" s="129">
        <v>272</v>
      </c>
      <c r="L55" s="12"/>
      <c r="M55" s="12"/>
      <c r="N55" s="12"/>
      <c r="O55" s="12"/>
      <c r="P55" s="12"/>
      <c r="Q55" s="12"/>
    </row>
    <row r="56" spans="1:17" ht="24" x14ac:dyDescent="0.2">
      <c r="A56" s="6">
        <v>29</v>
      </c>
      <c r="B56" s="92" t="s">
        <v>327</v>
      </c>
      <c r="C56" s="146" t="s">
        <v>326</v>
      </c>
      <c r="D56" s="91" t="s">
        <v>29</v>
      </c>
      <c r="E56" s="97">
        <v>7</v>
      </c>
      <c r="F56" s="89">
        <v>86.32</v>
      </c>
      <c r="G56" s="89">
        <v>78.05</v>
      </c>
      <c r="H56" s="89">
        <v>0.37</v>
      </c>
      <c r="I56" s="12"/>
      <c r="J56" s="12"/>
      <c r="K56" s="129">
        <v>604</v>
      </c>
      <c r="L56" s="12">
        <v>546</v>
      </c>
      <c r="M56" s="12">
        <v>3</v>
      </c>
      <c r="N56" s="12"/>
      <c r="O56" s="12">
        <v>5.76</v>
      </c>
      <c r="P56" s="12">
        <v>40.32</v>
      </c>
      <c r="Q56" s="12"/>
    </row>
    <row r="57" spans="1:17" ht="24" x14ac:dyDescent="0.2">
      <c r="A57" s="6">
        <v>30</v>
      </c>
      <c r="B57" s="92" t="s">
        <v>106</v>
      </c>
      <c r="C57" s="146" t="s">
        <v>325</v>
      </c>
      <c r="D57" s="91" t="s">
        <v>33</v>
      </c>
      <c r="E57" s="97">
        <v>1</v>
      </c>
      <c r="F57" s="12"/>
      <c r="G57" s="12"/>
      <c r="H57" s="12"/>
      <c r="I57" s="12"/>
      <c r="J57" s="12">
        <v>107</v>
      </c>
      <c r="K57" s="129">
        <v>107</v>
      </c>
      <c r="L57" s="12"/>
      <c r="M57" s="12"/>
      <c r="N57" s="12"/>
      <c r="O57" s="12"/>
      <c r="P57" s="12"/>
      <c r="Q57" s="12"/>
    </row>
    <row r="58" spans="1:17" ht="24" x14ac:dyDescent="0.2">
      <c r="A58" s="6">
        <v>31</v>
      </c>
      <c r="B58" s="92" t="s">
        <v>324</v>
      </c>
      <c r="C58" s="146" t="s">
        <v>323</v>
      </c>
      <c r="D58" s="91" t="s">
        <v>29</v>
      </c>
      <c r="E58" s="97">
        <v>1</v>
      </c>
      <c r="F58" s="89">
        <v>59.97</v>
      </c>
      <c r="G58" s="89">
        <v>51.77</v>
      </c>
      <c r="H58" s="89">
        <v>0.37</v>
      </c>
      <c r="I58" s="12"/>
      <c r="J58" s="12"/>
      <c r="K58" s="129">
        <v>60</v>
      </c>
      <c r="L58" s="12">
        <v>52</v>
      </c>
      <c r="M58" s="12"/>
      <c r="N58" s="12"/>
      <c r="O58" s="12">
        <v>3.6</v>
      </c>
      <c r="P58" s="12">
        <v>3.6</v>
      </c>
      <c r="Q58" s="12"/>
    </row>
    <row r="59" spans="1:17" x14ac:dyDescent="0.2">
      <c r="A59" s="6">
        <v>32</v>
      </c>
      <c r="B59" s="92" t="s">
        <v>106</v>
      </c>
      <c r="C59" s="146" t="s">
        <v>322</v>
      </c>
      <c r="D59" s="91" t="s">
        <v>33</v>
      </c>
      <c r="E59" s="97">
        <v>2</v>
      </c>
      <c r="F59" s="89">
        <v>450.01</v>
      </c>
      <c r="G59" s="12"/>
      <c r="H59" s="12"/>
      <c r="I59" s="12"/>
      <c r="J59" s="12"/>
      <c r="K59" s="129">
        <v>900</v>
      </c>
      <c r="L59" s="12"/>
      <c r="M59" s="12"/>
      <c r="N59" s="12"/>
      <c r="O59" s="12"/>
      <c r="P59" s="12"/>
      <c r="Q59" s="12"/>
    </row>
    <row r="60" spans="1:17" ht="36" x14ac:dyDescent="0.2">
      <c r="A60" s="6">
        <v>33</v>
      </c>
      <c r="B60" s="92" t="s">
        <v>106</v>
      </c>
      <c r="C60" s="146" t="s">
        <v>321</v>
      </c>
      <c r="D60" s="91" t="s">
        <v>320</v>
      </c>
      <c r="E60" s="90">
        <v>0.78600000000000003</v>
      </c>
      <c r="F60" s="89">
        <v>2667.36</v>
      </c>
      <c r="G60" s="12"/>
      <c r="H60" s="12"/>
      <c r="I60" s="12"/>
      <c r="J60" s="12"/>
      <c r="K60" s="129">
        <v>2097</v>
      </c>
      <c r="L60" s="12"/>
      <c r="M60" s="12"/>
      <c r="N60" s="12"/>
      <c r="O60" s="12"/>
      <c r="P60" s="12"/>
      <c r="Q60" s="12"/>
    </row>
    <row r="61" spans="1:17" ht="24" x14ac:dyDescent="0.2">
      <c r="A61" s="6">
        <v>34</v>
      </c>
      <c r="B61" s="92" t="s">
        <v>106</v>
      </c>
      <c r="C61" s="146" t="s">
        <v>319</v>
      </c>
      <c r="D61" s="91" t="s">
        <v>31</v>
      </c>
      <c r="E61" s="90">
        <v>5.5E-2</v>
      </c>
      <c r="F61" s="89">
        <v>3703.97</v>
      </c>
      <c r="G61" s="12"/>
      <c r="H61" s="12"/>
      <c r="I61" s="12"/>
      <c r="J61" s="12"/>
      <c r="K61" s="129">
        <v>204</v>
      </c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92" t="s">
        <v>106</v>
      </c>
      <c r="C62" s="146" t="s">
        <v>318</v>
      </c>
      <c r="D62" s="91" t="s">
        <v>31</v>
      </c>
      <c r="E62" s="90">
        <v>0.253</v>
      </c>
      <c r="F62" s="89">
        <v>6992.59</v>
      </c>
      <c r="G62" s="12"/>
      <c r="H62" s="12"/>
      <c r="I62" s="12"/>
      <c r="J62" s="12"/>
      <c r="K62" s="129">
        <v>1769</v>
      </c>
      <c r="L62" s="12"/>
      <c r="M62" s="12"/>
      <c r="N62" s="12"/>
      <c r="O62" s="12"/>
      <c r="P62" s="12"/>
      <c r="Q62" s="12"/>
    </row>
    <row r="63" spans="1:17" ht="24" x14ac:dyDescent="0.2">
      <c r="A63" s="6">
        <v>36</v>
      </c>
      <c r="B63" s="92" t="s">
        <v>106</v>
      </c>
      <c r="C63" s="146" t="s">
        <v>317</v>
      </c>
      <c r="D63" s="91" t="s">
        <v>31</v>
      </c>
      <c r="E63" s="90">
        <v>1.1000000000000001</v>
      </c>
      <c r="F63" s="89">
        <v>6038.9</v>
      </c>
      <c r="G63" s="12"/>
      <c r="H63" s="12"/>
      <c r="I63" s="12"/>
      <c r="J63" s="12"/>
      <c r="K63" s="129">
        <v>6643</v>
      </c>
      <c r="L63" s="12"/>
      <c r="M63" s="12"/>
      <c r="N63" s="12"/>
      <c r="O63" s="12"/>
      <c r="P63" s="12"/>
      <c r="Q63" s="12"/>
    </row>
    <row r="64" spans="1:17" ht="24" x14ac:dyDescent="0.2">
      <c r="A64" s="6">
        <v>37</v>
      </c>
      <c r="B64" s="92" t="s">
        <v>106</v>
      </c>
      <c r="C64" s="146" t="s">
        <v>316</v>
      </c>
      <c r="D64" s="91" t="s">
        <v>31</v>
      </c>
      <c r="E64" s="90">
        <v>9.4E-2</v>
      </c>
      <c r="F64" s="89">
        <v>8066.24</v>
      </c>
      <c r="G64" s="12"/>
      <c r="H64" s="12"/>
      <c r="I64" s="12"/>
      <c r="J64" s="12"/>
      <c r="K64" s="129">
        <v>758</v>
      </c>
      <c r="L64" s="12"/>
      <c r="M64" s="12"/>
      <c r="N64" s="12"/>
      <c r="O64" s="12"/>
      <c r="P64" s="12"/>
      <c r="Q64" s="12"/>
    </row>
    <row r="65" spans="1:17" ht="72" x14ac:dyDescent="0.2">
      <c r="A65" s="6">
        <v>38</v>
      </c>
      <c r="B65" s="92" t="s">
        <v>315</v>
      </c>
      <c r="C65" s="146" t="s">
        <v>314</v>
      </c>
      <c r="D65" s="91" t="s">
        <v>31</v>
      </c>
      <c r="E65" s="90">
        <v>1.2999999999999999E-2</v>
      </c>
      <c r="F65" s="89">
        <v>6962.8</v>
      </c>
      <c r="G65" s="12"/>
      <c r="H65" s="12"/>
      <c r="I65" s="12"/>
      <c r="J65" s="12"/>
      <c r="K65" s="129">
        <v>91</v>
      </c>
      <c r="L65" s="12"/>
      <c r="M65" s="12"/>
      <c r="N65" s="12"/>
      <c r="O65" s="12"/>
      <c r="P65" s="12"/>
      <c r="Q65" s="12"/>
    </row>
    <row r="66" spans="1:17" ht="24" x14ac:dyDescent="0.2">
      <c r="A66" s="6">
        <v>39</v>
      </c>
      <c r="B66" s="92" t="s">
        <v>313</v>
      </c>
      <c r="C66" s="146" t="s">
        <v>312</v>
      </c>
      <c r="D66" s="91" t="s">
        <v>34</v>
      </c>
      <c r="E66" s="90">
        <v>18</v>
      </c>
      <c r="F66" s="89">
        <v>189.23</v>
      </c>
      <c r="G66" s="89">
        <v>46.64</v>
      </c>
      <c r="H66" s="89">
        <v>56.09</v>
      </c>
      <c r="I66" s="89">
        <v>24.55</v>
      </c>
      <c r="J66" s="12"/>
      <c r="K66" s="129">
        <v>3406</v>
      </c>
      <c r="L66" s="12">
        <v>840</v>
      </c>
      <c r="M66" s="12">
        <v>1010</v>
      </c>
      <c r="N66" s="12">
        <v>442</v>
      </c>
      <c r="O66" s="12">
        <v>3.52</v>
      </c>
      <c r="P66" s="12">
        <v>63.36</v>
      </c>
      <c r="Q66" s="12"/>
    </row>
    <row r="67" spans="1:17" ht="60" x14ac:dyDescent="0.2">
      <c r="A67" s="6">
        <v>40</v>
      </c>
      <c r="B67" s="92" t="s">
        <v>311</v>
      </c>
      <c r="C67" s="146" t="s">
        <v>310</v>
      </c>
      <c r="D67" s="91" t="s">
        <v>34</v>
      </c>
      <c r="E67" s="90">
        <v>2.92</v>
      </c>
      <c r="F67" s="89">
        <v>1131.6099999999999</v>
      </c>
      <c r="G67" s="89">
        <v>202.73</v>
      </c>
      <c r="H67" s="89">
        <v>704.04</v>
      </c>
      <c r="I67" s="89">
        <v>87.33</v>
      </c>
      <c r="J67" s="12"/>
      <c r="K67" s="129">
        <v>3304</v>
      </c>
      <c r="L67" s="12">
        <v>592</v>
      </c>
      <c r="M67" s="12">
        <v>2056</v>
      </c>
      <c r="N67" s="12">
        <v>255</v>
      </c>
      <c r="O67" s="12">
        <v>15.3</v>
      </c>
      <c r="P67" s="12">
        <v>44.68</v>
      </c>
      <c r="Q67" s="12"/>
    </row>
    <row r="68" spans="1:17" ht="25.15" customHeight="1" x14ac:dyDescent="0.2">
      <c r="A68" s="6">
        <v>41</v>
      </c>
      <c r="B68" s="92" t="s">
        <v>106</v>
      </c>
      <c r="C68" s="146" t="s">
        <v>309</v>
      </c>
      <c r="D68" s="91" t="s">
        <v>33</v>
      </c>
      <c r="E68" s="97">
        <v>22</v>
      </c>
      <c r="F68" s="89">
        <v>23.02</v>
      </c>
      <c r="G68" s="12"/>
      <c r="H68" s="12"/>
      <c r="I68" s="12"/>
      <c r="J68" s="12"/>
      <c r="K68" s="129">
        <v>506</v>
      </c>
      <c r="L68" s="12"/>
      <c r="M68" s="12"/>
      <c r="N68" s="12"/>
      <c r="O68" s="12"/>
      <c r="P68" s="12"/>
      <c r="Q68" s="12"/>
    </row>
    <row r="69" spans="1:17" x14ac:dyDescent="0.2">
      <c r="A69" s="6">
        <v>42</v>
      </c>
      <c r="B69" s="92" t="s">
        <v>308</v>
      </c>
      <c r="C69" s="146" t="s">
        <v>307</v>
      </c>
      <c r="D69" s="91" t="s">
        <v>30</v>
      </c>
      <c r="E69" s="90">
        <v>80</v>
      </c>
      <c r="F69" s="89">
        <v>1.19</v>
      </c>
      <c r="G69" s="12"/>
      <c r="H69" s="12"/>
      <c r="I69" s="12"/>
      <c r="J69" s="12"/>
      <c r="K69" s="129">
        <v>95</v>
      </c>
      <c r="L69" s="12"/>
      <c r="M69" s="12"/>
      <c r="N69" s="12"/>
      <c r="O69" s="12"/>
      <c r="P69" s="12"/>
      <c r="Q69" s="12"/>
    </row>
    <row r="70" spans="1:17" x14ac:dyDescent="0.2">
      <c r="A70" s="6">
        <v>43</v>
      </c>
      <c r="B70" s="92" t="s">
        <v>306</v>
      </c>
      <c r="C70" s="146" t="s">
        <v>305</v>
      </c>
      <c r="D70" s="91" t="s">
        <v>29</v>
      </c>
      <c r="E70" s="90">
        <v>80</v>
      </c>
      <c r="F70" s="89">
        <v>8.41</v>
      </c>
      <c r="G70" s="89">
        <v>7.26</v>
      </c>
      <c r="H70" s="12"/>
      <c r="I70" s="12"/>
      <c r="J70" s="12"/>
      <c r="K70" s="129">
        <v>673</v>
      </c>
      <c r="L70" s="12">
        <v>581</v>
      </c>
      <c r="M70" s="12"/>
      <c r="N70" s="12"/>
      <c r="O70" s="12">
        <v>0.52</v>
      </c>
      <c r="P70" s="12">
        <v>41.6</v>
      </c>
      <c r="Q70" s="12"/>
    </row>
    <row r="71" spans="1:17" ht="24" x14ac:dyDescent="0.2">
      <c r="A71" s="6">
        <v>44</v>
      </c>
      <c r="B71" s="92" t="s">
        <v>304</v>
      </c>
      <c r="C71" s="146" t="s">
        <v>303</v>
      </c>
      <c r="D71" s="91" t="s">
        <v>29</v>
      </c>
      <c r="E71" s="97">
        <v>1</v>
      </c>
      <c r="F71" s="89">
        <v>121.87</v>
      </c>
      <c r="G71" s="89">
        <v>26.33</v>
      </c>
      <c r="H71" s="89">
        <v>2.39</v>
      </c>
      <c r="I71" s="12"/>
      <c r="J71" s="12"/>
      <c r="K71" s="129">
        <v>122</v>
      </c>
      <c r="L71" s="12">
        <v>26</v>
      </c>
      <c r="M71" s="12">
        <v>2</v>
      </c>
      <c r="N71" s="12"/>
      <c r="O71" s="12">
        <v>2.06</v>
      </c>
      <c r="P71" s="12">
        <v>2.06</v>
      </c>
      <c r="Q71" s="12"/>
    </row>
    <row r="72" spans="1:17" ht="36" x14ac:dyDescent="0.2">
      <c r="A72" s="6">
        <v>45</v>
      </c>
      <c r="B72" s="92" t="s">
        <v>106</v>
      </c>
      <c r="C72" s="146" t="s">
        <v>302</v>
      </c>
      <c r="D72" s="91" t="s">
        <v>33</v>
      </c>
      <c r="E72" s="97">
        <v>1</v>
      </c>
      <c r="F72" s="89">
        <v>1411.86</v>
      </c>
      <c r="G72" s="12"/>
      <c r="H72" s="12"/>
      <c r="I72" s="12"/>
      <c r="J72" s="12"/>
      <c r="K72" s="129">
        <v>1412</v>
      </c>
      <c r="L72" s="12"/>
      <c r="M72" s="12"/>
      <c r="N72" s="12"/>
      <c r="O72" s="12"/>
      <c r="P72" s="12"/>
      <c r="Q72" s="12"/>
    </row>
    <row r="73" spans="1:17" ht="24" x14ac:dyDescent="0.2">
      <c r="A73" s="6">
        <v>46</v>
      </c>
      <c r="B73" s="92" t="s">
        <v>106</v>
      </c>
      <c r="C73" s="146" t="s">
        <v>301</v>
      </c>
      <c r="D73" s="91" t="s">
        <v>33</v>
      </c>
      <c r="E73" s="97">
        <v>1</v>
      </c>
      <c r="F73" s="89">
        <v>429.51</v>
      </c>
      <c r="G73" s="12"/>
      <c r="H73" s="12"/>
      <c r="I73" s="12"/>
      <c r="J73" s="12"/>
      <c r="K73" s="129">
        <v>430</v>
      </c>
      <c r="L73" s="12"/>
      <c r="M73" s="12"/>
      <c r="N73" s="12"/>
      <c r="O73" s="12"/>
      <c r="P73" s="12"/>
      <c r="Q73" s="12"/>
    </row>
    <row r="74" spans="1:17" ht="24" x14ac:dyDescent="0.2">
      <c r="A74" s="6">
        <v>47</v>
      </c>
      <c r="B74" s="92" t="s">
        <v>106</v>
      </c>
      <c r="C74" s="146" t="s">
        <v>300</v>
      </c>
      <c r="D74" s="91" t="s">
        <v>299</v>
      </c>
      <c r="E74" s="97">
        <v>1</v>
      </c>
      <c r="F74" s="89">
        <v>53.52</v>
      </c>
      <c r="G74" s="12"/>
      <c r="H74" s="12"/>
      <c r="I74" s="12"/>
      <c r="J74" s="12"/>
      <c r="K74" s="129">
        <v>54</v>
      </c>
      <c r="L74" s="12"/>
      <c r="M74" s="12"/>
      <c r="N74" s="12"/>
      <c r="O74" s="12"/>
      <c r="P74" s="12"/>
      <c r="Q74" s="12"/>
    </row>
    <row r="75" spans="1:17" ht="24" x14ac:dyDescent="0.2">
      <c r="A75" s="6">
        <v>48</v>
      </c>
      <c r="B75" s="92" t="s">
        <v>106</v>
      </c>
      <c r="C75" s="146" t="s">
        <v>298</v>
      </c>
      <c r="D75" s="91" t="s">
        <v>33</v>
      </c>
      <c r="E75" s="97">
        <v>1</v>
      </c>
      <c r="F75" s="89">
        <v>127.92</v>
      </c>
      <c r="G75" s="12"/>
      <c r="H75" s="12"/>
      <c r="I75" s="12"/>
      <c r="J75" s="12"/>
      <c r="K75" s="129">
        <v>128</v>
      </c>
      <c r="L75" s="12"/>
      <c r="M75" s="12"/>
      <c r="N75" s="12"/>
      <c r="O75" s="12"/>
      <c r="P75" s="12"/>
      <c r="Q75" s="12"/>
    </row>
    <row r="76" spans="1:17" ht="24" x14ac:dyDescent="0.2">
      <c r="A76" s="6">
        <v>49</v>
      </c>
      <c r="B76" s="92" t="s">
        <v>297</v>
      </c>
      <c r="C76" s="146" t="s">
        <v>296</v>
      </c>
      <c r="D76" s="91" t="s">
        <v>30</v>
      </c>
      <c r="E76" s="97">
        <v>1</v>
      </c>
      <c r="F76" s="89">
        <v>27.74</v>
      </c>
      <c r="G76" s="12"/>
      <c r="H76" s="12"/>
      <c r="I76" s="12"/>
      <c r="J76" s="12"/>
      <c r="K76" s="129">
        <v>28</v>
      </c>
      <c r="L76" s="12"/>
      <c r="M76" s="12"/>
      <c r="N76" s="12"/>
      <c r="O76" s="12"/>
      <c r="P76" s="12"/>
      <c r="Q76" s="12"/>
    </row>
    <row r="77" spans="1:17" ht="36" x14ac:dyDescent="0.2">
      <c r="A77" s="6">
        <v>50</v>
      </c>
      <c r="B77" s="92" t="s">
        <v>295</v>
      </c>
      <c r="C77" s="146" t="s">
        <v>294</v>
      </c>
      <c r="D77" s="91" t="s">
        <v>29</v>
      </c>
      <c r="E77" s="97">
        <v>1</v>
      </c>
      <c r="F77" s="89">
        <v>174.77</v>
      </c>
      <c r="G77" s="89">
        <v>20.9</v>
      </c>
      <c r="H77" s="89">
        <v>1.28</v>
      </c>
      <c r="I77" s="12"/>
      <c r="J77" s="12"/>
      <c r="K77" s="129">
        <v>175</v>
      </c>
      <c r="L77" s="12">
        <v>21</v>
      </c>
      <c r="M77" s="12">
        <v>1</v>
      </c>
      <c r="N77" s="12"/>
      <c r="O77" s="12">
        <v>1.56</v>
      </c>
      <c r="P77" s="12">
        <v>1.56</v>
      </c>
      <c r="Q77" s="12"/>
    </row>
    <row r="78" spans="1:17" x14ac:dyDescent="0.2">
      <c r="A78" s="6">
        <v>51</v>
      </c>
      <c r="B78" s="92" t="s">
        <v>106</v>
      </c>
      <c r="C78" s="146" t="s">
        <v>293</v>
      </c>
      <c r="D78" s="91" t="s">
        <v>30</v>
      </c>
      <c r="E78" s="97">
        <v>1</v>
      </c>
      <c r="F78" s="89">
        <v>3.89</v>
      </c>
      <c r="G78" s="12"/>
      <c r="H78" s="12"/>
      <c r="I78" s="12"/>
      <c r="J78" s="12"/>
      <c r="K78" s="129">
        <v>4</v>
      </c>
      <c r="L78" s="12"/>
      <c r="M78" s="12"/>
      <c r="N78" s="12"/>
      <c r="O78" s="12"/>
      <c r="P78" s="12"/>
      <c r="Q78" s="12"/>
    </row>
    <row r="79" spans="1:17" ht="36" x14ac:dyDescent="0.2">
      <c r="A79" s="6">
        <v>52</v>
      </c>
      <c r="B79" s="92" t="s">
        <v>233</v>
      </c>
      <c r="C79" s="146" t="s">
        <v>292</v>
      </c>
      <c r="D79" s="91" t="s">
        <v>29</v>
      </c>
      <c r="E79" s="97">
        <v>1</v>
      </c>
      <c r="F79" s="89">
        <v>99.26</v>
      </c>
      <c r="G79" s="89">
        <v>33.11</v>
      </c>
      <c r="H79" s="89">
        <v>62.05</v>
      </c>
      <c r="I79" s="89">
        <v>4.71</v>
      </c>
      <c r="J79" s="12"/>
      <c r="K79" s="129">
        <v>99</v>
      </c>
      <c r="L79" s="12">
        <v>33</v>
      </c>
      <c r="M79" s="12">
        <v>62</v>
      </c>
      <c r="N79" s="12">
        <v>5</v>
      </c>
      <c r="O79" s="12">
        <v>2.37</v>
      </c>
      <c r="P79" s="12">
        <v>2.37</v>
      </c>
      <c r="Q79" s="12"/>
    </row>
    <row r="80" spans="1:17" ht="36" x14ac:dyDescent="0.2">
      <c r="A80" s="6">
        <v>53</v>
      </c>
      <c r="B80" s="92" t="s">
        <v>291</v>
      </c>
      <c r="C80" s="146" t="s">
        <v>290</v>
      </c>
      <c r="D80" s="91" t="s">
        <v>29</v>
      </c>
      <c r="E80" s="97">
        <v>20</v>
      </c>
      <c r="F80" s="89">
        <v>27.06</v>
      </c>
      <c r="G80" s="89">
        <v>11.51</v>
      </c>
      <c r="H80" s="12"/>
      <c r="I80" s="12"/>
      <c r="J80" s="12"/>
      <c r="K80" s="129">
        <v>541</v>
      </c>
      <c r="L80" s="12">
        <v>230</v>
      </c>
      <c r="M80" s="12"/>
      <c r="N80" s="12"/>
      <c r="O80" s="12">
        <v>1</v>
      </c>
      <c r="P80" s="12">
        <v>20</v>
      </c>
      <c r="Q80" s="12"/>
    </row>
    <row r="81" spans="1:17" ht="24" x14ac:dyDescent="0.2">
      <c r="A81" s="6">
        <v>54</v>
      </c>
      <c r="B81" s="92" t="s">
        <v>106</v>
      </c>
      <c r="C81" s="146" t="s">
        <v>289</v>
      </c>
      <c r="D81" s="91" t="s">
        <v>33</v>
      </c>
      <c r="E81" s="97">
        <v>20</v>
      </c>
      <c r="F81" s="89">
        <v>7.26</v>
      </c>
      <c r="G81" s="12"/>
      <c r="H81" s="12"/>
      <c r="I81" s="12"/>
      <c r="J81" s="12"/>
      <c r="K81" s="129">
        <v>145</v>
      </c>
      <c r="L81" s="12"/>
      <c r="M81" s="12"/>
      <c r="N81" s="12"/>
      <c r="O81" s="12"/>
      <c r="P81" s="12"/>
      <c r="Q81" s="12"/>
    </row>
    <row r="82" spans="1:17" ht="63" x14ac:dyDescent="0.2">
      <c r="A82" s="6">
        <v>55</v>
      </c>
      <c r="B82" s="92" t="s">
        <v>288</v>
      </c>
      <c r="C82" s="146" t="s">
        <v>287</v>
      </c>
      <c r="D82" s="91" t="s">
        <v>34</v>
      </c>
      <c r="E82" s="90">
        <v>8.1999999999999993</v>
      </c>
      <c r="F82" s="89">
        <v>311.39999999999998</v>
      </c>
      <c r="G82" s="89">
        <v>218.44</v>
      </c>
      <c r="H82" s="89">
        <v>38.75</v>
      </c>
      <c r="I82" s="89">
        <v>0.17</v>
      </c>
      <c r="J82" s="12"/>
      <c r="K82" s="129">
        <v>2553</v>
      </c>
      <c r="L82" s="12">
        <v>1791</v>
      </c>
      <c r="M82" s="12">
        <v>318</v>
      </c>
      <c r="N82" s="12">
        <v>1</v>
      </c>
      <c r="O82" s="12">
        <v>16.29</v>
      </c>
      <c r="P82" s="12">
        <v>133.58000000000001</v>
      </c>
      <c r="Q82" s="12"/>
    </row>
    <row r="83" spans="1:17" ht="36" x14ac:dyDescent="0.2">
      <c r="A83" s="6">
        <v>56</v>
      </c>
      <c r="B83" s="92" t="s">
        <v>106</v>
      </c>
      <c r="C83" s="146" t="s">
        <v>286</v>
      </c>
      <c r="D83" s="91" t="s">
        <v>35</v>
      </c>
      <c r="E83" s="97">
        <v>70</v>
      </c>
      <c r="F83" s="89">
        <v>6.62</v>
      </c>
      <c r="G83" s="12"/>
      <c r="H83" s="12"/>
      <c r="I83" s="12"/>
      <c r="J83" s="12"/>
      <c r="K83" s="129">
        <v>463</v>
      </c>
      <c r="L83" s="12"/>
      <c r="M83" s="12"/>
      <c r="N83" s="12"/>
      <c r="O83" s="12"/>
      <c r="P83" s="12"/>
      <c r="Q83" s="12"/>
    </row>
    <row r="84" spans="1:17" ht="36" x14ac:dyDescent="0.2">
      <c r="A84" s="6">
        <v>57</v>
      </c>
      <c r="B84" s="92" t="s">
        <v>106</v>
      </c>
      <c r="C84" s="146" t="s">
        <v>285</v>
      </c>
      <c r="D84" s="91" t="s">
        <v>33</v>
      </c>
      <c r="E84" s="97">
        <v>1</v>
      </c>
      <c r="F84" s="89">
        <v>2.27</v>
      </c>
      <c r="G84" s="12"/>
      <c r="H84" s="12"/>
      <c r="I84" s="12"/>
      <c r="J84" s="12"/>
      <c r="K84" s="129">
        <v>2</v>
      </c>
      <c r="L84" s="12"/>
      <c r="M84" s="12"/>
      <c r="N84" s="12"/>
      <c r="O84" s="12"/>
      <c r="P84" s="12"/>
      <c r="Q84" s="12"/>
    </row>
    <row r="85" spans="1:17" ht="36" x14ac:dyDescent="0.2">
      <c r="A85" s="6">
        <v>58</v>
      </c>
      <c r="B85" s="92" t="s">
        <v>106</v>
      </c>
      <c r="C85" s="146" t="s">
        <v>284</v>
      </c>
      <c r="D85" s="91" t="s">
        <v>33</v>
      </c>
      <c r="E85" s="97">
        <v>1</v>
      </c>
      <c r="F85" s="89">
        <v>2.7</v>
      </c>
      <c r="G85" s="12"/>
      <c r="H85" s="12"/>
      <c r="I85" s="12"/>
      <c r="J85" s="12"/>
      <c r="K85" s="129">
        <v>3</v>
      </c>
      <c r="L85" s="12"/>
      <c r="M85" s="12"/>
      <c r="N85" s="12"/>
      <c r="O85" s="12"/>
      <c r="P85" s="12"/>
      <c r="Q85" s="12"/>
    </row>
    <row r="86" spans="1:17" ht="36" x14ac:dyDescent="0.2">
      <c r="A86" s="6">
        <v>59</v>
      </c>
      <c r="B86" s="92" t="s">
        <v>106</v>
      </c>
      <c r="C86" s="146" t="s">
        <v>283</v>
      </c>
      <c r="D86" s="91" t="s">
        <v>33</v>
      </c>
      <c r="E86" s="97">
        <v>1</v>
      </c>
      <c r="F86" s="89">
        <v>2.7</v>
      </c>
      <c r="G86" s="12"/>
      <c r="H86" s="12"/>
      <c r="I86" s="12"/>
      <c r="J86" s="12"/>
      <c r="K86" s="129">
        <v>3</v>
      </c>
      <c r="L86" s="12"/>
      <c r="M86" s="12"/>
      <c r="N86" s="12"/>
      <c r="O86" s="12"/>
      <c r="P86" s="12"/>
      <c r="Q86" s="12"/>
    </row>
    <row r="87" spans="1:17" ht="36" x14ac:dyDescent="0.2">
      <c r="A87" s="6">
        <v>60</v>
      </c>
      <c r="B87" s="92" t="s">
        <v>106</v>
      </c>
      <c r="C87" s="146" t="s">
        <v>282</v>
      </c>
      <c r="D87" s="91" t="s">
        <v>33</v>
      </c>
      <c r="E87" s="97">
        <v>1</v>
      </c>
      <c r="F87" s="89">
        <v>2.7</v>
      </c>
      <c r="G87" s="12"/>
      <c r="H87" s="12"/>
      <c r="I87" s="12"/>
      <c r="J87" s="12"/>
      <c r="K87" s="129">
        <v>3</v>
      </c>
      <c r="L87" s="12"/>
      <c r="M87" s="12"/>
      <c r="N87" s="12"/>
      <c r="O87" s="12"/>
      <c r="P87" s="12"/>
      <c r="Q87" s="12"/>
    </row>
    <row r="88" spans="1:17" ht="36" x14ac:dyDescent="0.2">
      <c r="A88" s="6">
        <v>61</v>
      </c>
      <c r="B88" s="92" t="s">
        <v>106</v>
      </c>
      <c r="C88" s="146" t="s">
        <v>281</v>
      </c>
      <c r="D88" s="91" t="s">
        <v>33</v>
      </c>
      <c r="E88" s="97">
        <v>1</v>
      </c>
      <c r="F88" s="89">
        <v>2.7</v>
      </c>
      <c r="G88" s="12"/>
      <c r="H88" s="12"/>
      <c r="I88" s="12"/>
      <c r="J88" s="12"/>
      <c r="K88" s="129">
        <v>3</v>
      </c>
      <c r="L88" s="12"/>
      <c r="M88" s="12"/>
      <c r="N88" s="12"/>
      <c r="O88" s="12"/>
      <c r="P88" s="12"/>
      <c r="Q88" s="12"/>
    </row>
    <row r="89" spans="1:17" ht="24" x14ac:dyDescent="0.2">
      <c r="A89" s="6">
        <v>62</v>
      </c>
      <c r="B89" s="92" t="s">
        <v>106</v>
      </c>
      <c r="C89" s="146" t="s">
        <v>280</v>
      </c>
      <c r="D89" s="91" t="s">
        <v>35</v>
      </c>
      <c r="E89" s="97">
        <v>750</v>
      </c>
      <c r="F89" s="89">
        <v>3.87</v>
      </c>
      <c r="G89" s="12"/>
      <c r="H89" s="12"/>
      <c r="I89" s="12"/>
      <c r="J89" s="12"/>
      <c r="K89" s="129">
        <v>2903</v>
      </c>
      <c r="L89" s="12"/>
      <c r="M89" s="12"/>
      <c r="N89" s="12"/>
      <c r="O89" s="12"/>
      <c r="P89" s="12"/>
      <c r="Q89" s="12"/>
    </row>
    <row r="90" spans="1:17" ht="36" x14ac:dyDescent="0.2">
      <c r="A90" s="6">
        <v>63</v>
      </c>
      <c r="B90" s="92" t="s">
        <v>106</v>
      </c>
      <c r="C90" s="146" t="s">
        <v>279</v>
      </c>
      <c r="D90" s="91" t="s">
        <v>33</v>
      </c>
      <c r="E90" s="97">
        <v>1</v>
      </c>
      <c r="F90" s="89">
        <v>1.57</v>
      </c>
      <c r="G90" s="12"/>
      <c r="H90" s="12"/>
      <c r="I90" s="12"/>
      <c r="J90" s="12"/>
      <c r="K90" s="129">
        <v>2</v>
      </c>
      <c r="L90" s="12"/>
      <c r="M90" s="12"/>
      <c r="N90" s="12"/>
      <c r="O90" s="12"/>
      <c r="P90" s="12"/>
      <c r="Q90" s="12"/>
    </row>
    <row r="91" spans="1:17" ht="36" x14ac:dyDescent="0.2">
      <c r="A91" s="6">
        <v>64</v>
      </c>
      <c r="B91" s="92" t="s">
        <v>106</v>
      </c>
      <c r="C91" s="146" t="s">
        <v>278</v>
      </c>
      <c r="D91" s="91" t="s">
        <v>33</v>
      </c>
      <c r="E91" s="97">
        <v>1</v>
      </c>
      <c r="F91" s="89">
        <v>1.57</v>
      </c>
      <c r="G91" s="12"/>
      <c r="H91" s="12"/>
      <c r="I91" s="12"/>
      <c r="J91" s="12"/>
      <c r="K91" s="129">
        <v>2</v>
      </c>
      <c r="L91" s="12"/>
      <c r="M91" s="12"/>
      <c r="N91" s="12"/>
      <c r="O91" s="12"/>
      <c r="P91" s="12"/>
      <c r="Q91" s="12"/>
    </row>
    <row r="92" spans="1:17" ht="36" x14ac:dyDescent="0.2">
      <c r="A92" s="6">
        <v>65</v>
      </c>
      <c r="B92" s="92" t="s">
        <v>106</v>
      </c>
      <c r="C92" s="146" t="s">
        <v>277</v>
      </c>
      <c r="D92" s="91" t="s">
        <v>33</v>
      </c>
      <c r="E92" s="97">
        <v>1</v>
      </c>
      <c r="F92" s="89">
        <v>1.44</v>
      </c>
      <c r="G92" s="12"/>
      <c r="H92" s="12"/>
      <c r="I92" s="12"/>
      <c r="J92" s="12"/>
      <c r="K92" s="129">
        <v>1</v>
      </c>
      <c r="L92" s="12"/>
      <c r="M92" s="12"/>
      <c r="N92" s="12"/>
      <c r="O92" s="12"/>
      <c r="P92" s="12"/>
      <c r="Q92" s="12"/>
    </row>
    <row r="93" spans="1:17" ht="36" x14ac:dyDescent="0.2">
      <c r="A93" s="6">
        <v>66</v>
      </c>
      <c r="B93" s="92" t="s">
        <v>106</v>
      </c>
      <c r="C93" s="146" t="s">
        <v>276</v>
      </c>
      <c r="D93" s="91" t="s">
        <v>33</v>
      </c>
      <c r="E93" s="97">
        <v>1</v>
      </c>
      <c r="F93" s="89">
        <v>1.57</v>
      </c>
      <c r="G93" s="12"/>
      <c r="H93" s="12"/>
      <c r="I93" s="12"/>
      <c r="J93" s="12"/>
      <c r="K93" s="129">
        <v>2</v>
      </c>
      <c r="L93" s="12"/>
      <c r="M93" s="12"/>
      <c r="N93" s="12"/>
      <c r="O93" s="12"/>
      <c r="P93" s="12"/>
      <c r="Q93" s="12"/>
    </row>
    <row r="94" spans="1:17" x14ac:dyDescent="0.2">
      <c r="A94" s="166" t="s">
        <v>275</v>
      </c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</row>
    <row r="95" spans="1:17" x14ac:dyDescent="0.2">
      <c r="A95" s="177" t="s">
        <v>274</v>
      </c>
      <c r="B95" s="178"/>
      <c r="C95" s="178"/>
      <c r="D95" s="178"/>
      <c r="E95" s="178"/>
      <c r="F95" s="178"/>
      <c r="G95" s="178"/>
      <c r="H95" s="178"/>
      <c r="I95" s="178"/>
      <c r="J95" s="178"/>
      <c r="K95" s="178"/>
      <c r="L95" s="178"/>
      <c r="M95" s="178"/>
      <c r="N95" s="178"/>
      <c r="O95" s="178"/>
      <c r="P95" s="178"/>
      <c r="Q95" s="178"/>
    </row>
    <row r="96" spans="1:17" ht="77.25" x14ac:dyDescent="0.2">
      <c r="A96" s="6">
        <v>67</v>
      </c>
      <c r="B96" s="92" t="s">
        <v>273</v>
      </c>
      <c r="C96" s="146" t="s">
        <v>272</v>
      </c>
      <c r="D96" s="91" t="s">
        <v>271</v>
      </c>
      <c r="E96" s="90">
        <v>120</v>
      </c>
      <c r="F96" s="89">
        <v>27.19</v>
      </c>
      <c r="G96" s="89">
        <v>27.19</v>
      </c>
      <c r="H96" s="12"/>
      <c r="I96" s="12"/>
      <c r="J96" s="12"/>
      <c r="K96" s="129">
        <v>3263</v>
      </c>
      <c r="L96" s="12">
        <v>3263</v>
      </c>
      <c r="M96" s="12"/>
      <c r="N96" s="12"/>
      <c r="O96" s="12">
        <v>1.65</v>
      </c>
      <c r="P96" s="12">
        <v>198</v>
      </c>
      <c r="Q96" s="12"/>
    </row>
    <row r="97" spans="1:17" ht="36" x14ac:dyDescent="0.2">
      <c r="A97" s="6">
        <v>68</v>
      </c>
      <c r="B97" s="92" t="s">
        <v>270</v>
      </c>
      <c r="C97" s="146" t="s">
        <v>269</v>
      </c>
      <c r="D97" s="91" t="s">
        <v>268</v>
      </c>
      <c r="E97" s="97">
        <v>2</v>
      </c>
      <c r="F97" s="89">
        <v>95.38</v>
      </c>
      <c r="G97" s="89">
        <v>95.38</v>
      </c>
      <c r="H97" s="12"/>
      <c r="I97" s="12"/>
      <c r="J97" s="12"/>
      <c r="K97" s="129">
        <v>191</v>
      </c>
      <c r="L97" s="12">
        <v>191</v>
      </c>
      <c r="M97" s="12"/>
      <c r="N97" s="12"/>
      <c r="O97" s="12">
        <v>6</v>
      </c>
      <c r="P97" s="12">
        <v>12</v>
      </c>
      <c r="Q97" s="12"/>
    </row>
    <row r="98" spans="1:17" ht="48" x14ac:dyDescent="0.2">
      <c r="A98" s="6">
        <v>69</v>
      </c>
      <c r="B98" s="92" t="s">
        <v>267</v>
      </c>
      <c r="C98" s="146" t="s">
        <v>266</v>
      </c>
      <c r="D98" s="91" t="s">
        <v>265</v>
      </c>
      <c r="E98" s="97">
        <v>1</v>
      </c>
      <c r="F98" s="89">
        <v>366.98</v>
      </c>
      <c r="G98" s="89">
        <v>366.98</v>
      </c>
      <c r="H98" s="12"/>
      <c r="I98" s="12"/>
      <c r="J98" s="12"/>
      <c r="K98" s="129">
        <v>367</v>
      </c>
      <c r="L98" s="12">
        <v>367</v>
      </c>
      <c r="M98" s="12"/>
      <c r="N98" s="12"/>
      <c r="O98" s="12">
        <v>17.600000000000001</v>
      </c>
      <c r="P98" s="12">
        <v>17.600000000000001</v>
      </c>
      <c r="Q98" s="12"/>
    </row>
    <row r="99" spans="1:17" x14ac:dyDescent="0.2">
      <c r="A99" s="177" t="s">
        <v>264</v>
      </c>
      <c r="B99" s="178"/>
      <c r="C99" s="178"/>
      <c r="D99" s="178"/>
      <c r="E99" s="178"/>
      <c r="F99" s="178"/>
      <c r="G99" s="178"/>
      <c r="H99" s="178"/>
      <c r="I99" s="178"/>
      <c r="J99" s="178"/>
      <c r="K99" s="178"/>
      <c r="L99" s="178"/>
      <c r="M99" s="178"/>
      <c r="N99" s="178"/>
      <c r="O99" s="178"/>
      <c r="P99" s="178"/>
      <c r="Q99" s="178"/>
    </row>
    <row r="100" spans="1:17" ht="36" x14ac:dyDescent="0.2">
      <c r="A100" s="6">
        <v>70</v>
      </c>
      <c r="B100" s="92" t="s">
        <v>263</v>
      </c>
      <c r="C100" s="146" t="s">
        <v>262</v>
      </c>
      <c r="D100" s="91" t="s">
        <v>29</v>
      </c>
      <c r="E100" s="97">
        <v>1</v>
      </c>
      <c r="F100" s="89">
        <v>367.07</v>
      </c>
      <c r="G100" s="89">
        <v>367.07</v>
      </c>
      <c r="H100" s="12"/>
      <c r="I100" s="12"/>
      <c r="J100" s="12"/>
      <c r="K100" s="129">
        <v>367</v>
      </c>
      <c r="L100" s="12">
        <v>367</v>
      </c>
      <c r="M100" s="12"/>
      <c r="N100" s="12"/>
      <c r="O100" s="12">
        <v>22</v>
      </c>
      <c r="P100" s="12">
        <v>22</v>
      </c>
      <c r="Q100" s="12"/>
    </row>
    <row r="101" spans="1:17" x14ac:dyDescent="0.2">
      <c r="A101" s="168" t="s">
        <v>36</v>
      </c>
      <c r="B101" s="167"/>
      <c r="C101" s="167"/>
      <c r="D101" s="167"/>
      <c r="E101" s="167"/>
      <c r="F101" s="167"/>
      <c r="G101" s="167"/>
      <c r="H101" s="167"/>
      <c r="I101" s="167"/>
      <c r="J101" s="167"/>
      <c r="K101" s="130">
        <v>152315</v>
      </c>
      <c r="L101" s="89">
        <v>16592</v>
      </c>
      <c r="M101" s="89">
        <v>3657</v>
      </c>
      <c r="N101" s="89">
        <v>727</v>
      </c>
      <c r="O101" s="12"/>
      <c r="P101" s="89">
        <v>1178.71</v>
      </c>
      <c r="Q101" s="12"/>
    </row>
    <row r="102" spans="1:17" x14ac:dyDescent="0.2">
      <c r="A102" s="168" t="s">
        <v>37</v>
      </c>
      <c r="B102" s="167"/>
      <c r="C102" s="167"/>
      <c r="D102" s="167"/>
      <c r="E102" s="167"/>
      <c r="F102" s="167"/>
      <c r="G102" s="167"/>
      <c r="H102" s="167"/>
      <c r="I102" s="167"/>
      <c r="J102" s="167"/>
      <c r="K102" s="130">
        <v>162250</v>
      </c>
      <c r="L102" s="89">
        <v>21483</v>
      </c>
      <c r="M102" s="89">
        <v>4979</v>
      </c>
      <c r="N102" s="89">
        <v>1024</v>
      </c>
      <c r="O102" s="12"/>
      <c r="P102" s="89">
        <v>1483.93</v>
      </c>
      <c r="Q102" s="12"/>
    </row>
    <row r="103" spans="1:17" x14ac:dyDescent="0.2">
      <c r="A103" s="168" t="s">
        <v>86</v>
      </c>
      <c r="B103" s="167"/>
      <c r="C103" s="167"/>
      <c r="D103" s="167"/>
      <c r="E103" s="167"/>
      <c r="F103" s="167"/>
      <c r="G103" s="167"/>
      <c r="H103" s="167"/>
      <c r="I103" s="167"/>
      <c r="J103" s="167"/>
      <c r="K103" s="129"/>
      <c r="L103" s="12"/>
      <c r="M103" s="12"/>
      <c r="N103" s="12"/>
      <c r="O103" s="12"/>
      <c r="P103" s="12"/>
      <c r="Q103" s="12"/>
    </row>
    <row r="104" spans="1:17" ht="15" customHeight="1" x14ac:dyDescent="0.2">
      <c r="A104" s="168" t="s">
        <v>261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30">
        <v>745</v>
      </c>
      <c r="L104" s="89">
        <v>713</v>
      </c>
      <c r="M104" s="89">
        <v>31</v>
      </c>
      <c r="N104" s="89">
        <v>31</v>
      </c>
      <c r="O104" s="12"/>
      <c r="P104" s="12"/>
      <c r="Q104" s="12"/>
    </row>
    <row r="105" spans="1:17" ht="15" customHeight="1" x14ac:dyDescent="0.2">
      <c r="A105" s="168" t="s">
        <v>260</v>
      </c>
      <c r="B105" s="167"/>
      <c r="C105" s="167"/>
      <c r="D105" s="167"/>
      <c r="E105" s="167"/>
      <c r="F105" s="167"/>
      <c r="G105" s="167"/>
      <c r="H105" s="167"/>
      <c r="I105" s="167"/>
      <c r="J105" s="167"/>
      <c r="K105" s="130">
        <v>2636</v>
      </c>
      <c r="L105" s="12"/>
      <c r="M105" s="12"/>
      <c r="N105" s="12"/>
      <c r="O105" s="12"/>
      <c r="P105" s="12"/>
      <c r="Q105" s="12"/>
    </row>
    <row r="106" spans="1:17" ht="22.9" customHeight="1" x14ac:dyDescent="0.2">
      <c r="A106" s="168" t="s">
        <v>259</v>
      </c>
      <c r="B106" s="167"/>
      <c r="C106" s="167"/>
      <c r="D106" s="167"/>
      <c r="E106" s="167"/>
      <c r="F106" s="167"/>
      <c r="G106" s="167"/>
      <c r="H106" s="167"/>
      <c r="I106" s="167"/>
      <c r="J106" s="167"/>
      <c r="K106" s="130">
        <v>1086</v>
      </c>
      <c r="L106" s="12"/>
      <c r="M106" s="12"/>
      <c r="N106" s="12"/>
      <c r="O106" s="12"/>
      <c r="P106" s="12"/>
      <c r="Q106" s="12"/>
    </row>
    <row r="107" spans="1:17" ht="25.9" customHeight="1" x14ac:dyDescent="0.2">
      <c r="A107" s="168" t="s">
        <v>258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130">
        <v>5818</v>
      </c>
      <c r="L107" s="89">
        <v>4528</v>
      </c>
      <c r="M107" s="89">
        <v>1291</v>
      </c>
      <c r="N107" s="89">
        <v>265</v>
      </c>
      <c r="O107" s="12"/>
      <c r="P107" s="89">
        <v>325.18849999999998</v>
      </c>
      <c r="Q107" s="12"/>
    </row>
    <row r="108" spans="1:17" ht="25.15" customHeight="1" x14ac:dyDescent="0.2">
      <c r="A108" s="168" t="s">
        <v>257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130">
        <v>655</v>
      </c>
      <c r="L108" s="89">
        <v>655</v>
      </c>
      <c r="M108" s="12"/>
      <c r="N108" s="12"/>
      <c r="O108" s="12"/>
      <c r="P108" s="89">
        <v>37.44</v>
      </c>
      <c r="Q108" s="12"/>
    </row>
    <row r="109" spans="1:17" ht="15" customHeight="1" x14ac:dyDescent="0.2">
      <c r="A109" s="168" t="s">
        <v>256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130">
        <v>-1005</v>
      </c>
      <c r="L109" s="89">
        <v>-1005</v>
      </c>
      <c r="M109" s="12"/>
      <c r="N109" s="12"/>
      <c r="O109" s="12"/>
      <c r="P109" s="89">
        <v>-57.408000000000001</v>
      </c>
      <c r="Q109" s="12"/>
    </row>
    <row r="110" spans="1:17" x14ac:dyDescent="0.2">
      <c r="A110" s="168" t="s">
        <v>38</v>
      </c>
      <c r="B110" s="167"/>
      <c r="C110" s="167"/>
      <c r="D110" s="167"/>
      <c r="E110" s="167"/>
      <c r="F110" s="167"/>
      <c r="G110" s="167"/>
      <c r="H110" s="167"/>
      <c r="I110" s="167"/>
      <c r="J110" s="167"/>
      <c r="K110" s="130">
        <v>18544</v>
      </c>
      <c r="L110" s="12"/>
      <c r="M110" s="12"/>
      <c r="N110" s="12"/>
      <c r="O110" s="12"/>
      <c r="P110" s="12"/>
      <c r="Q110" s="12"/>
    </row>
    <row r="111" spans="1:17" x14ac:dyDescent="0.2">
      <c r="A111" s="168" t="s">
        <v>86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129"/>
      <c r="L111" s="12"/>
      <c r="M111" s="12"/>
      <c r="N111" s="12"/>
      <c r="O111" s="12"/>
      <c r="P111" s="12"/>
      <c r="Q111" s="12"/>
    </row>
    <row r="112" spans="1:17" x14ac:dyDescent="0.2">
      <c r="A112" s="168" t="s">
        <v>255</v>
      </c>
      <c r="B112" s="167"/>
      <c r="C112" s="167"/>
      <c r="D112" s="167"/>
      <c r="E112" s="167"/>
      <c r="F112" s="167"/>
      <c r="G112" s="167"/>
      <c r="H112" s="167"/>
      <c r="I112" s="167"/>
      <c r="J112" s="167"/>
      <c r="K112" s="130">
        <v>2612</v>
      </c>
      <c r="L112" s="12"/>
      <c r="M112" s="12"/>
      <c r="N112" s="12"/>
      <c r="O112" s="12"/>
      <c r="P112" s="12"/>
      <c r="Q112" s="12"/>
    </row>
    <row r="113" spans="1:17" x14ac:dyDescent="0.2">
      <c r="A113" s="168" t="s">
        <v>254</v>
      </c>
      <c r="B113" s="167"/>
      <c r="C113" s="167"/>
      <c r="D113" s="167"/>
      <c r="E113" s="167"/>
      <c r="F113" s="167"/>
      <c r="G113" s="167"/>
      <c r="H113" s="167"/>
      <c r="I113" s="167"/>
      <c r="J113" s="167"/>
      <c r="K113" s="130">
        <v>8322</v>
      </c>
      <c r="L113" s="12"/>
      <c r="M113" s="12"/>
      <c r="N113" s="12"/>
      <c r="O113" s="12"/>
      <c r="P113" s="12"/>
      <c r="Q113" s="12"/>
    </row>
    <row r="114" spans="1:17" x14ac:dyDescent="0.2">
      <c r="A114" s="168" t="s">
        <v>253</v>
      </c>
      <c r="B114" s="167"/>
      <c r="C114" s="167"/>
      <c r="D114" s="167"/>
      <c r="E114" s="167"/>
      <c r="F114" s="167"/>
      <c r="G114" s="167"/>
      <c r="H114" s="167"/>
      <c r="I114" s="167"/>
      <c r="J114" s="167"/>
      <c r="K114" s="130">
        <v>2250</v>
      </c>
      <c r="L114" s="12"/>
      <c r="M114" s="12"/>
      <c r="N114" s="12"/>
      <c r="O114" s="12"/>
      <c r="P114" s="12"/>
      <c r="Q114" s="12"/>
    </row>
    <row r="115" spans="1:17" x14ac:dyDescent="0.2">
      <c r="A115" s="168" t="s">
        <v>252</v>
      </c>
      <c r="B115" s="167"/>
      <c r="C115" s="167"/>
      <c r="D115" s="167"/>
      <c r="E115" s="167"/>
      <c r="F115" s="167"/>
      <c r="G115" s="167"/>
      <c r="H115" s="167"/>
      <c r="I115" s="167"/>
      <c r="J115" s="167"/>
      <c r="K115" s="130">
        <v>5324</v>
      </c>
      <c r="L115" s="12"/>
      <c r="M115" s="12"/>
      <c r="N115" s="12"/>
      <c r="O115" s="12"/>
      <c r="P115" s="12"/>
      <c r="Q115" s="12"/>
    </row>
    <row r="116" spans="1:17" x14ac:dyDescent="0.2">
      <c r="A116" s="168" t="s">
        <v>251</v>
      </c>
      <c r="B116" s="167"/>
      <c r="C116" s="167"/>
      <c r="D116" s="167"/>
      <c r="E116" s="167"/>
      <c r="F116" s="167"/>
      <c r="G116" s="167"/>
      <c r="H116" s="167"/>
      <c r="I116" s="167"/>
      <c r="J116" s="167"/>
      <c r="K116" s="130">
        <v>36</v>
      </c>
      <c r="L116" s="12"/>
      <c r="M116" s="12"/>
      <c r="N116" s="12"/>
      <c r="O116" s="12"/>
      <c r="P116" s="12"/>
      <c r="Q116" s="12"/>
    </row>
    <row r="117" spans="1:17" x14ac:dyDescent="0.2">
      <c r="A117" s="168" t="s">
        <v>39</v>
      </c>
      <c r="B117" s="167"/>
      <c r="C117" s="167"/>
      <c r="D117" s="167"/>
      <c r="E117" s="167"/>
      <c r="F117" s="167"/>
      <c r="G117" s="167"/>
      <c r="H117" s="167"/>
      <c r="I117" s="167"/>
      <c r="J117" s="167"/>
      <c r="K117" s="130">
        <v>13105</v>
      </c>
      <c r="L117" s="12"/>
      <c r="M117" s="12"/>
      <c r="N117" s="12"/>
      <c r="O117" s="12"/>
      <c r="P117" s="12"/>
      <c r="Q117" s="12"/>
    </row>
    <row r="118" spans="1:17" x14ac:dyDescent="0.2">
      <c r="A118" s="168" t="s">
        <v>86</v>
      </c>
      <c r="B118" s="167"/>
      <c r="C118" s="167"/>
      <c r="D118" s="167"/>
      <c r="E118" s="167"/>
      <c r="F118" s="167"/>
      <c r="G118" s="167"/>
      <c r="H118" s="167"/>
      <c r="I118" s="167"/>
      <c r="J118" s="167"/>
      <c r="K118" s="129"/>
      <c r="L118" s="12"/>
      <c r="M118" s="12"/>
      <c r="N118" s="12"/>
      <c r="O118" s="12"/>
      <c r="P118" s="12"/>
      <c r="Q118" s="12"/>
    </row>
    <row r="119" spans="1:17" x14ac:dyDescent="0.2">
      <c r="A119" s="168" t="s">
        <v>250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30">
        <v>1607</v>
      </c>
      <c r="L119" s="12"/>
      <c r="M119" s="12"/>
      <c r="N119" s="12"/>
      <c r="O119" s="12"/>
      <c r="P119" s="12"/>
      <c r="Q119" s="12"/>
    </row>
    <row r="120" spans="1:17" x14ac:dyDescent="0.2">
      <c r="A120" s="168" t="s">
        <v>249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130">
        <v>6242</v>
      </c>
      <c r="L120" s="12"/>
      <c r="M120" s="12"/>
      <c r="N120" s="12"/>
      <c r="O120" s="12"/>
      <c r="P120" s="12"/>
      <c r="Q120" s="12"/>
    </row>
    <row r="121" spans="1:17" x14ac:dyDescent="0.2">
      <c r="A121" s="168" t="s">
        <v>248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30">
        <v>5256</v>
      </c>
      <c r="L121" s="12"/>
      <c r="M121" s="12"/>
      <c r="N121" s="12"/>
      <c r="O121" s="12"/>
      <c r="P121" s="12"/>
      <c r="Q121" s="12"/>
    </row>
    <row r="122" spans="1:17" x14ac:dyDescent="0.2">
      <c r="A122" s="173" t="s">
        <v>40</v>
      </c>
      <c r="B122" s="167"/>
      <c r="C122" s="167"/>
      <c r="D122" s="167"/>
      <c r="E122" s="167"/>
      <c r="F122" s="167"/>
      <c r="G122" s="167"/>
      <c r="H122" s="167"/>
      <c r="I122" s="167"/>
      <c r="J122" s="167"/>
      <c r="K122" s="129"/>
      <c r="L122" s="12"/>
      <c r="M122" s="12"/>
      <c r="N122" s="12"/>
      <c r="O122" s="12"/>
      <c r="P122" s="12"/>
      <c r="Q122" s="12"/>
    </row>
    <row r="123" spans="1:17" x14ac:dyDescent="0.2">
      <c r="A123" s="168" t="s">
        <v>83</v>
      </c>
      <c r="B123" s="167"/>
      <c r="C123" s="167"/>
      <c r="D123" s="167"/>
      <c r="E123" s="167"/>
      <c r="F123" s="167"/>
      <c r="G123" s="167"/>
      <c r="H123" s="167"/>
      <c r="I123" s="167"/>
      <c r="J123" s="167"/>
      <c r="K123" s="130">
        <v>94058</v>
      </c>
      <c r="L123" s="12"/>
      <c r="M123" s="12"/>
      <c r="N123" s="12"/>
      <c r="O123" s="12"/>
      <c r="P123" s="89">
        <v>1254.3</v>
      </c>
      <c r="Q123" s="12"/>
    </row>
    <row r="124" spans="1:17" x14ac:dyDescent="0.2">
      <c r="A124" s="168" t="s">
        <v>82</v>
      </c>
      <c r="B124" s="167"/>
      <c r="C124" s="167"/>
      <c r="D124" s="167"/>
      <c r="E124" s="167"/>
      <c r="F124" s="167"/>
      <c r="G124" s="167"/>
      <c r="H124" s="167"/>
      <c r="I124" s="167"/>
      <c r="J124" s="167"/>
      <c r="K124" s="130">
        <v>91604</v>
      </c>
      <c r="L124" s="12"/>
      <c r="M124" s="12"/>
      <c r="N124" s="12"/>
      <c r="O124" s="12"/>
      <c r="P124" s="12"/>
      <c r="Q124" s="12"/>
    </row>
    <row r="125" spans="1:17" x14ac:dyDescent="0.2">
      <c r="A125" s="168" t="s">
        <v>247</v>
      </c>
      <c r="B125" s="167"/>
      <c r="C125" s="167"/>
      <c r="D125" s="167"/>
      <c r="E125" s="167"/>
      <c r="F125" s="167"/>
      <c r="G125" s="167"/>
      <c r="H125" s="167"/>
      <c r="I125" s="167"/>
      <c r="J125" s="167"/>
      <c r="K125" s="130">
        <v>8237</v>
      </c>
      <c r="L125" s="12"/>
      <c r="M125" s="12"/>
      <c r="N125" s="12"/>
      <c r="O125" s="12"/>
      <c r="P125" s="89">
        <v>229.63</v>
      </c>
      <c r="Q125" s="12"/>
    </row>
    <row r="126" spans="1:17" x14ac:dyDescent="0.2">
      <c r="A126" s="168" t="s">
        <v>41</v>
      </c>
      <c r="B126" s="167"/>
      <c r="C126" s="167"/>
      <c r="D126" s="167"/>
      <c r="E126" s="167"/>
      <c r="F126" s="167"/>
      <c r="G126" s="167"/>
      <c r="H126" s="167"/>
      <c r="I126" s="167"/>
      <c r="J126" s="167"/>
      <c r="K126" s="130">
        <v>193899</v>
      </c>
      <c r="L126" s="12"/>
      <c r="M126" s="12"/>
      <c r="N126" s="12"/>
      <c r="O126" s="12"/>
      <c r="P126" s="89">
        <v>1483.93</v>
      </c>
      <c r="Q126" s="12"/>
    </row>
    <row r="127" spans="1:17" x14ac:dyDescent="0.2">
      <c r="A127" s="168" t="s">
        <v>42</v>
      </c>
      <c r="B127" s="167"/>
      <c r="C127" s="167"/>
      <c r="D127" s="167"/>
      <c r="E127" s="167"/>
      <c r="F127" s="167"/>
      <c r="G127" s="167"/>
      <c r="H127" s="167"/>
      <c r="I127" s="167"/>
      <c r="J127" s="167"/>
      <c r="K127" s="129"/>
      <c r="L127" s="12"/>
      <c r="M127" s="12"/>
      <c r="N127" s="12"/>
      <c r="O127" s="12"/>
      <c r="P127" s="12"/>
      <c r="Q127" s="12"/>
    </row>
    <row r="128" spans="1:17" x14ac:dyDescent="0.2">
      <c r="A128" s="168" t="s">
        <v>43</v>
      </c>
      <c r="B128" s="167"/>
      <c r="C128" s="167"/>
      <c r="D128" s="167"/>
      <c r="E128" s="167"/>
      <c r="F128" s="167"/>
      <c r="G128" s="167"/>
      <c r="H128" s="167"/>
      <c r="I128" s="167"/>
      <c r="J128" s="167"/>
      <c r="K128" s="130">
        <v>44184</v>
      </c>
      <c r="L128" s="12"/>
      <c r="M128" s="12"/>
      <c r="N128" s="12"/>
      <c r="O128" s="12"/>
      <c r="P128" s="12"/>
      <c r="Q128" s="12"/>
    </row>
    <row r="129" spans="1:17" x14ac:dyDescent="0.2">
      <c r="A129" s="168" t="s">
        <v>44</v>
      </c>
      <c r="B129" s="167"/>
      <c r="C129" s="167"/>
      <c r="D129" s="167"/>
      <c r="E129" s="167"/>
      <c r="F129" s="167"/>
      <c r="G129" s="167"/>
      <c r="H129" s="167"/>
      <c r="I129" s="167"/>
      <c r="J129" s="167"/>
      <c r="K129" s="130">
        <f>4979-N102</f>
        <v>3955</v>
      </c>
      <c r="L129" s="12"/>
      <c r="M129" s="12"/>
      <c r="N129" s="12"/>
      <c r="O129" s="12"/>
      <c r="P129" s="12"/>
      <c r="Q129" s="12"/>
    </row>
    <row r="130" spans="1:17" x14ac:dyDescent="0.2">
      <c r="A130" s="168" t="s">
        <v>45</v>
      </c>
      <c r="B130" s="167"/>
      <c r="C130" s="167"/>
      <c r="D130" s="167"/>
      <c r="E130" s="167"/>
      <c r="F130" s="167"/>
      <c r="G130" s="167"/>
      <c r="H130" s="167"/>
      <c r="I130" s="167"/>
      <c r="J130" s="167"/>
      <c r="K130" s="130">
        <v>22507</v>
      </c>
      <c r="L130" s="12"/>
      <c r="M130" s="12"/>
      <c r="N130" s="12"/>
      <c r="O130" s="12"/>
      <c r="P130" s="12"/>
      <c r="Q130" s="12"/>
    </row>
    <row r="131" spans="1:17" x14ac:dyDescent="0.2">
      <c r="A131" s="168" t="s">
        <v>19</v>
      </c>
      <c r="B131" s="167"/>
      <c r="C131" s="167"/>
      <c r="D131" s="167"/>
      <c r="E131" s="167"/>
      <c r="F131" s="167"/>
      <c r="G131" s="167"/>
      <c r="H131" s="167"/>
      <c r="I131" s="167"/>
      <c r="J131" s="167"/>
      <c r="K131" s="130">
        <v>91604</v>
      </c>
      <c r="L131" s="12"/>
      <c r="M131" s="12"/>
      <c r="N131" s="12"/>
      <c r="O131" s="12"/>
      <c r="P131" s="12"/>
      <c r="Q131" s="12"/>
    </row>
    <row r="132" spans="1:17" x14ac:dyDescent="0.2">
      <c r="A132" s="168" t="s">
        <v>46</v>
      </c>
      <c r="B132" s="167"/>
      <c r="C132" s="167"/>
      <c r="D132" s="167"/>
      <c r="E132" s="167"/>
      <c r="F132" s="167"/>
      <c r="G132" s="167"/>
      <c r="H132" s="167"/>
      <c r="I132" s="167"/>
      <c r="J132" s="167"/>
      <c r="K132" s="130">
        <v>18544</v>
      </c>
      <c r="L132" s="12"/>
      <c r="M132" s="12"/>
      <c r="N132" s="12"/>
      <c r="O132" s="12"/>
      <c r="P132" s="12"/>
      <c r="Q132" s="12"/>
    </row>
    <row r="133" spans="1:17" x14ac:dyDescent="0.2">
      <c r="A133" s="168" t="s">
        <v>47</v>
      </c>
      <c r="B133" s="167"/>
      <c r="C133" s="167"/>
      <c r="D133" s="167"/>
      <c r="E133" s="167"/>
      <c r="F133" s="167"/>
      <c r="G133" s="167"/>
      <c r="H133" s="167"/>
      <c r="I133" s="167"/>
      <c r="J133" s="167"/>
      <c r="K133" s="130">
        <v>13105</v>
      </c>
      <c r="L133" s="12"/>
      <c r="M133" s="12"/>
      <c r="N133" s="12"/>
      <c r="O133" s="12"/>
      <c r="P133" s="12"/>
      <c r="Q133" s="12"/>
    </row>
    <row r="134" spans="1:17" x14ac:dyDescent="0.2">
      <c r="A134" s="173" t="s">
        <v>48</v>
      </c>
      <c r="B134" s="167"/>
      <c r="C134" s="167"/>
      <c r="D134" s="167"/>
      <c r="E134" s="167"/>
      <c r="F134" s="167"/>
      <c r="G134" s="167"/>
      <c r="H134" s="167"/>
      <c r="I134" s="167"/>
      <c r="J134" s="167"/>
      <c r="K134" s="131">
        <f>SUM(K128:K133)</f>
        <v>193899</v>
      </c>
      <c r="L134" s="12"/>
      <c r="M134" s="12"/>
      <c r="N134" s="12"/>
      <c r="O134" s="12"/>
      <c r="P134" s="13">
        <v>1483.93</v>
      </c>
      <c r="Q134" s="12"/>
    </row>
    <row r="135" spans="1:17" x14ac:dyDescent="0.2">
      <c r="F135" s="10"/>
      <c r="G135" s="10"/>
      <c r="H135" s="10"/>
      <c r="I135" s="10"/>
      <c r="J135" s="10"/>
      <c r="K135" s="132"/>
      <c r="L135" s="10"/>
      <c r="M135" s="10"/>
      <c r="N135" s="10"/>
      <c r="O135" s="10"/>
      <c r="P135" s="10"/>
      <c r="Q135" s="10"/>
    </row>
  </sheetData>
  <mergeCells count="61">
    <mergeCell ref="K24:K25"/>
    <mergeCell ref="L24:N24"/>
    <mergeCell ref="A102:J102"/>
    <mergeCell ref="A23:A25"/>
    <mergeCell ref="C23:C25"/>
    <mergeCell ref="D23:D25"/>
    <mergeCell ref="E23:E25"/>
    <mergeCell ref="Q23:Q25"/>
    <mergeCell ref="P23:P25"/>
    <mergeCell ref="A114:J114"/>
    <mergeCell ref="A103:J103"/>
    <mergeCell ref="A104:J104"/>
    <mergeCell ref="A105:J105"/>
    <mergeCell ref="A106:J106"/>
    <mergeCell ref="B23:B25"/>
    <mergeCell ref="F24:F25"/>
    <mergeCell ref="F23:I23"/>
    <mergeCell ref="G24:I24"/>
    <mergeCell ref="A27:Q27"/>
    <mergeCell ref="A94:Q94"/>
    <mergeCell ref="O23:O25"/>
    <mergeCell ref="J24:J25"/>
    <mergeCell ref="J23:N23"/>
    <mergeCell ref="A110:J110"/>
    <mergeCell ref="A111:J111"/>
    <mergeCell ref="A112:J112"/>
    <mergeCell ref="A95:Q95"/>
    <mergeCell ref="A99:Q99"/>
    <mergeCell ref="A101:J101"/>
    <mergeCell ref="E10:J10"/>
    <mergeCell ref="E1:I1"/>
    <mergeCell ref="A133:J133"/>
    <mergeCell ref="A130:J130"/>
    <mergeCell ref="A131:J131"/>
    <mergeCell ref="A132:J132"/>
    <mergeCell ref="A113:J113"/>
    <mergeCell ref="A126:J126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34:J134"/>
    <mergeCell ref="J14:K14"/>
    <mergeCell ref="J18:K18"/>
    <mergeCell ref="J19:K19"/>
    <mergeCell ref="J17:K17"/>
    <mergeCell ref="J16:K16"/>
    <mergeCell ref="J15:K15"/>
    <mergeCell ref="A127:J127"/>
    <mergeCell ref="A128:J128"/>
    <mergeCell ref="A129:J129"/>
    <mergeCell ref="A123:J123"/>
    <mergeCell ref="A124:J124"/>
    <mergeCell ref="A125:J125"/>
    <mergeCell ref="A107:J107"/>
    <mergeCell ref="A108:J108"/>
    <mergeCell ref="A109:J109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0"/>
  <sheetViews>
    <sheetView showGridLines="0" topLeftCell="A106" zoomScaleNormal="100" zoomScaleSheetLayoutView="75" workbookViewId="0">
      <selection activeCell="E10" sqref="E10"/>
    </sheetView>
  </sheetViews>
  <sheetFormatPr defaultColWidth="9.140625" defaultRowHeight="12.75" outlineLevelRow="2" x14ac:dyDescent="0.2"/>
  <cols>
    <col min="1" max="1" width="3.28515625" style="11" customWidth="1"/>
    <col min="2" max="2" width="16.85546875" style="1" customWidth="1"/>
    <col min="3" max="3" width="34.28515625" style="8" customWidth="1"/>
    <col min="4" max="4" width="7.7109375" style="7" customWidth="1"/>
    <col min="5" max="5" width="9.710937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9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379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378</v>
      </c>
      <c r="N5" s="98"/>
      <c r="O5" s="98"/>
      <c r="P5" s="98"/>
      <c r="Q5"/>
      <c r="R5"/>
    </row>
    <row r="6" spans="1:18" outlineLevel="1" x14ac:dyDescent="0.2">
      <c r="A6" s="99"/>
      <c r="B6" s="102"/>
      <c r="C6" s="100"/>
      <c r="D6" s="4"/>
      <c r="E6" s="98"/>
      <c r="F6" s="98"/>
      <c r="G6" s="121" t="s">
        <v>735</v>
      </c>
      <c r="H6" s="121"/>
      <c r="I6" s="121"/>
      <c r="J6" s="98"/>
      <c r="K6" s="125"/>
      <c r="L6" s="98"/>
      <c r="M6" s="98"/>
      <c r="N6" s="98"/>
      <c r="O6" s="98"/>
      <c r="P6" s="98"/>
    </row>
    <row r="7" spans="1:18" x14ac:dyDescent="0.2">
      <c r="A7" s="99"/>
      <c r="B7" s="102"/>
      <c r="C7" s="100"/>
      <c r="D7" s="4"/>
      <c r="E7" s="98"/>
      <c r="F7" s="98"/>
      <c r="G7" s="99" t="s">
        <v>376</v>
      </c>
      <c r="H7" s="99"/>
      <c r="I7" s="99"/>
      <c r="J7" s="98"/>
      <c r="K7" s="125"/>
      <c r="L7" s="98"/>
      <c r="M7" s="98"/>
      <c r="N7" s="98"/>
      <c r="O7" s="98"/>
      <c r="P7" s="98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 t="s">
        <v>22</v>
      </c>
      <c r="D9" s="140" t="s">
        <v>734</v>
      </c>
      <c r="E9" s="139"/>
      <c r="F9" s="118"/>
      <c r="G9" s="118"/>
      <c r="H9" s="138"/>
      <c r="I9" s="118"/>
      <c r="J9" s="118"/>
      <c r="K9" s="126"/>
      <c r="L9" s="118"/>
      <c r="M9" s="98"/>
      <c r="N9" s="98"/>
      <c r="O9" s="98"/>
      <c r="P9" s="98"/>
      <c r="Q9" s="98"/>
    </row>
    <row r="10" spans="1:18" x14ac:dyDescent="0.2">
      <c r="A10" s="99"/>
      <c r="B10" s="102"/>
      <c r="C10" s="117"/>
      <c r="D10" s="137"/>
      <c r="E10" s="142" t="s">
        <v>733</v>
      </c>
      <c r="F10" s="142"/>
      <c r="G10" s="142"/>
      <c r="H10" s="142"/>
      <c r="I10" s="142"/>
      <c r="J10" s="142"/>
      <c r="K10" s="159"/>
      <c r="L10" s="113"/>
      <c r="M10" s="98"/>
      <c r="N10" s="98"/>
      <c r="O10" s="98"/>
      <c r="P10" s="98"/>
      <c r="Q10" s="98"/>
    </row>
    <row r="11" spans="1:18" x14ac:dyDescent="0.2">
      <c r="A11" s="99"/>
      <c r="B11" s="102"/>
      <c r="C11" s="101"/>
      <c r="D11" s="100"/>
      <c r="E11" s="116"/>
      <c r="F11" s="114"/>
      <c r="G11" s="114"/>
      <c r="H11" s="115" t="s">
        <v>149</v>
      </c>
      <c r="I11" s="115"/>
      <c r="J11" s="114"/>
      <c r="K11" s="127"/>
      <c r="L11" s="98"/>
      <c r="M11" s="98"/>
      <c r="N11" s="98"/>
      <c r="O11" s="98"/>
      <c r="P11" s="98"/>
      <c r="Q11" s="98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732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731</v>
      </c>
      <c r="K14" s="176"/>
      <c r="L14" s="5" t="s">
        <v>139</v>
      </c>
      <c r="M14" s="98"/>
      <c r="N14" s="109" t="s">
        <v>145</v>
      </c>
      <c r="O14" s="108"/>
      <c r="P14" s="107">
        <f>P15+P16+P17</f>
        <v>558.44825000000003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730</v>
      </c>
      <c r="K15" s="176"/>
      <c r="L15" s="5" t="s">
        <v>139</v>
      </c>
      <c r="M15" s="98"/>
      <c r="N15" s="109" t="s">
        <v>138</v>
      </c>
      <c r="O15" s="108"/>
      <c r="P15" s="107">
        <f>79.238*5.56</f>
        <v>440.56327999999996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729</v>
      </c>
      <c r="K16" s="176"/>
      <c r="L16" s="5" t="s">
        <v>139</v>
      </c>
      <c r="M16" s="98"/>
      <c r="N16" s="109" t="s">
        <v>370</v>
      </c>
      <c r="O16" s="108"/>
      <c r="P16" s="107">
        <f>10.189*9.32</f>
        <v>94.961480000000009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728</v>
      </c>
      <c r="K17" s="176"/>
      <c r="L17" s="5" t="s">
        <v>139</v>
      </c>
      <c r="M17" s="98"/>
      <c r="N17" s="109" t="s">
        <v>142</v>
      </c>
      <c r="O17" s="108"/>
      <c r="P17" s="107">
        <f>5.471*4.19</f>
        <v>22.923490000000001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727</v>
      </c>
      <c r="K18" s="176"/>
      <c r="L18" s="5" t="s">
        <v>139</v>
      </c>
      <c r="M18" s="98"/>
      <c r="N18" s="109" t="s">
        <v>142</v>
      </c>
      <c r="O18" s="108"/>
      <c r="P18" s="107">
        <f>19.886*5.56</f>
        <v>110.56615999999998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726</v>
      </c>
      <c r="K19" s="176"/>
      <c r="L19" s="5" t="s">
        <v>50</v>
      </c>
      <c r="M19" s="98"/>
      <c r="N19" s="98"/>
      <c r="O19" s="98"/>
      <c r="P19" s="98"/>
    </row>
    <row r="20" spans="1:17" s="135" customFormat="1" outlineLevel="1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K121/1000</f>
        <v>40.540999999999997</v>
      </c>
      <c r="L20" s="95" t="s">
        <v>365</v>
      </c>
      <c r="M20" s="96"/>
      <c r="N20" s="109" t="s">
        <v>138</v>
      </c>
      <c r="O20" s="136"/>
      <c r="P20" s="107">
        <f>K20*5.56</f>
        <v>225.40795999999997</v>
      </c>
    </row>
    <row r="21" spans="1:17" customFormat="1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x14ac:dyDescent="0.2">
      <c r="A27" s="166" t="s">
        <v>725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41.25" x14ac:dyDescent="0.2">
      <c r="A28" s="6">
        <v>1</v>
      </c>
      <c r="B28" s="92" t="s">
        <v>351</v>
      </c>
      <c r="C28" s="146" t="s">
        <v>724</v>
      </c>
      <c r="D28" s="91" t="s">
        <v>29</v>
      </c>
      <c r="E28" s="97">
        <v>40</v>
      </c>
      <c r="F28" s="89">
        <v>9.2899999999999991</v>
      </c>
      <c r="G28" s="89">
        <v>9.11</v>
      </c>
      <c r="H28" s="89">
        <v>0.18</v>
      </c>
      <c r="I28" s="12"/>
      <c r="J28" s="12"/>
      <c r="K28" s="129">
        <v>372</v>
      </c>
      <c r="L28" s="12">
        <v>365</v>
      </c>
      <c r="M28" s="12">
        <v>7</v>
      </c>
      <c r="N28" s="12"/>
      <c r="O28" s="12">
        <v>0.67</v>
      </c>
      <c r="P28" s="12">
        <v>26.8</v>
      </c>
      <c r="Q28" s="12"/>
    </row>
    <row r="29" spans="1:17" x14ac:dyDescent="0.2">
      <c r="A29" s="6">
        <v>2</v>
      </c>
      <c r="B29" s="92" t="s">
        <v>723</v>
      </c>
      <c r="C29" s="146" t="s">
        <v>722</v>
      </c>
      <c r="D29" s="91" t="s">
        <v>34</v>
      </c>
      <c r="E29" s="90">
        <v>7</v>
      </c>
      <c r="F29" s="89">
        <v>106.34</v>
      </c>
      <c r="G29" s="89">
        <v>105.94</v>
      </c>
      <c r="H29" s="89">
        <v>0.4</v>
      </c>
      <c r="I29" s="89">
        <v>0.16</v>
      </c>
      <c r="J29" s="12"/>
      <c r="K29" s="129">
        <v>744</v>
      </c>
      <c r="L29" s="12">
        <v>742</v>
      </c>
      <c r="M29" s="12">
        <v>2</v>
      </c>
      <c r="N29" s="12">
        <v>1</v>
      </c>
      <c r="O29" s="12">
        <v>9.64</v>
      </c>
      <c r="P29" s="12">
        <v>67.48</v>
      </c>
      <c r="Q29" s="12"/>
    </row>
    <row r="30" spans="1:17" x14ac:dyDescent="0.2">
      <c r="A30" s="166" t="s">
        <v>721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</row>
    <row r="31" spans="1:17" ht="24" x14ac:dyDescent="0.2">
      <c r="A31" s="6">
        <v>3</v>
      </c>
      <c r="B31" s="92" t="s">
        <v>106</v>
      </c>
      <c r="C31" s="146" t="s">
        <v>364</v>
      </c>
      <c r="D31" s="91" t="s">
        <v>33</v>
      </c>
      <c r="E31" s="97">
        <v>1</v>
      </c>
      <c r="F31" s="12"/>
      <c r="G31" s="12"/>
      <c r="H31" s="12"/>
      <c r="I31" s="12"/>
      <c r="J31" s="12">
        <v>2880</v>
      </c>
      <c r="K31" s="129">
        <v>2880</v>
      </c>
      <c r="L31" s="12"/>
      <c r="M31" s="12"/>
      <c r="N31" s="12"/>
      <c r="O31" s="12"/>
      <c r="P31" s="12"/>
      <c r="Q31" s="12"/>
    </row>
    <row r="32" spans="1:17" ht="36" x14ac:dyDescent="0.2">
      <c r="A32" s="6">
        <v>4</v>
      </c>
      <c r="B32" s="92" t="s">
        <v>363</v>
      </c>
      <c r="C32" s="146" t="s">
        <v>362</v>
      </c>
      <c r="D32" s="91" t="s">
        <v>29</v>
      </c>
      <c r="E32" s="97">
        <v>1</v>
      </c>
      <c r="F32" s="89">
        <v>117.52</v>
      </c>
      <c r="G32" s="89">
        <v>102.02</v>
      </c>
      <c r="H32" s="89">
        <v>0.46</v>
      </c>
      <c r="I32" s="12"/>
      <c r="J32" s="12"/>
      <c r="K32" s="129">
        <v>118</v>
      </c>
      <c r="L32" s="12">
        <v>102</v>
      </c>
      <c r="M32" s="12"/>
      <c r="N32" s="12"/>
      <c r="O32" s="12">
        <v>7.2</v>
      </c>
      <c r="P32" s="12">
        <v>7.2</v>
      </c>
      <c r="Q32" s="12"/>
    </row>
    <row r="33" spans="1:17" ht="24" x14ac:dyDescent="0.2">
      <c r="A33" s="6">
        <v>5</v>
      </c>
      <c r="B33" s="92" t="s">
        <v>106</v>
      </c>
      <c r="C33" s="146" t="s">
        <v>422</v>
      </c>
      <c r="D33" s="91" t="s">
        <v>29</v>
      </c>
      <c r="E33" s="97">
        <v>1</v>
      </c>
      <c r="F33" s="12"/>
      <c r="G33" s="12"/>
      <c r="H33" s="12"/>
      <c r="I33" s="12"/>
      <c r="J33" s="12">
        <v>642</v>
      </c>
      <c r="K33" s="129">
        <v>642</v>
      </c>
      <c r="L33" s="12"/>
      <c r="M33" s="12"/>
      <c r="N33" s="12"/>
      <c r="O33" s="12"/>
      <c r="P33" s="12"/>
      <c r="Q33" s="12"/>
    </row>
    <row r="34" spans="1:17" ht="16.149999999999999" customHeight="1" x14ac:dyDescent="0.2">
      <c r="A34" s="6">
        <v>6</v>
      </c>
      <c r="B34" s="92" t="s">
        <v>360</v>
      </c>
      <c r="C34" s="146" t="s">
        <v>359</v>
      </c>
      <c r="D34" s="91" t="s">
        <v>29</v>
      </c>
      <c r="E34" s="97">
        <v>1</v>
      </c>
      <c r="F34" s="89">
        <v>256.7</v>
      </c>
      <c r="G34" s="89">
        <v>157.76</v>
      </c>
      <c r="H34" s="89">
        <v>33.83</v>
      </c>
      <c r="I34" s="89">
        <v>6.87</v>
      </c>
      <c r="J34" s="12"/>
      <c r="K34" s="129">
        <v>257</v>
      </c>
      <c r="L34" s="12">
        <v>158</v>
      </c>
      <c r="M34" s="12">
        <v>34</v>
      </c>
      <c r="N34" s="12">
        <v>7</v>
      </c>
      <c r="O34" s="12">
        <v>10.1</v>
      </c>
      <c r="P34" s="12">
        <v>10.1</v>
      </c>
      <c r="Q34" s="12"/>
    </row>
    <row r="35" spans="1:17" x14ac:dyDescent="0.2">
      <c r="A35" s="6">
        <v>7</v>
      </c>
      <c r="B35" s="92" t="s">
        <v>106</v>
      </c>
      <c r="C35" s="146" t="s">
        <v>358</v>
      </c>
      <c r="D35" s="91" t="s">
        <v>33</v>
      </c>
      <c r="E35" s="97">
        <v>1</v>
      </c>
      <c r="F35" s="89">
        <v>65.510000000000005</v>
      </c>
      <c r="G35" s="12"/>
      <c r="H35" s="12"/>
      <c r="I35" s="12"/>
      <c r="J35" s="12"/>
      <c r="K35" s="129">
        <v>66</v>
      </c>
      <c r="L35" s="12"/>
      <c r="M35" s="12"/>
      <c r="N35" s="12"/>
      <c r="O35" s="12"/>
      <c r="P35" s="12"/>
      <c r="Q35" s="12"/>
    </row>
    <row r="36" spans="1:17" x14ac:dyDescent="0.2">
      <c r="A36" s="6">
        <v>8</v>
      </c>
      <c r="B36" s="92" t="s">
        <v>106</v>
      </c>
      <c r="C36" s="146" t="s">
        <v>395</v>
      </c>
      <c r="D36" s="91" t="s">
        <v>33</v>
      </c>
      <c r="E36" s="97">
        <v>1</v>
      </c>
      <c r="F36" s="89">
        <v>84.08</v>
      </c>
      <c r="G36" s="12"/>
      <c r="H36" s="12"/>
      <c r="I36" s="12"/>
      <c r="J36" s="12"/>
      <c r="K36" s="129">
        <v>84</v>
      </c>
      <c r="L36" s="12"/>
      <c r="M36" s="12"/>
      <c r="N36" s="12"/>
      <c r="O36" s="12"/>
      <c r="P36" s="12"/>
      <c r="Q36" s="12"/>
    </row>
    <row r="37" spans="1:17" ht="24" x14ac:dyDescent="0.2">
      <c r="A37" s="6">
        <v>9</v>
      </c>
      <c r="B37" s="92" t="s">
        <v>106</v>
      </c>
      <c r="C37" s="146" t="s">
        <v>720</v>
      </c>
      <c r="D37" s="91" t="s">
        <v>33</v>
      </c>
      <c r="E37" s="90">
        <v>10</v>
      </c>
      <c r="F37" s="12"/>
      <c r="G37" s="12"/>
      <c r="H37" s="12"/>
      <c r="I37" s="12"/>
      <c r="J37" s="12">
        <v>1193</v>
      </c>
      <c r="K37" s="129">
        <v>1193</v>
      </c>
      <c r="L37" s="12"/>
      <c r="M37" s="12"/>
      <c r="N37" s="12"/>
      <c r="O37" s="12"/>
      <c r="P37" s="12"/>
      <c r="Q37" s="12"/>
    </row>
    <row r="38" spans="1:17" ht="24" x14ac:dyDescent="0.2">
      <c r="A38" s="6">
        <v>10</v>
      </c>
      <c r="B38" s="92" t="s">
        <v>106</v>
      </c>
      <c r="C38" s="146" t="s">
        <v>354</v>
      </c>
      <c r="D38" s="91" t="s">
        <v>33</v>
      </c>
      <c r="E38" s="97">
        <v>1</v>
      </c>
      <c r="F38" s="12"/>
      <c r="G38" s="12"/>
      <c r="H38" s="12"/>
      <c r="I38" s="12"/>
      <c r="J38" s="12">
        <v>233</v>
      </c>
      <c r="K38" s="129">
        <v>233</v>
      </c>
      <c r="L38" s="12"/>
      <c r="M38" s="12"/>
      <c r="N38" s="12"/>
      <c r="O38" s="12"/>
      <c r="P38" s="12"/>
      <c r="Q38" s="12"/>
    </row>
    <row r="39" spans="1:17" ht="26.45" customHeight="1" x14ac:dyDescent="0.2">
      <c r="A39" s="6">
        <v>11</v>
      </c>
      <c r="B39" s="92" t="s">
        <v>327</v>
      </c>
      <c r="C39" s="146" t="s">
        <v>719</v>
      </c>
      <c r="D39" s="91" t="s">
        <v>29</v>
      </c>
      <c r="E39" s="90">
        <v>10</v>
      </c>
      <c r="F39" s="89">
        <v>86.32</v>
      </c>
      <c r="G39" s="89">
        <v>78.05</v>
      </c>
      <c r="H39" s="89">
        <v>0.37</v>
      </c>
      <c r="I39" s="12"/>
      <c r="J39" s="12"/>
      <c r="K39" s="129">
        <v>863</v>
      </c>
      <c r="L39" s="12">
        <v>781</v>
      </c>
      <c r="M39" s="12">
        <v>4</v>
      </c>
      <c r="N39" s="12"/>
      <c r="O39" s="12">
        <v>5.76</v>
      </c>
      <c r="P39" s="12">
        <v>57.6</v>
      </c>
      <c r="Q39" s="12"/>
    </row>
    <row r="40" spans="1:17" ht="24" x14ac:dyDescent="0.2">
      <c r="A40" s="6">
        <v>12</v>
      </c>
      <c r="B40" s="92" t="s">
        <v>106</v>
      </c>
      <c r="C40" s="146" t="s">
        <v>352</v>
      </c>
      <c r="D40" s="91" t="s">
        <v>33</v>
      </c>
      <c r="E40" s="90">
        <v>155</v>
      </c>
      <c r="F40" s="89">
        <v>90.69</v>
      </c>
      <c r="G40" s="12"/>
      <c r="H40" s="12"/>
      <c r="I40" s="12"/>
      <c r="J40" s="12"/>
      <c r="K40" s="129">
        <v>14057</v>
      </c>
      <c r="L40" s="12"/>
      <c r="M40" s="12"/>
      <c r="N40" s="12"/>
      <c r="O40" s="12"/>
      <c r="P40" s="12"/>
      <c r="Q40" s="12"/>
    </row>
    <row r="41" spans="1:17" ht="48" x14ac:dyDescent="0.2">
      <c r="A41" s="6">
        <v>13</v>
      </c>
      <c r="B41" s="92" t="s">
        <v>351</v>
      </c>
      <c r="C41" s="146" t="s">
        <v>350</v>
      </c>
      <c r="D41" s="91" t="s">
        <v>29</v>
      </c>
      <c r="E41" s="97">
        <v>141</v>
      </c>
      <c r="F41" s="89">
        <v>28.38</v>
      </c>
      <c r="G41" s="89">
        <v>22.76</v>
      </c>
      <c r="H41" s="89">
        <v>0.46</v>
      </c>
      <c r="I41" s="12"/>
      <c r="J41" s="12"/>
      <c r="K41" s="129">
        <v>4002</v>
      </c>
      <c r="L41" s="12">
        <v>3209</v>
      </c>
      <c r="M41" s="12">
        <v>65</v>
      </c>
      <c r="N41" s="12"/>
      <c r="O41" s="12">
        <v>1.68</v>
      </c>
      <c r="P41" s="12">
        <v>236.88</v>
      </c>
      <c r="Q41" s="12"/>
    </row>
    <row r="42" spans="1:17" ht="36" x14ac:dyDescent="0.2">
      <c r="A42" s="6">
        <v>14</v>
      </c>
      <c r="B42" s="92" t="s">
        <v>106</v>
      </c>
      <c r="C42" s="146" t="s">
        <v>718</v>
      </c>
      <c r="D42" s="91" t="s">
        <v>33</v>
      </c>
      <c r="E42" s="90">
        <v>3</v>
      </c>
      <c r="F42" s="89">
        <v>570.66</v>
      </c>
      <c r="G42" s="12"/>
      <c r="H42" s="12"/>
      <c r="I42" s="12"/>
      <c r="J42" s="12"/>
      <c r="K42" s="129">
        <v>1712</v>
      </c>
      <c r="L42" s="12"/>
      <c r="M42" s="12"/>
      <c r="N42" s="12"/>
      <c r="O42" s="12"/>
      <c r="P42" s="12"/>
      <c r="Q42" s="12"/>
    </row>
    <row r="43" spans="1:17" ht="36" x14ac:dyDescent="0.2">
      <c r="A43" s="6">
        <v>15</v>
      </c>
      <c r="B43" s="92" t="s">
        <v>663</v>
      </c>
      <c r="C43" s="146" t="s">
        <v>662</v>
      </c>
      <c r="D43" s="91" t="s">
        <v>29</v>
      </c>
      <c r="E43" s="97">
        <v>2</v>
      </c>
      <c r="F43" s="89">
        <v>34.49</v>
      </c>
      <c r="G43" s="89">
        <v>27.97</v>
      </c>
      <c r="H43" s="89">
        <v>0.54</v>
      </c>
      <c r="I43" s="12"/>
      <c r="J43" s="12"/>
      <c r="K43" s="129">
        <v>69</v>
      </c>
      <c r="L43" s="12">
        <v>56</v>
      </c>
      <c r="M43" s="12">
        <v>1</v>
      </c>
      <c r="N43" s="12"/>
      <c r="O43" s="12">
        <v>1.68</v>
      </c>
      <c r="P43" s="12">
        <v>3.36</v>
      </c>
      <c r="Q43" s="12"/>
    </row>
    <row r="44" spans="1:17" ht="24" x14ac:dyDescent="0.2">
      <c r="A44" s="6">
        <v>16</v>
      </c>
      <c r="B44" s="92" t="s">
        <v>106</v>
      </c>
      <c r="C44" s="146" t="s">
        <v>338</v>
      </c>
      <c r="D44" s="91" t="s">
        <v>33</v>
      </c>
      <c r="E44" s="90">
        <v>7</v>
      </c>
      <c r="F44" s="89">
        <v>26.21</v>
      </c>
      <c r="G44" s="12"/>
      <c r="H44" s="12"/>
      <c r="I44" s="12"/>
      <c r="J44" s="12"/>
      <c r="K44" s="129">
        <v>183</v>
      </c>
      <c r="L44" s="12"/>
      <c r="M44" s="12"/>
      <c r="N44" s="12"/>
      <c r="O44" s="12"/>
      <c r="P44" s="12"/>
      <c r="Q44" s="12"/>
    </row>
    <row r="45" spans="1:17" ht="18.600000000000001" customHeight="1" x14ac:dyDescent="0.2">
      <c r="A45" s="6">
        <v>17</v>
      </c>
      <c r="B45" s="92" t="s">
        <v>333</v>
      </c>
      <c r="C45" s="146" t="s">
        <v>337</v>
      </c>
      <c r="D45" s="91" t="s">
        <v>29</v>
      </c>
      <c r="E45" s="97">
        <v>6</v>
      </c>
      <c r="F45" s="89">
        <v>13.89</v>
      </c>
      <c r="G45" s="89">
        <v>12.78</v>
      </c>
      <c r="H45" s="12"/>
      <c r="I45" s="12"/>
      <c r="J45" s="12"/>
      <c r="K45" s="129">
        <v>83</v>
      </c>
      <c r="L45" s="12">
        <v>77</v>
      </c>
      <c r="M45" s="12"/>
      <c r="N45" s="12"/>
      <c r="O45" s="12">
        <v>1</v>
      </c>
      <c r="P45" s="12">
        <v>6</v>
      </c>
      <c r="Q45" s="12"/>
    </row>
    <row r="46" spans="1:17" ht="24" x14ac:dyDescent="0.2">
      <c r="A46" s="6">
        <v>18</v>
      </c>
      <c r="B46" s="92" t="s">
        <v>106</v>
      </c>
      <c r="C46" s="146" t="s">
        <v>336</v>
      </c>
      <c r="D46" s="91" t="s">
        <v>33</v>
      </c>
      <c r="E46" s="90">
        <v>10</v>
      </c>
      <c r="F46" s="89">
        <v>25.15</v>
      </c>
      <c r="G46" s="12"/>
      <c r="H46" s="12"/>
      <c r="I46" s="12"/>
      <c r="J46" s="12"/>
      <c r="K46" s="129">
        <v>252</v>
      </c>
      <c r="L46" s="12"/>
      <c r="M46" s="12"/>
      <c r="N46" s="12"/>
      <c r="O46" s="12"/>
      <c r="P46" s="12"/>
      <c r="Q46" s="12"/>
    </row>
    <row r="47" spans="1:17" x14ac:dyDescent="0.2">
      <c r="A47" s="6">
        <v>19</v>
      </c>
      <c r="B47" s="92" t="s">
        <v>330</v>
      </c>
      <c r="C47" s="146" t="s">
        <v>335</v>
      </c>
      <c r="D47" s="91" t="s">
        <v>29</v>
      </c>
      <c r="E47" s="97">
        <v>9</v>
      </c>
      <c r="F47" s="89">
        <v>98.76</v>
      </c>
      <c r="G47" s="89">
        <v>74.88</v>
      </c>
      <c r="H47" s="12"/>
      <c r="I47" s="12"/>
      <c r="J47" s="12"/>
      <c r="K47" s="129">
        <v>889</v>
      </c>
      <c r="L47" s="12">
        <v>674</v>
      </c>
      <c r="M47" s="12"/>
      <c r="N47" s="12"/>
      <c r="O47" s="12">
        <v>6</v>
      </c>
      <c r="P47" s="12">
        <v>54</v>
      </c>
      <c r="Q47" s="12"/>
    </row>
    <row r="48" spans="1:17" ht="24" x14ac:dyDescent="0.2">
      <c r="A48" s="6">
        <v>20</v>
      </c>
      <c r="B48" s="92" t="s">
        <v>106</v>
      </c>
      <c r="C48" s="146" t="s">
        <v>420</v>
      </c>
      <c r="D48" s="91" t="s">
        <v>33</v>
      </c>
      <c r="E48" s="90">
        <v>25</v>
      </c>
      <c r="F48" s="89">
        <v>79.260000000000005</v>
      </c>
      <c r="G48" s="12"/>
      <c r="H48" s="12"/>
      <c r="I48" s="12"/>
      <c r="J48" s="12"/>
      <c r="K48" s="129">
        <v>1982</v>
      </c>
      <c r="L48" s="12"/>
      <c r="M48" s="12"/>
      <c r="N48" s="12"/>
      <c r="O48" s="12"/>
      <c r="P48" s="12"/>
      <c r="Q48" s="12"/>
    </row>
    <row r="49" spans="1:17" ht="14.45" customHeight="1" x14ac:dyDescent="0.2">
      <c r="A49" s="6">
        <v>21</v>
      </c>
      <c r="B49" s="92" t="s">
        <v>333</v>
      </c>
      <c r="C49" s="146" t="s">
        <v>332</v>
      </c>
      <c r="D49" s="91" t="s">
        <v>29</v>
      </c>
      <c r="E49" s="97">
        <v>23</v>
      </c>
      <c r="F49" s="89">
        <v>13.89</v>
      </c>
      <c r="G49" s="89">
        <v>12.78</v>
      </c>
      <c r="H49" s="12"/>
      <c r="I49" s="12"/>
      <c r="J49" s="12"/>
      <c r="K49" s="129">
        <v>319</v>
      </c>
      <c r="L49" s="12">
        <v>294</v>
      </c>
      <c r="M49" s="12"/>
      <c r="N49" s="12"/>
      <c r="O49" s="12">
        <v>1</v>
      </c>
      <c r="P49" s="12">
        <v>23</v>
      </c>
      <c r="Q49" s="12"/>
    </row>
    <row r="50" spans="1:17" ht="24" x14ac:dyDescent="0.2">
      <c r="A50" s="6">
        <v>22</v>
      </c>
      <c r="B50" s="92" t="s">
        <v>106</v>
      </c>
      <c r="C50" s="146" t="s">
        <v>328</v>
      </c>
      <c r="D50" s="91" t="s">
        <v>33</v>
      </c>
      <c r="E50" s="90">
        <v>5</v>
      </c>
      <c r="F50" s="12"/>
      <c r="G50" s="12"/>
      <c r="H50" s="12"/>
      <c r="I50" s="12"/>
      <c r="J50" s="12">
        <v>194</v>
      </c>
      <c r="K50" s="129">
        <v>194</v>
      </c>
      <c r="L50" s="12"/>
      <c r="M50" s="12"/>
      <c r="N50" s="12"/>
      <c r="O50" s="12"/>
      <c r="P50" s="12"/>
      <c r="Q50" s="12"/>
    </row>
    <row r="51" spans="1:17" ht="24" x14ac:dyDescent="0.2">
      <c r="A51" s="6">
        <v>23</v>
      </c>
      <c r="B51" s="92" t="s">
        <v>327</v>
      </c>
      <c r="C51" s="146" t="s">
        <v>326</v>
      </c>
      <c r="D51" s="91" t="s">
        <v>29</v>
      </c>
      <c r="E51" s="97">
        <v>4</v>
      </c>
      <c r="F51" s="89">
        <v>86.32</v>
      </c>
      <c r="G51" s="89">
        <v>78.05</v>
      </c>
      <c r="H51" s="89">
        <v>0.37</v>
      </c>
      <c r="I51" s="12"/>
      <c r="J51" s="12"/>
      <c r="K51" s="129">
        <v>345</v>
      </c>
      <c r="L51" s="12">
        <v>312</v>
      </c>
      <c r="M51" s="12">
        <v>1</v>
      </c>
      <c r="N51" s="12"/>
      <c r="O51" s="12">
        <v>5.76</v>
      </c>
      <c r="P51" s="12">
        <v>23.04</v>
      </c>
      <c r="Q51" s="12"/>
    </row>
    <row r="52" spans="1:17" ht="24" x14ac:dyDescent="0.2">
      <c r="A52" s="6">
        <v>24</v>
      </c>
      <c r="B52" s="92" t="s">
        <v>106</v>
      </c>
      <c r="C52" s="146" t="s">
        <v>325</v>
      </c>
      <c r="D52" s="91" t="s">
        <v>33</v>
      </c>
      <c r="E52" s="97">
        <v>1</v>
      </c>
      <c r="F52" s="12"/>
      <c r="G52" s="12"/>
      <c r="H52" s="12"/>
      <c r="I52" s="12"/>
      <c r="J52" s="12">
        <v>107</v>
      </c>
      <c r="K52" s="129">
        <v>107</v>
      </c>
      <c r="L52" s="12"/>
      <c r="M52" s="12"/>
      <c r="N52" s="12"/>
      <c r="O52" s="12"/>
      <c r="P52" s="12"/>
      <c r="Q52" s="12"/>
    </row>
    <row r="53" spans="1:17" ht="24" x14ac:dyDescent="0.2">
      <c r="A53" s="6">
        <v>25</v>
      </c>
      <c r="B53" s="92" t="s">
        <v>324</v>
      </c>
      <c r="C53" s="146" t="s">
        <v>323</v>
      </c>
      <c r="D53" s="91" t="s">
        <v>29</v>
      </c>
      <c r="E53" s="97">
        <v>1</v>
      </c>
      <c r="F53" s="89">
        <v>59.97</v>
      </c>
      <c r="G53" s="89">
        <v>51.77</v>
      </c>
      <c r="H53" s="89">
        <v>0.37</v>
      </c>
      <c r="I53" s="12"/>
      <c r="J53" s="12"/>
      <c r="K53" s="129">
        <v>60</v>
      </c>
      <c r="L53" s="12">
        <v>52</v>
      </c>
      <c r="M53" s="12"/>
      <c r="N53" s="12"/>
      <c r="O53" s="12">
        <v>3.6</v>
      </c>
      <c r="P53" s="12">
        <v>3.6</v>
      </c>
      <c r="Q53" s="12"/>
    </row>
    <row r="54" spans="1:17" ht="36" x14ac:dyDescent="0.2">
      <c r="A54" s="6">
        <v>26</v>
      </c>
      <c r="B54" s="92" t="s">
        <v>106</v>
      </c>
      <c r="C54" s="146" t="s">
        <v>321</v>
      </c>
      <c r="D54" s="91" t="s">
        <v>320</v>
      </c>
      <c r="E54" s="90">
        <v>1.1000000000000001</v>
      </c>
      <c r="F54" s="89">
        <v>2667.36</v>
      </c>
      <c r="G54" s="12"/>
      <c r="H54" s="12"/>
      <c r="I54" s="12"/>
      <c r="J54" s="12"/>
      <c r="K54" s="129">
        <v>2934</v>
      </c>
      <c r="L54" s="12"/>
      <c r="M54" s="12"/>
      <c r="N54" s="12"/>
      <c r="O54" s="12"/>
      <c r="P54" s="12"/>
      <c r="Q54" s="12"/>
    </row>
    <row r="55" spans="1:17" ht="24" x14ac:dyDescent="0.2">
      <c r="A55" s="6">
        <v>27</v>
      </c>
      <c r="B55" s="92" t="s">
        <v>106</v>
      </c>
      <c r="C55" s="146" t="s">
        <v>415</v>
      </c>
      <c r="D55" s="91" t="s">
        <v>31</v>
      </c>
      <c r="E55" s="90">
        <v>2.8000000000000001E-2</v>
      </c>
      <c r="F55" s="89">
        <v>4575.3599999999997</v>
      </c>
      <c r="G55" s="12"/>
      <c r="H55" s="12"/>
      <c r="I55" s="12"/>
      <c r="J55" s="12"/>
      <c r="K55" s="129">
        <v>128</v>
      </c>
      <c r="L55" s="12"/>
      <c r="M55" s="12"/>
      <c r="N55" s="12"/>
      <c r="O55" s="12"/>
      <c r="P55" s="12"/>
      <c r="Q55" s="12"/>
    </row>
    <row r="56" spans="1:17" ht="24" x14ac:dyDescent="0.2">
      <c r="A56" s="6">
        <v>28</v>
      </c>
      <c r="B56" s="92" t="s">
        <v>106</v>
      </c>
      <c r="C56" s="146" t="s">
        <v>414</v>
      </c>
      <c r="D56" s="91" t="s">
        <v>31</v>
      </c>
      <c r="E56" s="90">
        <v>0.79200000000000004</v>
      </c>
      <c r="F56" s="89">
        <v>7459.76</v>
      </c>
      <c r="G56" s="12"/>
      <c r="H56" s="12"/>
      <c r="I56" s="12"/>
      <c r="J56" s="12"/>
      <c r="K56" s="129">
        <v>5908</v>
      </c>
      <c r="L56" s="12"/>
      <c r="M56" s="12"/>
      <c r="N56" s="12"/>
      <c r="O56" s="12"/>
      <c r="P56" s="12"/>
      <c r="Q56" s="12"/>
    </row>
    <row r="57" spans="1:17" ht="24" x14ac:dyDescent="0.2">
      <c r="A57" s="6">
        <v>29</v>
      </c>
      <c r="B57" s="92" t="s">
        <v>313</v>
      </c>
      <c r="C57" s="146" t="s">
        <v>312</v>
      </c>
      <c r="D57" s="91" t="s">
        <v>34</v>
      </c>
      <c r="E57" s="90">
        <v>17.45</v>
      </c>
      <c r="F57" s="89">
        <v>189.23</v>
      </c>
      <c r="G57" s="89">
        <v>46.64</v>
      </c>
      <c r="H57" s="89">
        <v>56.09</v>
      </c>
      <c r="I57" s="89">
        <v>24.55</v>
      </c>
      <c r="J57" s="12"/>
      <c r="K57" s="129">
        <v>3302</v>
      </c>
      <c r="L57" s="12">
        <v>814</v>
      </c>
      <c r="M57" s="12">
        <v>979</v>
      </c>
      <c r="N57" s="12">
        <v>428</v>
      </c>
      <c r="O57" s="12">
        <v>3.52</v>
      </c>
      <c r="P57" s="12">
        <v>61.42</v>
      </c>
      <c r="Q57" s="12"/>
    </row>
    <row r="58" spans="1:17" ht="72" x14ac:dyDescent="0.2">
      <c r="A58" s="6">
        <v>30</v>
      </c>
      <c r="B58" s="92" t="s">
        <v>315</v>
      </c>
      <c r="C58" s="146" t="s">
        <v>314</v>
      </c>
      <c r="D58" s="91" t="s">
        <v>31</v>
      </c>
      <c r="E58" s="90">
        <v>1.2999999999999999E-2</v>
      </c>
      <c r="F58" s="89">
        <v>6962.8</v>
      </c>
      <c r="G58" s="12"/>
      <c r="H58" s="12"/>
      <c r="I58" s="12"/>
      <c r="J58" s="12"/>
      <c r="K58" s="129">
        <v>91</v>
      </c>
      <c r="L58" s="12"/>
      <c r="M58" s="12"/>
      <c r="N58" s="12"/>
      <c r="O58" s="12"/>
      <c r="P58" s="12"/>
      <c r="Q58" s="12"/>
    </row>
    <row r="59" spans="1:17" ht="60" x14ac:dyDescent="0.2">
      <c r="A59" s="6">
        <v>31</v>
      </c>
      <c r="B59" s="92" t="s">
        <v>311</v>
      </c>
      <c r="C59" s="146" t="s">
        <v>310</v>
      </c>
      <c r="D59" s="91" t="s">
        <v>34</v>
      </c>
      <c r="E59" s="90">
        <v>0.12</v>
      </c>
      <c r="F59" s="89">
        <v>1131.6099999999999</v>
      </c>
      <c r="G59" s="89">
        <v>202.73</v>
      </c>
      <c r="H59" s="89">
        <v>704.04</v>
      </c>
      <c r="I59" s="89">
        <v>87.33</v>
      </c>
      <c r="J59" s="12"/>
      <c r="K59" s="129">
        <v>136</v>
      </c>
      <c r="L59" s="12">
        <v>24</v>
      </c>
      <c r="M59" s="12">
        <v>84</v>
      </c>
      <c r="N59" s="12">
        <v>10</v>
      </c>
      <c r="O59" s="12">
        <v>15.3</v>
      </c>
      <c r="P59" s="12">
        <v>1.84</v>
      </c>
      <c r="Q59" s="12"/>
    </row>
    <row r="60" spans="1:17" x14ac:dyDescent="0.2">
      <c r="A60" s="6">
        <v>32</v>
      </c>
      <c r="B60" s="92" t="s">
        <v>308</v>
      </c>
      <c r="C60" s="146" t="s">
        <v>307</v>
      </c>
      <c r="D60" s="91" t="s">
        <v>30</v>
      </c>
      <c r="E60" s="90">
        <v>36</v>
      </c>
      <c r="F60" s="89">
        <v>1.19</v>
      </c>
      <c r="G60" s="12"/>
      <c r="H60" s="12"/>
      <c r="I60" s="12"/>
      <c r="J60" s="12"/>
      <c r="K60" s="129">
        <v>43</v>
      </c>
      <c r="L60" s="12"/>
      <c r="M60" s="12"/>
      <c r="N60" s="12"/>
      <c r="O60" s="12"/>
      <c r="P60" s="12"/>
      <c r="Q60" s="12"/>
    </row>
    <row r="61" spans="1:17" x14ac:dyDescent="0.2">
      <c r="A61" s="6">
        <v>33</v>
      </c>
      <c r="B61" s="92" t="s">
        <v>306</v>
      </c>
      <c r="C61" s="146" t="s">
        <v>305</v>
      </c>
      <c r="D61" s="91" t="s">
        <v>29</v>
      </c>
      <c r="E61" s="90">
        <v>36</v>
      </c>
      <c r="F61" s="89">
        <v>8.41</v>
      </c>
      <c r="G61" s="89">
        <v>7.26</v>
      </c>
      <c r="H61" s="12"/>
      <c r="I61" s="12"/>
      <c r="J61" s="12"/>
      <c r="K61" s="129">
        <v>303</v>
      </c>
      <c r="L61" s="12">
        <v>261</v>
      </c>
      <c r="M61" s="12"/>
      <c r="N61" s="12"/>
      <c r="O61" s="12">
        <v>0.52</v>
      </c>
      <c r="P61" s="12">
        <v>18.72</v>
      </c>
      <c r="Q61" s="12"/>
    </row>
    <row r="62" spans="1:17" ht="24" x14ac:dyDescent="0.2">
      <c r="A62" s="6">
        <v>34</v>
      </c>
      <c r="B62" s="92" t="s">
        <v>304</v>
      </c>
      <c r="C62" s="146" t="s">
        <v>717</v>
      </c>
      <c r="D62" s="91" t="s">
        <v>29</v>
      </c>
      <c r="E62" s="97">
        <v>1</v>
      </c>
      <c r="F62" s="89">
        <v>121.87</v>
      </c>
      <c r="G62" s="89">
        <v>26.33</v>
      </c>
      <c r="H62" s="89">
        <v>2.39</v>
      </c>
      <c r="I62" s="12"/>
      <c r="J62" s="12"/>
      <c r="K62" s="129">
        <v>122</v>
      </c>
      <c r="L62" s="12">
        <v>26</v>
      </c>
      <c r="M62" s="12">
        <v>2</v>
      </c>
      <c r="N62" s="12"/>
      <c r="O62" s="12">
        <v>2.06</v>
      </c>
      <c r="P62" s="12">
        <v>2.06</v>
      </c>
      <c r="Q62" s="12"/>
    </row>
    <row r="63" spans="1:17" ht="36" x14ac:dyDescent="0.2">
      <c r="A63" s="6">
        <v>35</v>
      </c>
      <c r="B63" s="92" t="s">
        <v>537</v>
      </c>
      <c r="C63" s="146" t="s">
        <v>302</v>
      </c>
      <c r="D63" s="91" t="s">
        <v>33</v>
      </c>
      <c r="E63" s="97">
        <v>1</v>
      </c>
      <c r="F63" s="89">
        <v>1411.86</v>
      </c>
      <c r="G63" s="12"/>
      <c r="H63" s="12"/>
      <c r="I63" s="12"/>
      <c r="J63" s="12"/>
      <c r="K63" s="129">
        <v>1412</v>
      </c>
      <c r="L63" s="12"/>
      <c r="M63" s="12"/>
      <c r="N63" s="12"/>
      <c r="O63" s="12"/>
      <c r="P63" s="12"/>
      <c r="Q63" s="12"/>
    </row>
    <row r="64" spans="1:17" ht="24" x14ac:dyDescent="0.2">
      <c r="A64" s="6">
        <v>36</v>
      </c>
      <c r="B64" s="92" t="s">
        <v>537</v>
      </c>
      <c r="C64" s="146" t="s">
        <v>301</v>
      </c>
      <c r="D64" s="91" t="s">
        <v>33</v>
      </c>
      <c r="E64" s="97">
        <v>1</v>
      </c>
      <c r="F64" s="89">
        <v>429.51</v>
      </c>
      <c r="G64" s="12"/>
      <c r="H64" s="12"/>
      <c r="I64" s="12"/>
      <c r="J64" s="12"/>
      <c r="K64" s="129">
        <v>430</v>
      </c>
      <c r="L64" s="12"/>
      <c r="M64" s="12"/>
      <c r="N64" s="12"/>
      <c r="O64" s="12"/>
      <c r="P64" s="12"/>
      <c r="Q64" s="12"/>
    </row>
    <row r="65" spans="1:17" ht="24" x14ac:dyDescent="0.2">
      <c r="A65" s="6">
        <v>37</v>
      </c>
      <c r="B65" s="92" t="s">
        <v>537</v>
      </c>
      <c r="C65" s="146" t="s">
        <v>300</v>
      </c>
      <c r="D65" s="91" t="s">
        <v>299</v>
      </c>
      <c r="E65" s="97">
        <v>1</v>
      </c>
      <c r="F65" s="89">
        <v>53.52</v>
      </c>
      <c r="G65" s="12"/>
      <c r="H65" s="12"/>
      <c r="I65" s="12"/>
      <c r="J65" s="12"/>
      <c r="K65" s="129">
        <v>54</v>
      </c>
      <c r="L65" s="12"/>
      <c r="M65" s="12"/>
      <c r="N65" s="12"/>
      <c r="O65" s="12"/>
      <c r="P65" s="12"/>
      <c r="Q65" s="12"/>
    </row>
    <row r="66" spans="1:17" ht="24" x14ac:dyDescent="0.2">
      <c r="A66" s="6">
        <v>38</v>
      </c>
      <c r="B66" s="92" t="s">
        <v>537</v>
      </c>
      <c r="C66" s="146" t="s">
        <v>298</v>
      </c>
      <c r="D66" s="91" t="s">
        <v>33</v>
      </c>
      <c r="E66" s="97">
        <v>1</v>
      </c>
      <c r="F66" s="89">
        <v>127.92</v>
      </c>
      <c r="G66" s="12"/>
      <c r="H66" s="12"/>
      <c r="I66" s="12"/>
      <c r="J66" s="12"/>
      <c r="K66" s="129">
        <v>128</v>
      </c>
      <c r="L66" s="12"/>
      <c r="M66" s="12"/>
      <c r="N66" s="12"/>
      <c r="O66" s="12"/>
      <c r="P66" s="12"/>
      <c r="Q66" s="12"/>
    </row>
    <row r="67" spans="1:17" ht="24" x14ac:dyDescent="0.2">
      <c r="A67" s="6">
        <v>39</v>
      </c>
      <c r="B67" s="92" t="s">
        <v>297</v>
      </c>
      <c r="C67" s="146" t="s">
        <v>296</v>
      </c>
      <c r="D67" s="91" t="s">
        <v>30</v>
      </c>
      <c r="E67" s="97">
        <v>1</v>
      </c>
      <c r="F67" s="89">
        <v>27.74</v>
      </c>
      <c r="G67" s="12"/>
      <c r="H67" s="12"/>
      <c r="I67" s="12"/>
      <c r="J67" s="12"/>
      <c r="K67" s="129">
        <v>28</v>
      </c>
      <c r="L67" s="12"/>
      <c r="M67" s="12"/>
      <c r="N67" s="12"/>
      <c r="O67" s="12"/>
      <c r="P67" s="12"/>
      <c r="Q67" s="12"/>
    </row>
    <row r="68" spans="1:17" ht="36" x14ac:dyDescent="0.2">
      <c r="A68" s="6">
        <v>40</v>
      </c>
      <c r="B68" s="92" t="s">
        <v>295</v>
      </c>
      <c r="C68" s="146" t="s">
        <v>294</v>
      </c>
      <c r="D68" s="91" t="s">
        <v>29</v>
      </c>
      <c r="E68" s="97">
        <v>1</v>
      </c>
      <c r="F68" s="89">
        <v>174.77</v>
      </c>
      <c r="G68" s="89">
        <v>20.9</v>
      </c>
      <c r="H68" s="89">
        <v>1.28</v>
      </c>
      <c r="I68" s="12"/>
      <c r="J68" s="12"/>
      <c r="K68" s="129">
        <v>175</v>
      </c>
      <c r="L68" s="12">
        <v>21</v>
      </c>
      <c r="M68" s="12">
        <v>1</v>
      </c>
      <c r="N68" s="12"/>
      <c r="O68" s="12">
        <v>1.56</v>
      </c>
      <c r="P68" s="12">
        <v>1.56</v>
      </c>
      <c r="Q68" s="12"/>
    </row>
    <row r="69" spans="1:17" x14ac:dyDescent="0.2">
      <c r="A69" s="6">
        <v>41</v>
      </c>
      <c r="B69" s="92" t="s">
        <v>106</v>
      </c>
      <c r="C69" s="146" t="s">
        <v>293</v>
      </c>
      <c r="D69" s="91" t="s">
        <v>30</v>
      </c>
      <c r="E69" s="97">
        <v>1</v>
      </c>
      <c r="F69" s="89">
        <v>3.89</v>
      </c>
      <c r="G69" s="12"/>
      <c r="H69" s="12"/>
      <c r="I69" s="12"/>
      <c r="J69" s="12"/>
      <c r="K69" s="129">
        <v>4</v>
      </c>
      <c r="L69" s="12"/>
      <c r="M69" s="12"/>
      <c r="N69" s="12"/>
      <c r="O69" s="12"/>
      <c r="P69" s="12"/>
      <c r="Q69" s="12"/>
    </row>
    <row r="70" spans="1:17" ht="36" x14ac:dyDescent="0.2">
      <c r="A70" s="6">
        <v>42</v>
      </c>
      <c r="B70" s="92" t="s">
        <v>233</v>
      </c>
      <c r="C70" s="146" t="s">
        <v>292</v>
      </c>
      <c r="D70" s="91" t="s">
        <v>29</v>
      </c>
      <c r="E70" s="97">
        <v>1</v>
      </c>
      <c r="F70" s="89">
        <v>99.26</v>
      </c>
      <c r="G70" s="89">
        <v>33.11</v>
      </c>
      <c r="H70" s="89">
        <v>62.05</v>
      </c>
      <c r="I70" s="89">
        <v>4.71</v>
      </c>
      <c r="J70" s="12"/>
      <c r="K70" s="129">
        <v>99</v>
      </c>
      <c r="L70" s="12">
        <v>33</v>
      </c>
      <c r="M70" s="12">
        <v>62</v>
      </c>
      <c r="N70" s="12">
        <v>5</v>
      </c>
      <c r="O70" s="12">
        <v>2.37</v>
      </c>
      <c r="P70" s="12">
        <v>2.37</v>
      </c>
      <c r="Q70" s="12"/>
    </row>
    <row r="71" spans="1:17" ht="36" x14ac:dyDescent="0.2">
      <c r="A71" s="6">
        <v>43</v>
      </c>
      <c r="B71" s="92" t="s">
        <v>291</v>
      </c>
      <c r="C71" s="146" t="s">
        <v>290</v>
      </c>
      <c r="D71" s="91" t="s">
        <v>29</v>
      </c>
      <c r="E71" s="97">
        <v>30</v>
      </c>
      <c r="F71" s="89">
        <v>27.06</v>
      </c>
      <c r="G71" s="89">
        <v>11.51</v>
      </c>
      <c r="H71" s="12"/>
      <c r="I71" s="12"/>
      <c r="J71" s="12"/>
      <c r="K71" s="129">
        <v>812</v>
      </c>
      <c r="L71" s="12">
        <v>345</v>
      </c>
      <c r="M71" s="12"/>
      <c r="N71" s="12"/>
      <c r="O71" s="12">
        <v>1</v>
      </c>
      <c r="P71" s="12">
        <v>30</v>
      </c>
      <c r="Q71" s="12"/>
    </row>
    <row r="72" spans="1:17" ht="24" x14ac:dyDescent="0.2">
      <c r="A72" s="6">
        <v>44</v>
      </c>
      <c r="B72" s="92" t="s">
        <v>106</v>
      </c>
      <c r="C72" s="146" t="s">
        <v>289</v>
      </c>
      <c r="D72" s="91" t="s">
        <v>33</v>
      </c>
      <c r="E72" s="97">
        <v>30</v>
      </c>
      <c r="F72" s="89">
        <v>7.26</v>
      </c>
      <c r="G72" s="12"/>
      <c r="H72" s="12"/>
      <c r="I72" s="12"/>
      <c r="J72" s="12"/>
      <c r="K72" s="129">
        <v>218</v>
      </c>
      <c r="L72" s="12"/>
      <c r="M72" s="12"/>
      <c r="N72" s="12"/>
      <c r="O72" s="12"/>
      <c r="P72" s="12"/>
      <c r="Q72" s="12"/>
    </row>
    <row r="73" spans="1:17" ht="24.6" customHeight="1" x14ac:dyDescent="0.2">
      <c r="A73" s="6">
        <v>45</v>
      </c>
      <c r="B73" s="92" t="s">
        <v>106</v>
      </c>
      <c r="C73" s="146" t="s">
        <v>309</v>
      </c>
      <c r="D73" s="91" t="s">
        <v>33</v>
      </c>
      <c r="E73" s="97">
        <v>5</v>
      </c>
      <c r="F73" s="89">
        <v>23.02</v>
      </c>
      <c r="G73" s="12"/>
      <c r="H73" s="12"/>
      <c r="I73" s="12"/>
      <c r="J73" s="12"/>
      <c r="K73" s="129">
        <v>115</v>
      </c>
      <c r="L73" s="12"/>
      <c r="M73" s="12"/>
      <c r="N73" s="12"/>
      <c r="O73" s="12"/>
      <c r="P73" s="12"/>
      <c r="Q73" s="12"/>
    </row>
    <row r="74" spans="1:17" ht="63" x14ac:dyDescent="0.2">
      <c r="A74" s="6">
        <v>46</v>
      </c>
      <c r="B74" s="92" t="s">
        <v>288</v>
      </c>
      <c r="C74" s="146" t="s">
        <v>287</v>
      </c>
      <c r="D74" s="91" t="s">
        <v>34</v>
      </c>
      <c r="E74" s="90">
        <v>9.1</v>
      </c>
      <c r="F74" s="89">
        <v>311.39999999999998</v>
      </c>
      <c r="G74" s="89">
        <v>218.44</v>
      </c>
      <c r="H74" s="89">
        <v>38.75</v>
      </c>
      <c r="I74" s="89">
        <v>0.17</v>
      </c>
      <c r="J74" s="12"/>
      <c r="K74" s="129">
        <v>2834</v>
      </c>
      <c r="L74" s="12">
        <v>1988</v>
      </c>
      <c r="M74" s="12">
        <v>353</v>
      </c>
      <c r="N74" s="12">
        <v>2</v>
      </c>
      <c r="O74" s="12">
        <v>16.29</v>
      </c>
      <c r="P74" s="12">
        <v>148.24</v>
      </c>
      <c r="Q74" s="12"/>
    </row>
    <row r="75" spans="1:17" ht="24" x14ac:dyDescent="0.2">
      <c r="A75" s="6">
        <v>47</v>
      </c>
      <c r="B75" s="92" t="s">
        <v>106</v>
      </c>
      <c r="C75" s="146" t="s">
        <v>280</v>
      </c>
      <c r="D75" s="91" t="s">
        <v>35</v>
      </c>
      <c r="E75" s="97">
        <v>800</v>
      </c>
      <c r="F75" s="89">
        <v>3.87</v>
      </c>
      <c r="G75" s="12"/>
      <c r="H75" s="12"/>
      <c r="I75" s="12"/>
      <c r="J75" s="12"/>
      <c r="K75" s="129">
        <v>3096</v>
      </c>
      <c r="L75" s="12"/>
      <c r="M75" s="12"/>
      <c r="N75" s="12"/>
      <c r="O75" s="12"/>
      <c r="P75" s="12"/>
      <c r="Q75" s="12"/>
    </row>
    <row r="76" spans="1:17" ht="36" x14ac:dyDescent="0.2">
      <c r="A76" s="6">
        <v>48</v>
      </c>
      <c r="B76" s="92" t="s">
        <v>106</v>
      </c>
      <c r="C76" s="146" t="s">
        <v>279</v>
      </c>
      <c r="D76" s="91" t="s">
        <v>33</v>
      </c>
      <c r="E76" s="97">
        <v>112</v>
      </c>
      <c r="F76" s="89">
        <v>1.57</v>
      </c>
      <c r="G76" s="12"/>
      <c r="H76" s="12"/>
      <c r="I76" s="12"/>
      <c r="J76" s="12"/>
      <c r="K76" s="129">
        <v>176</v>
      </c>
      <c r="L76" s="12"/>
      <c r="M76" s="12"/>
      <c r="N76" s="12"/>
      <c r="O76" s="12"/>
      <c r="P76" s="12"/>
      <c r="Q76" s="12"/>
    </row>
    <row r="77" spans="1:17" ht="36" x14ac:dyDescent="0.2">
      <c r="A77" s="6">
        <v>49</v>
      </c>
      <c r="B77" s="92" t="s">
        <v>106</v>
      </c>
      <c r="C77" s="146" t="s">
        <v>278</v>
      </c>
      <c r="D77" s="91" t="s">
        <v>33</v>
      </c>
      <c r="E77" s="97">
        <v>140</v>
      </c>
      <c r="F77" s="89">
        <v>1.57</v>
      </c>
      <c r="G77" s="12"/>
      <c r="H77" s="12"/>
      <c r="I77" s="12"/>
      <c r="J77" s="12"/>
      <c r="K77" s="129">
        <v>220</v>
      </c>
      <c r="L77" s="12"/>
      <c r="M77" s="12"/>
      <c r="N77" s="12"/>
      <c r="O77" s="12"/>
      <c r="P77" s="12"/>
      <c r="Q77" s="12"/>
    </row>
    <row r="78" spans="1:17" ht="36" x14ac:dyDescent="0.2">
      <c r="A78" s="6">
        <v>50</v>
      </c>
      <c r="B78" s="92" t="s">
        <v>106</v>
      </c>
      <c r="C78" s="146" t="s">
        <v>277</v>
      </c>
      <c r="D78" s="91" t="s">
        <v>33</v>
      </c>
      <c r="E78" s="97">
        <v>240</v>
      </c>
      <c r="F78" s="89">
        <v>1.44</v>
      </c>
      <c r="G78" s="12"/>
      <c r="H78" s="12"/>
      <c r="I78" s="12"/>
      <c r="J78" s="12"/>
      <c r="K78" s="129">
        <v>346</v>
      </c>
      <c r="L78" s="12"/>
      <c r="M78" s="12"/>
      <c r="N78" s="12"/>
      <c r="O78" s="12"/>
      <c r="P78" s="12"/>
      <c r="Q78" s="12"/>
    </row>
    <row r="79" spans="1:17" ht="36" x14ac:dyDescent="0.2">
      <c r="A79" s="6">
        <v>51</v>
      </c>
      <c r="B79" s="92" t="s">
        <v>106</v>
      </c>
      <c r="C79" s="146" t="s">
        <v>716</v>
      </c>
      <c r="D79" s="91" t="s">
        <v>33</v>
      </c>
      <c r="E79" s="97">
        <v>130</v>
      </c>
      <c r="F79" s="89">
        <v>1.57</v>
      </c>
      <c r="G79" s="12"/>
      <c r="H79" s="12"/>
      <c r="I79" s="12"/>
      <c r="J79" s="12"/>
      <c r="K79" s="129">
        <v>204</v>
      </c>
      <c r="L79" s="12"/>
      <c r="M79" s="12"/>
      <c r="N79" s="12"/>
      <c r="O79" s="12"/>
      <c r="P79" s="12"/>
      <c r="Q79" s="12"/>
    </row>
    <row r="80" spans="1:17" ht="36" x14ac:dyDescent="0.2">
      <c r="A80" s="6">
        <v>52</v>
      </c>
      <c r="B80" s="92" t="s">
        <v>106</v>
      </c>
      <c r="C80" s="146" t="s">
        <v>276</v>
      </c>
      <c r="D80" s="91" t="s">
        <v>33</v>
      </c>
      <c r="E80" s="97">
        <v>90</v>
      </c>
      <c r="F80" s="89">
        <v>1.57</v>
      </c>
      <c r="G80" s="12"/>
      <c r="H80" s="12"/>
      <c r="I80" s="12"/>
      <c r="J80" s="12"/>
      <c r="K80" s="129">
        <v>141</v>
      </c>
      <c r="L80" s="12"/>
      <c r="M80" s="12"/>
      <c r="N80" s="12"/>
      <c r="O80" s="12"/>
      <c r="P80" s="12"/>
      <c r="Q80" s="12"/>
    </row>
    <row r="81" spans="1:17" ht="36" x14ac:dyDescent="0.2">
      <c r="A81" s="6">
        <v>53</v>
      </c>
      <c r="B81" s="92" t="s">
        <v>106</v>
      </c>
      <c r="C81" s="146" t="s">
        <v>286</v>
      </c>
      <c r="D81" s="91" t="s">
        <v>35</v>
      </c>
      <c r="E81" s="97">
        <v>110</v>
      </c>
      <c r="F81" s="89">
        <v>6.62</v>
      </c>
      <c r="G81" s="12"/>
      <c r="H81" s="12"/>
      <c r="I81" s="12"/>
      <c r="J81" s="12"/>
      <c r="K81" s="129">
        <v>728</v>
      </c>
      <c r="L81" s="12"/>
      <c r="M81" s="12"/>
      <c r="N81" s="12"/>
      <c r="O81" s="12"/>
      <c r="P81" s="12"/>
      <c r="Q81" s="12"/>
    </row>
    <row r="82" spans="1:17" ht="36" x14ac:dyDescent="0.2">
      <c r="A82" s="6">
        <v>54</v>
      </c>
      <c r="B82" s="92" t="s">
        <v>106</v>
      </c>
      <c r="C82" s="146" t="s">
        <v>285</v>
      </c>
      <c r="D82" s="91" t="s">
        <v>33</v>
      </c>
      <c r="E82" s="97">
        <v>80</v>
      </c>
      <c r="F82" s="89">
        <v>2.27</v>
      </c>
      <c r="G82" s="12"/>
      <c r="H82" s="12"/>
      <c r="I82" s="12"/>
      <c r="J82" s="12"/>
      <c r="K82" s="129">
        <v>182</v>
      </c>
      <c r="L82" s="12"/>
      <c r="M82" s="12"/>
      <c r="N82" s="12"/>
      <c r="O82" s="12"/>
      <c r="P82" s="12"/>
      <c r="Q82" s="12"/>
    </row>
    <row r="83" spans="1:17" ht="36" x14ac:dyDescent="0.2">
      <c r="A83" s="6">
        <v>55</v>
      </c>
      <c r="B83" s="92" t="s">
        <v>106</v>
      </c>
      <c r="C83" s="146" t="s">
        <v>284</v>
      </c>
      <c r="D83" s="91" t="s">
        <v>33</v>
      </c>
      <c r="E83" s="97">
        <v>40</v>
      </c>
      <c r="F83" s="89">
        <v>2.7</v>
      </c>
      <c r="G83" s="12"/>
      <c r="H83" s="12"/>
      <c r="I83" s="12"/>
      <c r="J83" s="12"/>
      <c r="K83" s="129">
        <v>108</v>
      </c>
      <c r="L83" s="12"/>
      <c r="M83" s="12"/>
      <c r="N83" s="12"/>
      <c r="O83" s="12"/>
      <c r="P83" s="12"/>
      <c r="Q83" s="12"/>
    </row>
    <row r="84" spans="1:17" ht="36" x14ac:dyDescent="0.2">
      <c r="A84" s="6">
        <v>56</v>
      </c>
      <c r="B84" s="92" t="s">
        <v>106</v>
      </c>
      <c r="C84" s="146" t="s">
        <v>283</v>
      </c>
      <c r="D84" s="91" t="s">
        <v>33</v>
      </c>
      <c r="E84" s="97">
        <v>40</v>
      </c>
      <c r="F84" s="89">
        <v>2.7</v>
      </c>
      <c r="G84" s="12"/>
      <c r="H84" s="12"/>
      <c r="I84" s="12"/>
      <c r="J84" s="12"/>
      <c r="K84" s="129">
        <v>108</v>
      </c>
      <c r="L84" s="12"/>
      <c r="M84" s="12"/>
      <c r="N84" s="12"/>
      <c r="O84" s="12"/>
      <c r="P84" s="12"/>
      <c r="Q84" s="12"/>
    </row>
    <row r="85" spans="1:17" ht="36" x14ac:dyDescent="0.2">
      <c r="A85" s="6">
        <v>57</v>
      </c>
      <c r="B85" s="92" t="s">
        <v>106</v>
      </c>
      <c r="C85" s="146" t="s">
        <v>282</v>
      </c>
      <c r="D85" s="91" t="s">
        <v>33</v>
      </c>
      <c r="E85" s="97">
        <v>78</v>
      </c>
      <c r="F85" s="89">
        <v>2.7</v>
      </c>
      <c r="G85" s="12"/>
      <c r="H85" s="12"/>
      <c r="I85" s="12"/>
      <c r="J85" s="12"/>
      <c r="K85" s="129">
        <v>211</v>
      </c>
      <c r="L85" s="12"/>
      <c r="M85" s="12"/>
      <c r="N85" s="12"/>
      <c r="O85" s="12"/>
      <c r="P85" s="12"/>
      <c r="Q85" s="12"/>
    </row>
    <row r="86" spans="1:17" ht="36" x14ac:dyDescent="0.2">
      <c r="A86" s="6">
        <v>58</v>
      </c>
      <c r="B86" s="92" t="s">
        <v>106</v>
      </c>
      <c r="C86" s="146" t="s">
        <v>281</v>
      </c>
      <c r="D86" s="91" t="s">
        <v>33</v>
      </c>
      <c r="E86" s="97">
        <v>60</v>
      </c>
      <c r="F86" s="89">
        <v>2.7</v>
      </c>
      <c r="G86" s="12"/>
      <c r="H86" s="12"/>
      <c r="I86" s="12"/>
      <c r="J86" s="12"/>
      <c r="K86" s="129">
        <v>162</v>
      </c>
      <c r="L86" s="12"/>
      <c r="M86" s="12"/>
      <c r="N86" s="12"/>
      <c r="O86" s="12"/>
      <c r="P86" s="12"/>
      <c r="Q86" s="12"/>
    </row>
    <row r="87" spans="1:17" ht="36" x14ac:dyDescent="0.2">
      <c r="A87" s="6">
        <v>59</v>
      </c>
      <c r="B87" s="92" t="s">
        <v>106</v>
      </c>
      <c r="C87" s="146" t="s">
        <v>715</v>
      </c>
      <c r="D87" s="91" t="s">
        <v>33</v>
      </c>
      <c r="E87" s="97">
        <v>55</v>
      </c>
      <c r="F87" s="89">
        <v>6.22</v>
      </c>
      <c r="G87" s="12"/>
      <c r="H87" s="12"/>
      <c r="I87" s="12"/>
      <c r="J87" s="12"/>
      <c r="K87" s="129">
        <v>342</v>
      </c>
      <c r="L87" s="12"/>
      <c r="M87" s="12"/>
      <c r="N87" s="12"/>
      <c r="O87" s="12"/>
      <c r="P87" s="12"/>
      <c r="Q87" s="12"/>
    </row>
    <row r="88" spans="1:17" x14ac:dyDescent="0.2">
      <c r="A88" s="166" t="s">
        <v>714</v>
      </c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</row>
    <row r="89" spans="1:17" ht="77.25" x14ac:dyDescent="0.2">
      <c r="A89" s="6">
        <v>60</v>
      </c>
      <c r="B89" s="92" t="s">
        <v>273</v>
      </c>
      <c r="C89" s="146" t="s">
        <v>272</v>
      </c>
      <c r="D89" s="91" t="s">
        <v>271</v>
      </c>
      <c r="E89" s="90">
        <v>170</v>
      </c>
      <c r="F89" s="89">
        <v>27.19</v>
      </c>
      <c r="G89" s="89">
        <v>27.19</v>
      </c>
      <c r="H89" s="12"/>
      <c r="I89" s="12"/>
      <c r="J89" s="12"/>
      <c r="K89" s="129">
        <v>4622</v>
      </c>
      <c r="L89" s="12">
        <v>4622</v>
      </c>
      <c r="M89" s="12"/>
      <c r="N89" s="12"/>
      <c r="O89" s="12">
        <v>1.65</v>
      </c>
      <c r="P89" s="12">
        <v>280.5</v>
      </c>
      <c r="Q89" s="12"/>
    </row>
    <row r="90" spans="1:17" ht="36" x14ac:dyDescent="0.2">
      <c r="A90" s="6">
        <v>61</v>
      </c>
      <c r="B90" s="92" t="s">
        <v>270</v>
      </c>
      <c r="C90" s="146" t="s">
        <v>269</v>
      </c>
      <c r="D90" s="91" t="s">
        <v>268</v>
      </c>
      <c r="E90" s="97">
        <v>2</v>
      </c>
      <c r="F90" s="89">
        <v>95.38</v>
      </c>
      <c r="G90" s="89">
        <v>95.38</v>
      </c>
      <c r="H90" s="12"/>
      <c r="I90" s="12"/>
      <c r="J90" s="12"/>
      <c r="K90" s="129">
        <v>191</v>
      </c>
      <c r="L90" s="12">
        <v>191</v>
      </c>
      <c r="M90" s="12"/>
      <c r="N90" s="12"/>
      <c r="O90" s="12">
        <v>6</v>
      </c>
      <c r="P90" s="12">
        <v>12</v>
      </c>
      <c r="Q90" s="12"/>
    </row>
    <row r="91" spans="1:17" ht="48" x14ac:dyDescent="0.2">
      <c r="A91" s="6">
        <v>62</v>
      </c>
      <c r="B91" s="92" t="s">
        <v>267</v>
      </c>
      <c r="C91" s="146" t="s">
        <v>266</v>
      </c>
      <c r="D91" s="91" t="s">
        <v>265</v>
      </c>
      <c r="E91" s="97">
        <v>1</v>
      </c>
      <c r="F91" s="89">
        <v>366.98</v>
      </c>
      <c r="G91" s="89">
        <v>366.98</v>
      </c>
      <c r="H91" s="12"/>
      <c r="I91" s="12"/>
      <c r="J91" s="12"/>
      <c r="K91" s="129">
        <v>367</v>
      </c>
      <c r="L91" s="12">
        <v>367</v>
      </c>
      <c r="M91" s="12"/>
      <c r="N91" s="12"/>
      <c r="O91" s="12">
        <v>17.600000000000001</v>
      </c>
      <c r="P91" s="12">
        <v>17.600000000000001</v>
      </c>
      <c r="Q91" s="12"/>
    </row>
    <row r="92" spans="1:17" x14ac:dyDescent="0.2">
      <c r="A92" s="168" t="s">
        <v>36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30">
        <v>62186</v>
      </c>
      <c r="L92" s="89">
        <v>15514</v>
      </c>
      <c r="M92" s="89">
        <v>1595</v>
      </c>
      <c r="N92" s="89">
        <v>453</v>
      </c>
      <c r="O92" s="12"/>
      <c r="P92" s="89">
        <v>1095.3699999999999</v>
      </c>
      <c r="Q92" s="12"/>
    </row>
    <row r="93" spans="1:17" x14ac:dyDescent="0.2">
      <c r="A93" s="168" t="s">
        <v>37</v>
      </c>
      <c r="B93" s="167"/>
      <c r="C93" s="167"/>
      <c r="D93" s="167"/>
      <c r="E93" s="167"/>
      <c r="F93" s="167"/>
      <c r="G93" s="167"/>
      <c r="H93" s="167"/>
      <c r="I93" s="167"/>
      <c r="J93" s="167"/>
      <c r="K93" s="130">
        <v>67440</v>
      </c>
      <c r="L93" s="89">
        <v>19250</v>
      </c>
      <c r="M93" s="89">
        <v>2178</v>
      </c>
      <c r="N93" s="89">
        <v>636</v>
      </c>
      <c r="O93" s="12"/>
      <c r="P93" s="89">
        <v>1321.8</v>
      </c>
      <c r="Q93" s="12"/>
    </row>
    <row r="94" spans="1:17" x14ac:dyDescent="0.2">
      <c r="A94" s="168" t="s">
        <v>86</v>
      </c>
      <c r="B94" s="167"/>
      <c r="C94" s="167"/>
      <c r="D94" s="167"/>
      <c r="E94" s="167"/>
      <c r="F94" s="167"/>
      <c r="G94" s="167"/>
      <c r="H94" s="167"/>
      <c r="I94" s="167"/>
      <c r="J94" s="167"/>
      <c r="K94" s="129"/>
      <c r="L94" s="12"/>
      <c r="M94" s="12"/>
      <c r="N94" s="12"/>
      <c r="O94" s="12"/>
      <c r="P94" s="12"/>
      <c r="Q94" s="12"/>
    </row>
    <row r="95" spans="1:17" ht="15" customHeight="1" x14ac:dyDescent="0.2">
      <c r="A95" s="168" t="s">
        <v>713</v>
      </c>
      <c r="B95" s="167"/>
      <c r="C95" s="167"/>
      <c r="D95" s="167"/>
      <c r="E95" s="167"/>
      <c r="F95" s="167"/>
      <c r="G95" s="167"/>
      <c r="H95" s="167"/>
      <c r="I95" s="167"/>
      <c r="J95" s="167"/>
      <c r="K95" s="130">
        <v>687</v>
      </c>
      <c r="L95" s="89">
        <v>667</v>
      </c>
      <c r="M95" s="89">
        <v>19</v>
      </c>
      <c r="N95" s="89">
        <v>19</v>
      </c>
      <c r="O95" s="12"/>
      <c r="P95" s="12"/>
      <c r="Q95" s="12"/>
    </row>
    <row r="96" spans="1:17" ht="24" customHeight="1" x14ac:dyDescent="0.2">
      <c r="A96" s="168" t="s">
        <v>712</v>
      </c>
      <c r="B96" s="167"/>
      <c r="C96" s="167"/>
      <c r="D96" s="167"/>
      <c r="E96" s="167"/>
      <c r="F96" s="167"/>
      <c r="G96" s="167"/>
      <c r="H96" s="167"/>
      <c r="I96" s="167"/>
      <c r="J96" s="167"/>
      <c r="K96" s="130">
        <v>713</v>
      </c>
      <c r="L96" s="12"/>
      <c r="M96" s="12"/>
      <c r="N96" s="12"/>
      <c r="O96" s="12"/>
      <c r="P96" s="12"/>
      <c r="Q96" s="12"/>
    </row>
    <row r="97" spans="1:17" ht="22.9" customHeight="1" x14ac:dyDescent="0.2">
      <c r="A97" s="168" t="s">
        <v>711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30">
        <v>157</v>
      </c>
      <c r="L97" s="12"/>
      <c r="M97" s="12"/>
      <c r="N97" s="12"/>
      <c r="O97" s="12"/>
      <c r="P97" s="12"/>
      <c r="Q97" s="12"/>
    </row>
    <row r="98" spans="1:17" ht="23.45" customHeight="1" x14ac:dyDescent="0.2">
      <c r="A98" s="168" t="s">
        <v>710</v>
      </c>
      <c r="B98" s="167"/>
      <c r="C98" s="167"/>
      <c r="D98" s="167"/>
      <c r="E98" s="167"/>
      <c r="F98" s="167"/>
      <c r="G98" s="167"/>
      <c r="H98" s="167"/>
      <c r="I98" s="167"/>
      <c r="J98" s="167"/>
      <c r="K98" s="130">
        <v>65</v>
      </c>
      <c r="L98" s="12"/>
      <c r="M98" s="12"/>
      <c r="N98" s="12"/>
      <c r="O98" s="12"/>
      <c r="P98" s="12"/>
      <c r="Q98" s="12"/>
    </row>
    <row r="99" spans="1:17" ht="23.45" customHeight="1" x14ac:dyDescent="0.2">
      <c r="A99" s="168" t="s">
        <v>709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30">
        <v>4065</v>
      </c>
      <c r="L99" s="89">
        <v>3502</v>
      </c>
      <c r="M99" s="89">
        <v>564</v>
      </c>
      <c r="N99" s="89">
        <v>165</v>
      </c>
      <c r="O99" s="12"/>
      <c r="P99" s="89">
        <v>251.22649999999999</v>
      </c>
      <c r="Q99" s="12"/>
    </row>
    <row r="100" spans="1:17" ht="23.45" customHeight="1" x14ac:dyDescent="0.2">
      <c r="A100" s="168" t="s">
        <v>708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30">
        <v>810</v>
      </c>
      <c r="L100" s="89">
        <v>810</v>
      </c>
      <c r="M100" s="12"/>
      <c r="N100" s="12"/>
      <c r="O100" s="12"/>
      <c r="P100" s="89">
        <v>46.515000000000001</v>
      </c>
      <c r="Q100" s="12"/>
    </row>
    <row r="101" spans="1:17" ht="15" customHeight="1" x14ac:dyDescent="0.2">
      <c r="A101" s="168" t="s">
        <v>707</v>
      </c>
      <c r="B101" s="167"/>
      <c r="C101" s="167"/>
      <c r="D101" s="167"/>
      <c r="E101" s="167"/>
      <c r="F101" s="167"/>
      <c r="G101" s="167"/>
      <c r="H101" s="167"/>
      <c r="I101" s="167"/>
      <c r="J101" s="167"/>
      <c r="K101" s="130">
        <v>-1243</v>
      </c>
      <c r="L101" s="89">
        <v>-1243</v>
      </c>
      <c r="M101" s="12"/>
      <c r="N101" s="12"/>
      <c r="O101" s="12"/>
      <c r="P101" s="89">
        <v>-71.323999999999998</v>
      </c>
      <c r="Q101" s="12"/>
    </row>
    <row r="102" spans="1:17" x14ac:dyDescent="0.2">
      <c r="A102" s="168" t="s">
        <v>38</v>
      </c>
      <c r="B102" s="167"/>
      <c r="C102" s="167"/>
      <c r="D102" s="167"/>
      <c r="E102" s="167"/>
      <c r="F102" s="167"/>
      <c r="G102" s="167"/>
      <c r="H102" s="167"/>
      <c r="I102" s="167"/>
      <c r="J102" s="167"/>
      <c r="K102" s="130">
        <v>16147</v>
      </c>
      <c r="L102" s="12"/>
      <c r="M102" s="12"/>
      <c r="N102" s="12"/>
      <c r="O102" s="12"/>
      <c r="P102" s="12"/>
      <c r="Q102" s="12"/>
    </row>
    <row r="103" spans="1:17" x14ac:dyDescent="0.2">
      <c r="A103" s="168" t="s">
        <v>86</v>
      </c>
      <c r="B103" s="167"/>
      <c r="C103" s="167"/>
      <c r="D103" s="167"/>
      <c r="E103" s="167"/>
      <c r="F103" s="167"/>
      <c r="G103" s="167"/>
      <c r="H103" s="167"/>
      <c r="I103" s="167"/>
      <c r="J103" s="167"/>
      <c r="K103" s="129"/>
      <c r="L103" s="12"/>
      <c r="M103" s="12"/>
      <c r="N103" s="12"/>
      <c r="O103" s="12"/>
      <c r="P103" s="12"/>
      <c r="Q103" s="12"/>
    </row>
    <row r="104" spans="1:17" x14ac:dyDescent="0.2">
      <c r="A104" s="168" t="s">
        <v>706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30">
        <v>3231</v>
      </c>
      <c r="L104" s="12"/>
      <c r="M104" s="12"/>
      <c r="N104" s="12"/>
      <c r="O104" s="12"/>
      <c r="P104" s="12"/>
      <c r="Q104" s="12"/>
    </row>
    <row r="105" spans="1:17" x14ac:dyDescent="0.2">
      <c r="A105" s="168" t="s">
        <v>705</v>
      </c>
      <c r="B105" s="167"/>
      <c r="C105" s="167"/>
      <c r="D105" s="167"/>
      <c r="E105" s="167"/>
      <c r="F105" s="167"/>
      <c r="G105" s="167"/>
      <c r="H105" s="167"/>
      <c r="I105" s="167"/>
      <c r="J105" s="167"/>
      <c r="K105" s="130">
        <v>5973</v>
      </c>
      <c r="L105" s="12"/>
      <c r="M105" s="12"/>
      <c r="N105" s="12"/>
      <c r="O105" s="12"/>
      <c r="P105" s="12"/>
      <c r="Q105" s="12"/>
    </row>
    <row r="106" spans="1:17" x14ac:dyDescent="0.2">
      <c r="A106" s="168" t="s">
        <v>704</v>
      </c>
      <c r="B106" s="167"/>
      <c r="C106" s="167"/>
      <c r="D106" s="167"/>
      <c r="E106" s="167"/>
      <c r="F106" s="167"/>
      <c r="G106" s="167"/>
      <c r="H106" s="167"/>
      <c r="I106" s="167"/>
      <c r="J106" s="167"/>
      <c r="K106" s="130">
        <v>659</v>
      </c>
      <c r="L106" s="12"/>
      <c r="M106" s="12"/>
      <c r="N106" s="12"/>
      <c r="O106" s="12"/>
      <c r="P106" s="12"/>
      <c r="Q106" s="12"/>
    </row>
    <row r="107" spans="1:17" x14ac:dyDescent="0.2">
      <c r="A107" s="168" t="s">
        <v>703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130">
        <v>1801</v>
      </c>
      <c r="L107" s="12"/>
      <c r="M107" s="12"/>
      <c r="N107" s="12"/>
      <c r="O107" s="12"/>
      <c r="P107" s="12"/>
      <c r="Q107" s="12"/>
    </row>
    <row r="108" spans="1:17" x14ac:dyDescent="0.2">
      <c r="A108" s="168" t="s">
        <v>702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130">
        <v>4447</v>
      </c>
      <c r="L108" s="12"/>
      <c r="M108" s="12"/>
      <c r="N108" s="12"/>
      <c r="O108" s="12"/>
      <c r="P108" s="12"/>
      <c r="Q108" s="12"/>
    </row>
    <row r="109" spans="1:17" x14ac:dyDescent="0.2">
      <c r="A109" s="168" t="s">
        <v>701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130">
        <v>36</v>
      </c>
      <c r="L109" s="12"/>
      <c r="M109" s="12"/>
      <c r="N109" s="12"/>
      <c r="O109" s="12"/>
      <c r="P109" s="12"/>
      <c r="Q109" s="12"/>
    </row>
    <row r="110" spans="1:17" x14ac:dyDescent="0.2">
      <c r="A110" s="168" t="s">
        <v>39</v>
      </c>
      <c r="B110" s="167"/>
      <c r="C110" s="167"/>
      <c r="D110" s="167"/>
      <c r="E110" s="167"/>
      <c r="F110" s="167"/>
      <c r="G110" s="167"/>
      <c r="H110" s="167"/>
      <c r="I110" s="167"/>
      <c r="J110" s="167"/>
      <c r="K110" s="130">
        <v>11311</v>
      </c>
      <c r="L110" s="12"/>
      <c r="M110" s="12"/>
      <c r="N110" s="12"/>
      <c r="O110" s="12"/>
      <c r="P110" s="12"/>
      <c r="Q110" s="12"/>
    </row>
    <row r="111" spans="1:17" x14ac:dyDescent="0.2">
      <c r="A111" s="168" t="s">
        <v>86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129"/>
      <c r="L111" s="12"/>
      <c r="M111" s="12"/>
      <c r="N111" s="12"/>
      <c r="O111" s="12"/>
      <c r="P111" s="12"/>
      <c r="Q111" s="12"/>
    </row>
    <row r="112" spans="1:17" x14ac:dyDescent="0.2">
      <c r="A112" s="168" t="s">
        <v>700</v>
      </c>
      <c r="B112" s="167"/>
      <c r="C112" s="167"/>
      <c r="D112" s="167"/>
      <c r="E112" s="167"/>
      <c r="F112" s="167"/>
      <c r="G112" s="167"/>
      <c r="H112" s="167"/>
      <c r="I112" s="167"/>
      <c r="J112" s="167"/>
      <c r="K112" s="130">
        <v>1988</v>
      </c>
      <c r="L112" s="12"/>
      <c r="M112" s="12"/>
      <c r="N112" s="12"/>
      <c r="O112" s="12"/>
      <c r="P112" s="12"/>
      <c r="Q112" s="12"/>
    </row>
    <row r="113" spans="1:17" x14ac:dyDescent="0.2">
      <c r="A113" s="168" t="s">
        <v>699</v>
      </c>
      <c r="B113" s="167"/>
      <c r="C113" s="167"/>
      <c r="D113" s="167"/>
      <c r="E113" s="167"/>
      <c r="F113" s="167"/>
      <c r="G113" s="167"/>
      <c r="H113" s="167"/>
      <c r="I113" s="167"/>
      <c r="J113" s="167"/>
      <c r="K113" s="130">
        <v>4480</v>
      </c>
      <c r="L113" s="12"/>
      <c r="M113" s="12"/>
      <c r="N113" s="12"/>
      <c r="O113" s="12"/>
      <c r="P113" s="12"/>
      <c r="Q113" s="12"/>
    </row>
    <row r="114" spans="1:17" x14ac:dyDescent="0.2">
      <c r="A114" s="168" t="s">
        <v>698</v>
      </c>
      <c r="B114" s="167"/>
      <c r="C114" s="167"/>
      <c r="D114" s="167"/>
      <c r="E114" s="167"/>
      <c r="F114" s="167"/>
      <c r="G114" s="167"/>
      <c r="H114" s="167"/>
      <c r="I114" s="167"/>
      <c r="J114" s="167"/>
      <c r="K114" s="130">
        <v>4843</v>
      </c>
      <c r="L114" s="12"/>
      <c r="M114" s="12"/>
      <c r="N114" s="12"/>
      <c r="O114" s="12"/>
      <c r="P114" s="12"/>
      <c r="Q114" s="12"/>
    </row>
    <row r="115" spans="1:17" x14ac:dyDescent="0.2">
      <c r="A115" s="173" t="s">
        <v>40</v>
      </c>
      <c r="B115" s="167"/>
      <c r="C115" s="167"/>
      <c r="D115" s="167"/>
      <c r="E115" s="167"/>
      <c r="F115" s="167"/>
      <c r="G115" s="167"/>
      <c r="H115" s="167"/>
      <c r="I115" s="167"/>
      <c r="J115" s="167"/>
      <c r="K115" s="129"/>
      <c r="L115" s="12"/>
      <c r="M115" s="12"/>
      <c r="N115" s="12"/>
      <c r="O115" s="12"/>
      <c r="P115" s="12"/>
      <c r="Q115" s="12"/>
    </row>
    <row r="116" spans="1:17" x14ac:dyDescent="0.2">
      <c r="A116" s="168" t="s">
        <v>83</v>
      </c>
      <c r="B116" s="167"/>
      <c r="C116" s="167"/>
      <c r="D116" s="167"/>
      <c r="E116" s="167"/>
      <c r="F116" s="167"/>
      <c r="G116" s="167"/>
      <c r="H116" s="167"/>
      <c r="I116" s="167"/>
      <c r="J116" s="167"/>
      <c r="K116" s="130">
        <v>79238</v>
      </c>
      <c r="L116" s="12"/>
      <c r="M116" s="12"/>
      <c r="N116" s="12"/>
      <c r="O116" s="12"/>
      <c r="P116" s="89">
        <v>1036.5</v>
      </c>
      <c r="Q116" s="12"/>
    </row>
    <row r="117" spans="1:17" x14ac:dyDescent="0.2">
      <c r="A117" s="168" t="s">
        <v>82</v>
      </c>
      <c r="B117" s="167"/>
      <c r="C117" s="167"/>
      <c r="D117" s="167"/>
      <c r="E117" s="167"/>
      <c r="F117" s="167"/>
      <c r="G117" s="167"/>
      <c r="H117" s="167"/>
      <c r="I117" s="167"/>
      <c r="J117" s="167"/>
      <c r="K117" s="130">
        <v>5471</v>
      </c>
      <c r="L117" s="12"/>
      <c r="M117" s="12"/>
      <c r="N117" s="12"/>
      <c r="O117" s="12"/>
      <c r="P117" s="12"/>
      <c r="Q117" s="12"/>
    </row>
    <row r="118" spans="1:17" x14ac:dyDescent="0.2">
      <c r="A118" s="168" t="s">
        <v>247</v>
      </c>
      <c r="B118" s="167"/>
      <c r="C118" s="167"/>
      <c r="D118" s="167"/>
      <c r="E118" s="167"/>
      <c r="F118" s="167"/>
      <c r="G118" s="167"/>
      <c r="H118" s="167"/>
      <c r="I118" s="167"/>
      <c r="J118" s="167"/>
      <c r="K118" s="130">
        <v>10189</v>
      </c>
      <c r="L118" s="12"/>
      <c r="M118" s="12"/>
      <c r="N118" s="12"/>
      <c r="O118" s="12"/>
      <c r="P118" s="89">
        <v>285.3</v>
      </c>
      <c r="Q118" s="12"/>
    </row>
    <row r="119" spans="1:17" x14ac:dyDescent="0.2">
      <c r="A119" s="168" t="s">
        <v>41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30">
        <v>94898</v>
      </c>
      <c r="L119" s="12"/>
      <c r="M119" s="12"/>
      <c r="N119" s="12"/>
      <c r="O119" s="12"/>
      <c r="P119" s="89">
        <v>1321.8</v>
      </c>
      <c r="Q119" s="12"/>
    </row>
    <row r="120" spans="1:17" x14ac:dyDescent="0.2">
      <c r="A120" s="168" t="s">
        <v>42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129"/>
      <c r="L120" s="12"/>
      <c r="M120" s="12"/>
      <c r="N120" s="12"/>
      <c r="O120" s="12"/>
      <c r="P120" s="12"/>
      <c r="Q120" s="12"/>
    </row>
    <row r="121" spans="1:17" x14ac:dyDescent="0.2">
      <c r="A121" s="168" t="s">
        <v>43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30">
        <v>40541</v>
      </c>
      <c r="L121" s="12"/>
      <c r="M121" s="12"/>
      <c r="N121" s="12"/>
      <c r="O121" s="12"/>
      <c r="P121" s="12"/>
      <c r="Q121" s="12"/>
    </row>
    <row r="122" spans="1:17" x14ac:dyDescent="0.2">
      <c r="A122" s="168" t="s">
        <v>44</v>
      </c>
      <c r="B122" s="167"/>
      <c r="C122" s="167"/>
      <c r="D122" s="167"/>
      <c r="E122" s="167"/>
      <c r="F122" s="167"/>
      <c r="G122" s="167"/>
      <c r="H122" s="167"/>
      <c r="I122" s="167"/>
      <c r="J122" s="167"/>
      <c r="K122" s="130">
        <f>2178-N93</f>
        <v>1542</v>
      </c>
      <c r="L122" s="12"/>
      <c r="M122" s="12"/>
      <c r="N122" s="12"/>
      <c r="O122" s="12"/>
      <c r="P122" s="12"/>
      <c r="Q122" s="12"/>
    </row>
    <row r="123" spans="1:17" x14ac:dyDescent="0.2">
      <c r="A123" s="168" t="s">
        <v>45</v>
      </c>
      <c r="B123" s="167"/>
      <c r="C123" s="167"/>
      <c r="D123" s="167"/>
      <c r="E123" s="167"/>
      <c r="F123" s="167"/>
      <c r="G123" s="167"/>
      <c r="H123" s="167"/>
      <c r="I123" s="167"/>
      <c r="J123" s="167"/>
      <c r="K123" s="130">
        <v>19886</v>
      </c>
      <c r="L123" s="12"/>
      <c r="M123" s="12"/>
      <c r="N123" s="12"/>
      <c r="O123" s="12"/>
      <c r="P123" s="12"/>
      <c r="Q123" s="12"/>
    </row>
    <row r="124" spans="1:17" x14ac:dyDescent="0.2">
      <c r="A124" s="168" t="s">
        <v>19</v>
      </c>
      <c r="B124" s="167"/>
      <c r="C124" s="167"/>
      <c r="D124" s="167"/>
      <c r="E124" s="167"/>
      <c r="F124" s="167"/>
      <c r="G124" s="167"/>
      <c r="H124" s="167"/>
      <c r="I124" s="167"/>
      <c r="J124" s="167"/>
      <c r="K124" s="130">
        <v>5471</v>
      </c>
      <c r="L124" s="12"/>
      <c r="M124" s="12"/>
      <c r="N124" s="12"/>
      <c r="O124" s="12"/>
      <c r="P124" s="12"/>
      <c r="Q124" s="12"/>
    </row>
    <row r="125" spans="1:17" x14ac:dyDescent="0.2">
      <c r="A125" s="168" t="s">
        <v>46</v>
      </c>
      <c r="B125" s="167"/>
      <c r="C125" s="167"/>
      <c r="D125" s="167"/>
      <c r="E125" s="167"/>
      <c r="F125" s="167"/>
      <c r="G125" s="167"/>
      <c r="H125" s="167"/>
      <c r="I125" s="167"/>
      <c r="J125" s="167"/>
      <c r="K125" s="130">
        <v>16147</v>
      </c>
      <c r="L125" s="12"/>
      <c r="M125" s="12"/>
      <c r="N125" s="12"/>
      <c r="O125" s="12"/>
      <c r="P125" s="12"/>
      <c r="Q125" s="12"/>
    </row>
    <row r="126" spans="1:17" x14ac:dyDescent="0.2">
      <c r="A126" s="168" t="s">
        <v>47</v>
      </c>
      <c r="B126" s="167"/>
      <c r="C126" s="167"/>
      <c r="D126" s="167"/>
      <c r="E126" s="167"/>
      <c r="F126" s="167"/>
      <c r="G126" s="167"/>
      <c r="H126" s="167"/>
      <c r="I126" s="167"/>
      <c r="J126" s="167"/>
      <c r="K126" s="130">
        <v>11311</v>
      </c>
      <c r="L126" s="12"/>
      <c r="M126" s="12"/>
      <c r="N126" s="12"/>
      <c r="O126" s="12"/>
      <c r="P126" s="12"/>
      <c r="Q126" s="12"/>
    </row>
    <row r="127" spans="1:17" x14ac:dyDescent="0.2">
      <c r="A127" s="173" t="s">
        <v>48</v>
      </c>
      <c r="B127" s="167"/>
      <c r="C127" s="167"/>
      <c r="D127" s="167"/>
      <c r="E127" s="167"/>
      <c r="F127" s="167"/>
      <c r="G127" s="167"/>
      <c r="H127" s="167"/>
      <c r="I127" s="167"/>
      <c r="J127" s="167"/>
      <c r="K127" s="131">
        <f>SUM(K121:K126)</f>
        <v>94898</v>
      </c>
      <c r="L127" s="12"/>
      <c r="M127" s="12"/>
      <c r="N127" s="12"/>
      <c r="O127" s="12"/>
      <c r="P127" s="13">
        <v>1321.8</v>
      </c>
      <c r="Q127" s="12"/>
    </row>
    <row r="128" spans="1:17" x14ac:dyDescent="0.2">
      <c r="F128" s="10"/>
      <c r="G128" s="10"/>
      <c r="H128" s="10"/>
      <c r="I128" s="10"/>
      <c r="J128" s="10"/>
      <c r="K128" s="132"/>
      <c r="L128" s="10"/>
      <c r="M128" s="10"/>
      <c r="N128" s="10"/>
      <c r="O128" s="10"/>
      <c r="P128" s="10"/>
      <c r="Q128" s="10"/>
    </row>
    <row r="129" spans="1:19" s="152" customFormat="1" ht="17.25" customHeight="1" x14ac:dyDescent="0.2">
      <c r="A129" s="156"/>
      <c r="B129" s="103" t="s">
        <v>622</v>
      </c>
      <c r="C129" s="103"/>
      <c r="D129" s="103"/>
      <c r="E129" s="103"/>
      <c r="F129" s="103"/>
      <c r="G129" s="103"/>
      <c r="H129" s="103"/>
      <c r="I129" s="103"/>
      <c r="J129" s="103"/>
      <c r="K129" s="158"/>
      <c r="L129" s="103"/>
      <c r="M129" s="103"/>
      <c r="N129" s="155"/>
      <c r="O129" s="155"/>
      <c r="P129" s="154"/>
      <c r="Q129" s="153"/>
      <c r="R129"/>
      <c r="S129"/>
    </row>
    <row r="130" spans="1:19" s="152" customFormat="1" ht="17.25" customHeight="1" x14ac:dyDescent="0.2">
      <c r="A130" s="156"/>
      <c r="B130" s="103"/>
      <c r="C130" s="103"/>
      <c r="D130" s="103"/>
      <c r="E130" s="103"/>
      <c r="F130" s="103"/>
      <c r="G130" s="103"/>
      <c r="H130" s="103"/>
      <c r="I130" s="103"/>
      <c r="J130" s="103"/>
      <c r="K130" s="158"/>
      <c r="L130" s="103"/>
      <c r="M130" s="103"/>
      <c r="N130" s="155"/>
      <c r="O130" s="155"/>
      <c r="P130" s="154"/>
      <c r="Q130" s="153"/>
      <c r="R130"/>
      <c r="S130"/>
    </row>
  </sheetData>
  <mergeCells count="61">
    <mergeCell ref="A30:Q30"/>
    <mergeCell ref="A88:Q88"/>
    <mergeCell ref="A92:J92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127:J127"/>
    <mergeCell ref="J14:K14"/>
    <mergeCell ref="J18:K18"/>
    <mergeCell ref="J19:K19"/>
    <mergeCell ref="J17:K17"/>
    <mergeCell ref="J16:K16"/>
    <mergeCell ref="A109:J109"/>
    <mergeCell ref="A110:J110"/>
    <mergeCell ref="A123:J123"/>
    <mergeCell ref="A112:J112"/>
    <mergeCell ref="A113:J113"/>
    <mergeCell ref="A114:J114"/>
    <mergeCell ref="A115:J115"/>
    <mergeCell ref="A116:J116"/>
    <mergeCell ref="A117:J117"/>
    <mergeCell ref="A111:J111"/>
    <mergeCell ref="A122:J122"/>
    <mergeCell ref="E1:I1"/>
    <mergeCell ref="A124:J124"/>
    <mergeCell ref="A125:J125"/>
    <mergeCell ref="A126:J126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93:J93"/>
    <mergeCell ref="A94:J94"/>
    <mergeCell ref="J15:K15"/>
    <mergeCell ref="A118:J118"/>
    <mergeCell ref="A119:J119"/>
    <mergeCell ref="A120:J120"/>
    <mergeCell ref="A121:J121"/>
    <mergeCell ref="A95:J95"/>
    <mergeCell ref="A96:J96"/>
    <mergeCell ref="A97:J97"/>
    <mergeCell ref="A98:J98"/>
    <mergeCell ref="A23:A25"/>
    <mergeCell ref="C23:C25"/>
    <mergeCell ref="D23:D25"/>
    <mergeCell ref="E23:E25"/>
    <mergeCell ref="B23:B25"/>
    <mergeCell ref="A99:J99"/>
    <mergeCell ref="A27:Q27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0"/>
  <sheetViews>
    <sheetView showGridLines="0" topLeftCell="A88" zoomScaleNormal="100" zoomScaleSheetLayoutView="75" workbookViewId="0">
      <selection activeCell="E10" sqref="E10"/>
    </sheetView>
  </sheetViews>
  <sheetFormatPr defaultColWidth="9.140625" defaultRowHeight="12.75" outlineLevelRow="2" x14ac:dyDescent="0.2"/>
  <cols>
    <col min="1" max="1" width="3.28515625" style="11" customWidth="1"/>
    <col min="2" max="2" width="16.140625" style="1" customWidth="1"/>
    <col min="3" max="3" width="34.28515625" style="8" customWidth="1"/>
    <col min="4" max="4" width="7.7109375" style="7" customWidth="1"/>
    <col min="5" max="5" width="9.14062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9.57031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outlineLevel="1" x14ac:dyDescent="0.2">
      <c r="A6" s="99"/>
      <c r="B6" s="102"/>
      <c r="C6" s="100"/>
      <c r="D6" s="4"/>
      <c r="E6" s="98"/>
      <c r="F6" s="98"/>
      <c r="G6" s="121" t="s">
        <v>432</v>
      </c>
      <c r="H6" s="121"/>
      <c r="I6" s="121"/>
      <c r="J6" s="98"/>
      <c r="K6" s="125"/>
      <c r="L6" s="98"/>
      <c r="M6" s="98"/>
      <c r="N6" s="98"/>
      <c r="O6" s="98"/>
      <c r="P6" s="98"/>
    </row>
    <row r="7" spans="1:18" x14ac:dyDescent="0.2">
      <c r="A7" s="99"/>
      <c r="B7" s="102"/>
      <c r="C7" s="100"/>
      <c r="D7" s="4"/>
      <c r="E7" s="98"/>
      <c r="F7" s="98"/>
      <c r="G7" s="99" t="s">
        <v>376</v>
      </c>
      <c r="H7" s="99"/>
      <c r="I7" s="99"/>
      <c r="J7" s="98"/>
      <c r="K7" s="125"/>
      <c r="L7" s="98"/>
      <c r="M7" s="98"/>
      <c r="N7" s="98"/>
      <c r="O7" s="98"/>
      <c r="P7" s="98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 t="s">
        <v>22</v>
      </c>
      <c r="D9" s="140" t="s">
        <v>734</v>
      </c>
      <c r="E9" s="139"/>
      <c r="F9" s="118"/>
      <c r="G9" s="118"/>
      <c r="H9" s="138"/>
      <c r="I9" s="118"/>
      <c r="J9" s="118"/>
      <c r="K9" s="126"/>
      <c r="L9" s="118"/>
      <c r="M9" s="98"/>
      <c r="N9" s="98"/>
      <c r="O9" s="98"/>
      <c r="P9" s="98"/>
      <c r="Q9" s="98"/>
    </row>
    <row r="10" spans="1:18" x14ac:dyDescent="0.2">
      <c r="A10" s="99"/>
      <c r="B10" s="102"/>
      <c r="C10" s="117"/>
      <c r="D10" s="137"/>
      <c r="E10" s="142" t="s">
        <v>431</v>
      </c>
      <c r="F10" s="142"/>
      <c r="G10" s="142"/>
      <c r="H10" s="142"/>
      <c r="I10" s="142"/>
      <c r="J10" s="142"/>
      <c r="K10" s="127"/>
      <c r="L10" s="113"/>
      <c r="M10" s="98"/>
      <c r="N10" s="98"/>
      <c r="O10" s="98"/>
      <c r="P10" s="98"/>
      <c r="Q10" s="98"/>
    </row>
    <row r="11" spans="1:18" x14ac:dyDescent="0.2">
      <c r="A11" s="99"/>
      <c r="B11" s="102"/>
      <c r="C11" s="101"/>
      <c r="D11" s="100"/>
      <c r="E11" s="116"/>
      <c r="F11" s="114"/>
      <c r="G11" s="114"/>
      <c r="H11" s="115" t="s">
        <v>149</v>
      </c>
      <c r="I11" s="115"/>
      <c r="J11" s="114"/>
      <c r="K11" s="127"/>
      <c r="L11" s="98"/>
      <c r="M11" s="98"/>
      <c r="N11" s="98"/>
      <c r="O11" s="98"/>
      <c r="P11" s="98"/>
      <c r="Q11" s="98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430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429</v>
      </c>
      <c r="K14" s="176"/>
      <c r="L14" s="5" t="s">
        <v>139</v>
      </c>
      <c r="M14" s="98"/>
      <c r="N14" s="109" t="s">
        <v>145</v>
      </c>
      <c r="O14" s="108"/>
      <c r="P14" s="107">
        <f>P15+P16+P17</f>
        <v>275.07785999999999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428</v>
      </c>
      <c r="K15" s="176"/>
      <c r="L15" s="5" t="s">
        <v>139</v>
      </c>
      <c r="M15" s="98"/>
      <c r="N15" s="109" t="s">
        <v>138</v>
      </c>
      <c r="O15" s="108"/>
      <c r="P15" s="107">
        <f>5.56*37.979</f>
        <v>211.16323999999997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427</v>
      </c>
      <c r="K16" s="176"/>
      <c r="L16" s="5" t="s">
        <v>139</v>
      </c>
      <c r="M16" s="98"/>
      <c r="N16" s="109" t="s">
        <v>370</v>
      </c>
      <c r="O16" s="108"/>
      <c r="P16" s="107">
        <f>9.32*4.44</f>
        <v>41.380800000000008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426</v>
      </c>
      <c r="K17" s="176"/>
      <c r="L17" s="5" t="s">
        <v>139</v>
      </c>
      <c r="M17" s="98"/>
      <c r="N17" s="109" t="s">
        <v>142</v>
      </c>
      <c r="O17" s="108"/>
      <c r="P17" s="107">
        <f>4.19*5.378</f>
        <v>22.533820000000002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425</v>
      </c>
      <c r="K18" s="176"/>
      <c r="L18" s="5" t="s">
        <v>139</v>
      </c>
      <c r="M18" s="98"/>
      <c r="N18" s="109" t="s">
        <v>138</v>
      </c>
      <c r="O18" s="108"/>
      <c r="P18" s="107">
        <f>5.56*10.461</f>
        <v>58.163159999999998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424</v>
      </c>
      <c r="K19" s="176"/>
      <c r="L19" s="5" t="s">
        <v>50</v>
      </c>
      <c r="M19" s="98"/>
      <c r="N19" s="98"/>
      <c r="O19" s="98"/>
      <c r="P19" s="98"/>
    </row>
    <row r="20" spans="1:17" s="135" customFormat="1" outlineLevel="1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K113/1000</f>
        <v>16.291</v>
      </c>
      <c r="L20" s="95" t="s">
        <v>365</v>
      </c>
      <c r="M20" s="96"/>
      <c r="N20" s="109" t="s">
        <v>138</v>
      </c>
      <c r="O20" s="136"/>
      <c r="P20" s="107">
        <f>K20*5.56</f>
        <v>90.57795999999999</v>
      </c>
    </row>
    <row r="21" spans="1:17" customFormat="1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x14ac:dyDescent="0.2">
      <c r="A27" s="166" t="s">
        <v>123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24" x14ac:dyDescent="0.2">
      <c r="A28" s="6">
        <v>1</v>
      </c>
      <c r="B28" s="92" t="s">
        <v>106</v>
      </c>
      <c r="C28" s="146" t="s">
        <v>364</v>
      </c>
      <c r="D28" s="91" t="s">
        <v>33</v>
      </c>
      <c r="E28" s="97">
        <v>1</v>
      </c>
      <c r="F28" s="12"/>
      <c r="G28" s="12"/>
      <c r="H28" s="12"/>
      <c r="I28" s="12"/>
      <c r="J28" s="12">
        <v>2880</v>
      </c>
      <c r="K28" s="129">
        <v>2880</v>
      </c>
      <c r="L28" s="12"/>
      <c r="M28" s="12"/>
      <c r="N28" s="12"/>
      <c r="O28" s="12"/>
      <c r="P28" s="12"/>
      <c r="Q28" s="12"/>
    </row>
    <row r="29" spans="1:17" ht="36" x14ac:dyDescent="0.2">
      <c r="A29" s="6">
        <v>2</v>
      </c>
      <c r="B29" s="92" t="s">
        <v>363</v>
      </c>
      <c r="C29" s="146" t="s">
        <v>362</v>
      </c>
      <c r="D29" s="91" t="s">
        <v>29</v>
      </c>
      <c r="E29" s="97">
        <v>1</v>
      </c>
      <c r="F29" s="89">
        <v>117.52</v>
      </c>
      <c r="G29" s="89">
        <v>102.02</v>
      </c>
      <c r="H29" s="89">
        <v>0.46</v>
      </c>
      <c r="I29" s="12"/>
      <c r="J29" s="12"/>
      <c r="K29" s="129">
        <v>118</v>
      </c>
      <c r="L29" s="12">
        <v>102</v>
      </c>
      <c r="M29" s="12"/>
      <c r="N29" s="12"/>
      <c r="O29" s="12">
        <v>7.2</v>
      </c>
      <c r="P29" s="12">
        <v>7.2</v>
      </c>
      <c r="Q29" s="12"/>
    </row>
    <row r="30" spans="1:17" x14ac:dyDescent="0.2">
      <c r="A30" s="6">
        <v>3</v>
      </c>
      <c r="B30" s="92" t="s">
        <v>106</v>
      </c>
      <c r="C30" s="146" t="s">
        <v>423</v>
      </c>
      <c r="D30" s="91" t="s">
        <v>30</v>
      </c>
      <c r="E30" s="97">
        <v>1</v>
      </c>
      <c r="F30" s="89">
        <v>60.82</v>
      </c>
      <c r="G30" s="12"/>
      <c r="H30" s="12"/>
      <c r="I30" s="12"/>
      <c r="J30" s="12"/>
      <c r="K30" s="129">
        <v>61</v>
      </c>
      <c r="L30" s="12"/>
      <c r="M30" s="12"/>
      <c r="N30" s="12"/>
      <c r="O30" s="12"/>
      <c r="P30" s="12"/>
      <c r="Q30" s="12"/>
    </row>
    <row r="31" spans="1:17" ht="24" x14ac:dyDescent="0.2">
      <c r="A31" s="6">
        <v>4</v>
      </c>
      <c r="B31" s="92" t="s">
        <v>106</v>
      </c>
      <c r="C31" s="146" t="s">
        <v>422</v>
      </c>
      <c r="D31" s="91" t="s">
        <v>29</v>
      </c>
      <c r="E31" s="97">
        <v>1</v>
      </c>
      <c r="F31" s="12"/>
      <c r="G31" s="12"/>
      <c r="H31" s="12"/>
      <c r="I31" s="12"/>
      <c r="J31" s="12">
        <v>642</v>
      </c>
      <c r="K31" s="129">
        <v>642</v>
      </c>
      <c r="L31" s="12"/>
      <c r="M31" s="12"/>
      <c r="N31" s="12"/>
      <c r="O31" s="12"/>
      <c r="P31" s="12"/>
      <c r="Q31" s="12"/>
    </row>
    <row r="32" spans="1:17" ht="24" x14ac:dyDescent="0.2">
      <c r="A32" s="6">
        <v>5</v>
      </c>
      <c r="B32" s="92" t="s">
        <v>360</v>
      </c>
      <c r="C32" s="146" t="s">
        <v>359</v>
      </c>
      <c r="D32" s="91" t="s">
        <v>29</v>
      </c>
      <c r="E32" s="97">
        <v>1</v>
      </c>
      <c r="F32" s="89">
        <v>256.7</v>
      </c>
      <c r="G32" s="89">
        <v>157.76</v>
      </c>
      <c r="H32" s="89">
        <v>33.83</v>
      </c>
      <c r="I32" s="89">
        <v>6.87</v>
      </c>
      <c r="J32" s="12"/>
      <c r="K32" s="129">
        <v>257</v>
      </c>
      <c r="L32" s="12">
        <v>158</v>
      </c>
      <c r="M32" s="12">
        <v>34</v>
      </c>
      <c r="N32" s="12">
        <v>7</v>
      </c>
      <c r="O32" s="12">
        <v>10.1</v>
      </c>
      <c r="P32" s="12">
        <v>10.1</v>
      </c>
      <c r="Q32" s="12"/>
    </row>
    <row r="33" spans="1:17" ht="24" x14ac:dyDescent="0.2">
      <c r="A33" s="6">
        <v>6</v>
      </c>
      <c r="B33" s="92" t="s">
        <v>106</v>
      </c>
      <c r="C33" s="146" t="s">
        <v>357</v>
      </c>
      <c r="D33" s="91" t="s">
        <v>33</v>
      </c>
      <c r="E33" s="90">
        <v>6</v>
      </c>
      <c r="F33" s="12"/>
      <c r="G33" s="12"/>
      <c r="H33" s="12"/>
      <c r="I33" s="12"/>
      <c r="J33" s="12">
        <v>716</v>
      </c>
      <c r="K33" s="129">
        <v>716</v>
      </c>
      <c r="L33" s="12"/>
      <c r="M33" s="12"/>
      <c r="N33" s="12"/>
      <c r="O33" s="12"/>
      <c r="P33" s="12"/>
      <c r="Q33" s="12"/>
    </row>
    <row r="34" spans="1:17" ht="24" x14ac:dyDescent="0.2">
      <c r="A34" s="6">
        <v>7</v>
      </c>
      <c r="B34" s="92" t="s">
        <v>106</v>
      </c>
      <c r="C34" s="146" t="s">
        <v>356</v>
      </c>
      <c r="D34" s="91" t="s">
        <v>33</v>
      </c>
      <c r="E34" s="90">
        <v>2</v>
      </c>
      <c r="F34" s="12"/>
      <c r="G34" s="12"/>
      <c r="H34" s="12"/>
      <c r="I34" s="12"/>
      <c r="J34" s="12">
        <v>465</v>
      </c>
      <c r="K34" s="129">
        <v>465</v>
      </c>
      <c r="L34" s="12"/>
      <c r="M34" s="12"/>
      <c r="N34" s="12"/>
      <c r="O34" s="12"/>
      <c r="P34" s="12"/>
      <c r="Q34" s="12"/>
    </row>
    <row r="35" spans="1:17" ht="24" x14ac:dyDescent="0.2">
      <c r="A35" s="6">
        <v>8</v>
      </c>
      <c r="B35" s="92" t="s">
        <v>106</v>
      </c>
      <c r="C35" s="146" t="s">
        <v>354</v>
      </c>
      <c r="D35" s="91" t="s">
        <v>33</v>
      </c>
      <c r="E35" s="97">
        <v>1</v>
      </c>
      <c r="F35" s="12"/>
      <c r="G35" s="12"/>
      <c r="H35" s="12"/>
      <c r="I35" s="12"/>
      <c r="J35" s="12">
        <v>233</v>
      </c>
      <c r="K35" s="129">
        <v>233</v>
      </c>
      <c r="L35" s="12"/>
      <c r="M35" s="12"/>
      <c r="N35" s="12"/>
      <c r="O35" s="12"/>
      <c r="P35" s="12"/>
      <c r="Q35" s="12"/>
    </row>
    <row r="36" spans="1:17" ht="24" x14ac:dyDescent="0.2">
      <c r="A36" s="6">
        <v>9</v>
      </c>
      <c r="B36" s="92" t="s">
        <v>327</v>
      </c>
      <c r="C36" s="146" t="s">
        <v>421</v>
      </c>
      <c r="D36" s="91" t="s">
        <v>29</v>
      </c>
      <c r="E36" s="90">
        <v>7</v>
      </c>
      <c r="F36" s="89">
        <v>86.32</v>
      </c>
      <c r="G36" s="89">
        <v>78.05</v>
      </c>
      <c r="H36" s="89">
        <v>0.37</v>
      </c>
      <c r="I36" s="12"/>
      <c r="J36" s="12"/>
      <c r="K36" s="129">
        <v>604</v>
      </c>
      <c r="L36" s="12">
        <v>546</v>
      </c>
      <c r="M36" s="12">
        <v>3</v>
      </c>
      <c r="N36" s="12"/>
      <c r="O36" s="12">
        <v>5.76</v>
      </c>
      <c r="P36" s="12">
        <v>40.32</v>
      </c>
      <c r="Q36" s="12"/>
    </row>
    <row r="37" spans="1:17" ht="24" x14ac:dyDescent="0.2">
      <c r="A37" s="6">
        <v>10</v>
      </c>
      <c r="B37" s="92" t="s">
        <v>106</v>
      </c>
      <c r="C37" s="146" t="s">
        <v>352</v>
      </c>
      <c r="D37" s="91" t="s">
        <v>33</v>
      </c>
      <c r="E37" s="90">
        <v>21</v>
      </c>
      <c r="F37" s="89">
        <v>90.69</v>
      </c>
      <c r="G37" s="12"/>
      <c r="H37" s="12"/>
      <c r="I37" s="12"/>
      <c r="J37" s="12"/>
      <c r="K37" s="129">
        <v>1904</v>
      </c>
      <c r="L37" s="12"/>
      <c r="M37" s="12"/>
      <c r="N37" s="12"/>
      <c r="O37" s="12"/>
      <c r="P37" s="12"/>
      <c r="Q37" s="12"/>
    </row>
    <row r="38" spans="1:17" ht="48" x14ac:dyDescent="0.2">
      <c r="A38" s="6">
        <v>11</v>
      </c>
      <c r="B38" s="92" t="s">
        <v>351</v>
      </c>
      <c r="C38" s="146" t="s">
        <v>350</v>
      </c>
      <c r="D38" s="91" t="s">
        <v>29</v>
      </c>
      <c r="E38" s="97">
        <v>19</v>
      </c>
      <c r="F38" s="89">
        <v>28.38</v>
      </c>
      <c r="G38" s="89">
        <v>22.76</v>
      </c>
      <c r="H38" s="89">
        <v>0.46</v>
      </c>
      <c r="I38" s="12"/>
      <c r="J38" s="12"/>
      <c r="K38" s="129">
        <v>539</v>
      </c>
      <c r="L38" s="12">
        <v>432</v>
      </c>
      <c r="M38" s="12">
        <v>9</v>
      </c>
      <c r="N38" s="12"/>
      <c r="O38" s="12">
        <v>1.68</v>
      </c>
      <c r="P38" s="12">
        <v>31.92</v>
      </c>
      <c r="Q38" s="12"/>
    </row>
    <row r="39" spans="1:17" ht="24" x14ac:dyDescent="0.2">
      <c r="A39" s="6">
        <v>12</v>
      </c>
      <c r="B39" s="92" t="s">
        <v>106</v>
      </c>
      <c r="C39" s="146" t="s">
        <v>338</v>
      </c>
      <c r="D39" s="91" t="s">
        <v>33</v>
      </c>
      <c r="E39" s="90">
        <v>6</v>
      </c>
      <c r="F39" s="89">
        <v>26.21</v>
      </c>
      <c r="G39" s="12"/>
      <c r="H39" s="12"/>
      <c r="I39" s="12"/>
      <c r="J39" s="12"/>
      <c r="K39" s="129">
        <v>157</v>
      </c>
      <c r="L39" s="12"/>
      <c r="M39" s="12"/>
      <c r="N39" s="12"/>
      <c r="O39" s="12"/>
      <c r="P39" s="12"/>
      <c r="Q39" s="12"/>
    </row>
    <row r="40" spans="1:17" x14ac:dyDescent="0.2">
      <c r="A40" s="6">
        <v>13</v>
      </c>
      <c r="B40" s="92" t="s">
        <v>333</v>
      </c>
      <c r="C40" s="146" t="s">
        <v>337</v>
      </c>
      <c r="D40" s="91" t="s">
        <v>29</v>
      </c>
      <c r="E40" s="97">
        <v>5</v>
      </c>
      <c r="F40" s="89">
        <v>13.89</v>
      </c>
      <c r="G40" s="89">
        <v>12.78</v>
      </c>
      <c r="H40" s="12"/>
      <c r="I40" s="12"/>
      <c r="J40" s="12"/>
      <c r="K40" s="129">
        <v>69</v>
      </c>
      <c r="L40" s="12">
        <v>64</v>
      </c>
      <c r="M40" s="12"/>
      <c r="N40" s="12"/>
      <c r="O40" s="12">
        <v>1</v>
      </c>
      <c r="P40" s="12">
        <v>5</v>
      </c>
      <c r="Q40" s="12"/>
    </row>
    <row r="41" spans="1:17" ht="24" x14ac:dyDescent="0.2">
      <c r="A41" s="6">
        <v>14</v>
      </c>
      <c r="B41" s="92" t="s">
        <v>106</v>
      </c>
      <c r="C41" s="146" t="s">
        <v>336</v>
      </c>
      <c r="D41" s="91" t="s">
        <v>33</v>
      </c>
      <c r="E41" s="90">
        <v>10</v>
      </c>
      <c r="F41" s="89">
        <v>25.15</v>
      </c>
      <c r="G41" s="12"/>
      <c r="H41" s="12"/>
      <c r="I41" s="12"/>
      <c r="J41" s="12"/>
      <c r="K41" s="129">
        <v>252</v>
      </c>
      <c r="L41" s="12"/>
      <c r="M41" s="12"/>
      <c r="N41" s="12"/>
      <c r="O41" s="12"/>
      <c r="P41" s="12"/>
      <c r="Q41" s="12"/>
    </row>
    <row r="42" spans="1:17" x14ac:dyDescent="0.2">
      <c r="A42" s="6">
        <v>15</v>
      </c>
      <c r="B42" s="92" t="s">
        <v>330</v>
      </c>
      <c r="C42" s="146" t="s">
        <v>335</v>
      </c>
      <c r="D42" s="91" t="s">
        <v>29</v>
      </c>
      <c r="E42" s="97">
        <v>9</v>
      </c>
      <c r="F42" s="89">
        <v>98.76</v>
      </c>
      <c r="G42" s="89">
        <v>74.88</v>
      </c>
      <c r="H42" s="12"/>
      <c r="I42" s="12"/>
      <c r="J42" s="12"/>
      <c r="K42" s="129">
        <v>889</v>
      </c>
      <c r="L42" s="12">
        <v>674</v>
      </c>
      <c r="M42" s="12"/>
      <c r="N42" s="12"/>
      <c r="O42" s="12">
        <v>6</v>
      </c>
      <c r="P42" s="12">
        <v>54</v>
      </c>
      <c r="Q42" s="12"/>
    </row>
    <row r="43" spans="1:17" ht="24" x14ac:dyDescent="0.2">
      <c r="A43" s="6">
        <v>16</v>
      </c>
      <c r="B43" s="92" t="s">
        <v>106</v>
      </c>
      <c r="C43" s="146" t="s">
        <v>420</v>
      </c>
      <c r="D43" s="91" t="s">
        <v>33</v>
      </c>
      <c r="E43" s="90">
        <v>9</v>
      </c>
      <c r="F43" s="89">
        <v>79.260000000000005</v>
      </c>
      <c r="G43" s="12"/>
      <c r="H43" s="12"/>
      <c r="I43" s="12"/>
      <c r="J43" s="12"/>
      <c r="K43" s="129">
        <v>713</v>
      </c>
      <c r="L43" s="12"/>
      <c r="M43" s="12"/>
      <c r="N43" s="12"/>
      <c r="O43" s="12"/>
      <c r="P43" s="12"/>
      <c r="Q43" s="12"/>
    </row>
    <row r="44" spans="1:17" ht="24" x14ac:dyDescent="0.2">
      <c r="A44" s="6">
        <v>17</v>
      </c>
      <c r="B44" s="92" t="s">
        <v>106</v>
      </c>
      <c r="C44" s="146" t="s">
        <v>419</v>
      </c>
      <c r="D44" s="91" t="s">
        <v>33</v>
      </c>
      <c r="E44" s="90">
        <v>9</v>
      </c>
      <c r="F44" s="89">
        <v>44.76</v>
      </c>
      <c r="G44" s="12"/>
      <c r="H44" s="12"/>
      <c r="I44" s="12"/>
      <c r="J44" s="12"/>
      <c r="K44" s="129">
        <v>403</v>
      </c>
      <c r="L44" s="12"/>
      <c r="M44" s="12"/>
      <c r="N44" s="12"/>
      <c r="O44" s="12"/>
      <c r="P44" s="12"/>
      <c r="Q44" s="12"/>
    </row>
    <row r="45" spans="1:17" x14ac:dyDescent="0.2">
      <c r="A45" s="6">
        <v>18</v>
      </c>
      <c r="B45" s="92" t="s">
        <v>333</v>
      </c>
      <c r="C45" s="146" t="s">
        <v>332</v>
      </c>
      <c r="D45" s="91" t="s">
        <v>29</v>
      </c>
      <c r="E45" s="90">
        <v>16</v>
      </c>
      <c r="F45" s="89">
        <v>13.89</v>
      </c>
      <c r="G45" s="89">
        <v>12.78</v>
      </c>
      <c r="H45" s="12"/>
      <c r="I45" s="12"/>
      <c r="J45" s="12"/>
      <c r="K45" s="129">
        <v>222</v>
      </c>
      <c r="L45" s="12">
        <v>204</v>
      </c>
      <c r="M45" s="12"/>
      <c r="N45" s="12"/>
      <c r="O45" s="12">
        <v>1</v>
      </c>
      <c r="P45" s="12">
        <v>16</v>
      </c>
      <c r="Q45" s="12"/>
    </row>
    <row r="46" spans="1:17" ht="24" x14ac:dyDescent="0.2">
      <c r="A46" s="6">
        <v>19</v>
      </c>
      <c r="B46" s="92" t="s">
        <v>106</v>
      </c>
      <c r="C46" s="146" t="s">
        <v>328</v>
      </c>
      <c r="D46" s="91" t="s">
        <v>33</v>
      </c>
      <c r="E46" s="97">
        <v>3</v>
      </c>
      <c r="F46" s="12"/>
      <c r="G46" s="12"/>
      <c r="H46" s="12"/>
      <c r="I46" s="12"/>
      <c r="J46" s="12">
        <v>116</v>
      </c>
      <c r="K46" s="129">
        <v>116</v>
      </c>
      <c r="L46" s="12"/>
      <c r="M46" s="12"/>
      <c r="N46" s="12"/>
      <c r="O46" s="12"/>
      <c r="P46" s="12"/>
      <c r="Q46" s="12"/>
    </row>
    <row r="47" spans="1:17" ht="24" x14ac:dyDescent="0.2">
      <c r="A47" s="6">
        <v>20</v>
      </c>
      <c r="B47" s="92" t="s">
        <v>327</v>
      </c>
      <c r="C47" s="146" t="s">
        <v>326</v>
      </c>
      <c r="D47" s="91" t="s">
        <v>29</v>
      </c>
      <c r="E47" s="97">
        <v>3</v>
      </c>
      <c r="F47" s="89">
        <v>86.32</v>
      </c>
      <c r="G47" s="89">
        <v>78.05</v>
      </c>
      <c r="H47" s="89">
        <v>0.37</v>
      </c>
      <c r="I47" s="12"/>
      <c r="J47" s="12"/>
      <c r="K47" s="129">
        <v>259</v>
      </c>
      <c r="L47" s="12">
        <v>234</v>
      </c>
      <c r="M47" s="12">
        <v>1</v>
      </c>
      <c r="N47" s="12"/>
      <c r="O47" s="12">
        <v>5.76</v>
      </c>
      <c r="P47" s="12">
        <v>17.28</v>
      </c>
      <c r="Q47" s="12"/>
    </row>
    <row r="48" spans="1:17" ht="24" x14ac:dyDescent="0.2">
      <c r="A48" s="6">
        <v>21</v>
      </c>
      <c r="B48" s="92" t="s">
        <v>106</v>
      </c>
      <c r="C48" s="146" t="s">
        <v>325</v>
      </c>
      <c r="D48" s="91" t="s">
        <v>33</v>
      </c>
      <c r="E48" s="97">
        <v>1</v>
      </c>
      <c r="F48" s="12"/>
      <c r="G48" s="12"/>
      <c r="H48" s="12"/>
      <c r="I48" s="12"/>
      <c r="J48" s="12">
        <v>107</v>
      </c>
      <c r="K48" s="129">
        <v>107</v>
      </c>
      <c r="L48" s="12"/>
      <c r="M48" s="12"/>
      <c r="N48" s="12"/>
      <c r="O48" s="12"/>
      <c r="P48" s="12"/>
      <c r="Q48" s="12"/>
    </row>
    <row r="49" spans="1:17" ht="24" x14ac:dyDescent="0.2">
      <c r="A49" s="6">
        <v>22</v>
      </c>
      <c r="B49" s="92" t="s">
        <v>324</v>
      </c>
      <c r="C49" s="146" t="s">
        <v>323</v>
      </c>
      <c r="D49" s="91" t="s">
        <v>29</v>
      </c>
      <c r="E49" s="97">
        <v>1</v>
      </c>
      <c r="F49" s="89">
        <v>59.97</v>
      </c>
      <c r="G49" s="89">
        <v>51.77</v>
      </c>
      <c r="H49" s="89">
        <v>0.37</v>
      </c>
      <c r="I49" s="12"/>
      <c r="J49" s="12"/>
      <c r="K49" s="129">
        <v>60</v>
      </c>
      <c r="L49" s="12">
        <v>52</v>
      </c>
      <c r="M49" s="12"/>
      <c r="N49" s="12"/>
      <c r="O49" s="12">
        <v>3.6</v>
      </c>
      <c r="P49" s="12">
        <v>3.6</v>
      </c>
      <c r="Q49" s="12"/>
    </row>
    <row r="50" spans="1:17" ht="19.149999999999999" customHeight="1" x14ac:dyDescent="0.2">
      <c r="A50" s="6">
        <v>23</v>
      </c>
      <c r="B50" s="92" t="s">
        <v>308</v>
      </c>
      <c r="C50" s="146" t="s">
        <v>307</v>
      </c>
      <c r="D50" s="91" t="s">
        <v>30</v>
      </c>
      <c r="E50" s="90">
        <v>35</v>
      </c>
      <c r="F50" s="89">
        <v>1.19</v>
      </c>
      <c r="G50" s="12"/>
      <c r="H50" s="12"/>
      <c r="I50" s="12"/>
      <c r="J50" s="12"/>
      <c r="K50" s="129">
        <v>42</v>
      </c>
      <c r="L50" s="12"/>
      <c r="M50" s="12"/>
      <c r="N50" s="12"/>
      <c r="O50" s="12"/>
      <c r="P50" s="12"/>
      <c r="Q50" s="12"/>
    </row>
    <row r="51" spans="1:17" ht="19.149999999999999" customHeight="1" x14ac:dyDescent="0.2">
      <c r="A51" s="6">
        <v>24</v>
      </c>
      <c r="B51" s="92" t="s">
        <v>306</v>
      </c>
      <c r="C51" s="146" t="s">
        <v>305</v>
      </c>
      <c r="D51" s="91" t="s">
        <v>29</v>
      </c>
      <c r="E51" s="90">
        <v>31</v>
      </c>
      <c r="F51" s="89">
        <v>8.41</v>
      </c>
      <c r="G51" s="89">
        <v>7.26</v>
      </c>
      <c r="H51" s="12"/>
      <c r="I51" s="12"/>
      <c r="J51" s="12"/>
      <c r="K51" s="129">
        <v>261</v>
      </c>
      <c r="L51" s="12">
        <v>225</v>
      </c>
      <c r="M51" s="12"/>
      <c r="N51" s="12"/>
      <c r="O51" s="12">
        <v>0.52</v>
      </c>
      <c r="P51" s="12">
        <v>16.12</v>
      </c>
      <c r="Q51" s="12"/>
    </row>
    <row r="52" spans="1:17" ht="60" x14ac:dyDescent="0.2">
      <c r="A52" s="6">
        <v>25</v>
      </c>
      <c r="B52" s="92" t="s">
        <v>418</v>
      </c>
      <c r="C52" s="146" t="s">
        <v>417</v>
      </c>
      <c r="D52" s="91" t="s">
        <v>34</v>
      </c>
      <c r="E52" s="90">
        <v>0.2</v>
      </c>
      <c r="F52" s="89">
        <v>4032.86</v>
      </c>
      <c r="G52" s="89">
        <v>683.7</v>
      </c>
      <c r="H52" s="89">
        <v>957.86</v>
      </c>
      <c r="I52" s="89">
        <v>390.47</v>
      </c>
      <c r="J52" s="12"/>
      <c r="K52" s="129">
        <v>807</v>
      </c>
      <c r="L52" s="12">
        <v>137</v>
      </c>
      <c r="M52" s="12">
        <v>192</v>
      </c>
      <c r="N52" s="12">
        <v>78</v>
      </c>
      <c r="O52" s="12">
        <v>51.6</v>
      </c>
      <c r="P52" s="12">
        <v>10.32</v>
      </c>
      <c r="Q52" s="12"/>
    </row>
    <row r="53" spans="1:17" ht="72" x14ac:dyDescent="0.2">
      <c r="A53" s="6">
        <v>26</v>
      </c>
      <c r="B53" s="92" t="s">
        <v>315</v>
      </c>
      <c r="C53" s="146" t="s">
        <v>314</v>
      </c>
      <c r="D53" s="91" t="s">
        <v>31</v>
      </c>
      <c r="E53" s="90">
        <v>0.22</v>
      </c>
      <c r="F53" s="89">
        <v>6962.8</v>
      </c>
      <c r="G53" s="12"/>
      <c r="H53" s="12"/>
      <c r="I53" s="12"/>
      <c r="J53" s="12"/>
      <c r="K53" s="129">
        <v>1532</v>
      </c>
      <c r="L53" s="12"/>
      <c r="M53" s="12"/>
      <c r="N53" s="12"/>
      <c r="O53" s="12"/>
      <c r="P53" s="12"/>
      <c r="Q53" s="12"/>
    </row>
    <row r="54" spans="1:17" ht="36" x14ac:dyDescent="0.2">
      <c r="A54" s="6">
        <v>27</v>
      </c>
      <c r="B54" s="92" t="s">
        <v>106</v>
      </c>
      <c r="C54" s="146" t="s">
        <v>416</v>
      </c>
      <c r="D54" s="91" t="s">
        <v>320</v>
      </c>
      <c r="E54" s="90">
        <v>0.27500000000000002</v>
      </c>
      <c r="F54" s="89">
        <v>2667.36</v>
      </c>
      <c r="G54" s="12"/>
      <c r="H54" s="12"/>
      <c r="I54" s="12"/>
      <c r="J54" s="12"/>
      <c r="K54" s="129">
        <v>734</v>
      </c>
      <c r="L54" s="12"/>
      <c r="M54" s="12"/>
      <c r="N54" s="12"/>
      <c r="O54" s="12"/>
      <c r="P54" s="12"/>
      <c r="Q54" s="12"/>
    </row>
    <row r="55" spans="1:17" ht="24" x14ac:dyDescent="0.2">
      <c r="A55" s="6">
        <v>28</v>
      </c>
      <c r="B55" s="92" t="s">
        <v>106</v>
      </c>
      <c r="C55" s="146" t="s">
        <v>415</v>
      </c>
      <c r="D55" s="91" t="s">
        <v>31</v>
      </c>
      <c r="E55" s="90">
        <v>5.5E-2</v>
      </c>
      <c r="F55" s="89">
        <v>4575.3599999999997</v>
      </c>
      <c r="G55" s="12"/>
      <c r="H55" s="12"/>
      <c r="I55" s="12"/>
      <c r="J55" s="12"/>
      <c r="K55" s="129">
        <v>252</v>
      </c>
      <c r="L55" s="12"/>
      <c r="M55" s="12"/>
      <c r="N55" s="12"/>
      <c r="O55" s="12"/>
      <c r="P55" s="12"/>
      <c r="Q55" s="12"/>
    </row>
    <row r="56" spans="1:17" ht="24" x14ac:dyDescent="0.2">
      <c r="A56" s="6">
        <v>29</v>
      </c>
      <c r="B56" s="92" t="s">
        <v>106</v>
      </c>
      <c r="C56" s="146" t="s">
        <v>414</v>
      </c>
      <c r="D56" s="91" t="s">
        <v>31</v>
      </c>
      <c r="E56" s="90">
        <v>0.50600000000000001</v>
      </c>
      <c r="F56" s="89">
        <v>7459.76</v>
      </c>
      <c r="G56" s="12"/>
      <c r="H56" s="12"/>
      <c r="I56" s="12"/>
      <c r="J56" s="12"/>
      <c r="K56" s="129">
        <v>3775</v>
      </c>
      <c r="L56" s="12"/>
      <c r="M56" s="12"/>
      <c r="N56" s="12"/>
      <c r="O56" s="12"/>
      <c r="P56" s="12"/>
      <c r="Q56" s="12"/>
    </row>
    <row r="57" spans="1:17" ht="24" x14ac:dyDescent="0.2">
      <c r="A57" s="6">
        <v>30</v>
      </c>
      <c r="B57" s="92" t="s">
        <v>106</v>
      </c>
      <c r="C57" s="146" t="s">
        <v>413</v>
      </c>
      <c r="D57" s="91" t="s">
        <v>31</v>
      </c>
      <c r="E57" s="90">
        <v>2.1999999999999999E-2</v>
      </c>
      <c r="F57" s="89">
        <v>9964.18</v>
      </c>
      <c r="G57" s="12"/>
      <c r="H57" s="12"/>
      <c r="I57" s="12"/>
      <c r="J57" s="12"/>
      <c r="K57" s="129">
        <v>219</v>
      </c>
      <c r="L57" s="12"/>
      <c r="M57" s="12"/>
      <c r="N57" s="12"/>
      <c r="O57" s="12"/>
      <c r="P57" s="12"/>
      <c r="Q57" s="12"/>
    </row>
    <row r="58" spans="1:17" ht="24" x14ac:dyDescent="0.2">
      <c r="A58" s="6">
        <v>31</v>
      </c>
      <c r="B58" s="92" t="s">
        <v>313</v>
      </c>
      <c r="C58" s="146" t="s">
        <v>312</v>
      </c>
      <c r="D58" s="91" t="s">
        <v>34</v>
      </c>
      <c r="E58" s="90">
        <v>7.8</v>
      </c>
      <c r="F58" s="89">
        <v>189.23</v>
      </c>
      <c r="G58" s="89">
        <v>46.64</v>
      </c>
      <c r="H58" s="89">
        <v>56.09</v>
      </c>
      <c r="I58" s="89">
        <v>24.55</v>
      </c>
      <c r="J58" s="12"/>
      <c r="K58" s="129">
        <v>1476</v>
      </c>
      <c r="L58" s="12">
        <v>364</v>
      </c>
      <c r="M58" s="12">
        <v>438</v>
      </c>
      <c r="N58" s="12">
        <v>191</v>
      </c>
      <c r="O58" s="12">
        <v>3.52</v>
      </c>
      <c r="P58" s="12">
        <v>27.46</v>
      </c>
      <c r="Q58" s="12"/>
    </row>
    <row r="59" spans="1:17" ht="63" x14ac:dyDescent="0.2">
      <c r="A59" s="6">
        <v>32</v>
      </c>
      <c r="B59" s="92" t="s">
        <v>288</v>
      </c>
      <c r="C59" s="146" t="s">
        <v>287</v>
      </c>
      <c r="D59" s="91" t="s">
        <v>34</v>
      </c>
      <c r="E59" s="90">
        <v>3.4</v>
      </c>
      <c r="F59" s="89">
        <v>311.39999999999998</v>
      </c>
      <c r="G59" s="89">
        <v>218.44</v>
      </c>
      <c r="H59" s="89">
        <v>38.75</v>
      </c>
      <c r="I59" s="89">
        <v>0.17</v>
      </c>
      <c r="J59" s="12"/>
      <c r="K59" s="129">
        <v>1059</v>
      </c>
      <c r="L59" s="12">
        <v>743</v>
      </c>
      <c r="M59" s="12">
        <v>132</v>
      </c>
      <c r="N59" s="12">
        <v>1</v>
      </c>
      <c r="O59" s="12">
        <v>16.29</v>
      </c>
      <c r="P59" s="12">
        <v>55.39</v>
      </c>
      <c r="Q59" s="12"/>
    </row>
    <row r="60" spans="1:17" ht="63" x14ac:dyDescent="0.2">
      <c r="A60" s="6">
        <v>33</v>
      </c>
      <c r="B60" s="92" t="s">
        <v>412</v>
      </c>
      <c r="C60" s="146" t="s">
        <v>411</v>
      </c>
      <c r="D60" s="91" t="s">
        <v>35</v>
      </c>
      <c r="E60" s="97">
        <v>20</v>
      </c>
      <c r="F60" s="89">
        <v>3.47</v>
      </c>
      <c r="G60" s="12"/>
      <c r="H60" s="12"/>
      <c r="I60" s="12"/>
      <c r="J60" s="12"/>
      <c r="K60" s="129">
        <v>69</v>
      </c>
      <c r="L60" s="12"/>
      <c r="M60" s="12"/>
      <c r="N60" s="12"/>
      <c r="O60" s="12"/>
      <c r="P60" s="12"/>
      <c r="Q60" s="12"/>
    </row>
    <row r="61" spans="1:17" ht="63" x14ac:dyDescent="0.2">
      <c r="A61" s="6">
        <v>34</v>
      </c>
      <c r="B61" s="92" t="s">
        <v>410</v>
      </c>
      <c r="C61" s="146" t="s">
        <v>409</v>
      </c>
      <c r="D61" s="91" t="s">
        <v>35</v>
      </c>
      <c r="E61" s="97">
        <v>320</v>
      </c>
      <c r="F61" s="89">
        <v>1.8</v>
      </c>
      <c r="G61" s="12"/>
      <c r="H61" s="12"/>
      <c r="I61" s="12"/>
      <c r="J61" s="12"/>
      <c r="K61" s="129">
        <v>576</v>
      </c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92" t="s">
        <v>399</v>
      </c>
      <c r="C62" s="146" t="s">
        <v>408</v>
      </c>
      <c r="D62" s="91" t="s">
        <v>29</v>
      </c>
      <c r="E62" s="97">
        <v>3</v>
      </c>
      <c r="F62" s="89">
        <v>58.16</v>
      </c>
      <c r="G62" s="89">
        <v>48.04</v>
      </c>
      <c r="H62" s="12"/>
      <c r="I62" s="12"/>
      <c r="J62" s="12"/>
      <c r="K62" s="129">
        <v>174</v>
      </c>
      <c r="L62" s="12">
        <v>144</v>
      </c>
      <c r="M62" s="12"/>
      <c r="N62" s="12"/>
      <c r="O62" s="12">
        <v>4</v>
      </c>
      <c r="P62" s="12">
        <v>12</v>
      </c>
      <c r="Q62" s="12"/>
    </row>
    <row r="63" spans="1:17" x14ac:dyDescent="0.2">
      <c r="A63" s="6">
        <v>36</v>
      </c>
      <c r="B63" s="92" t="s">
        <v>397</v>
      </c>
      <c r="C63" s="146" t="s">
        <v>396</v>
      </c>
      <c r="D63" s="91" t="s">
        <v>30</v>
      </c>
      <c r="E63" s="97">
        <v>3</v>
      </c>
      <c r="F63" s="89">
        <v>20.82</v>
      </c>
      <c r="G63" s="12"/>
      <c r="H63" s="12"/>
      <c r="I63" s="12"/>
      <c r="J63" s="12"/>
      <c r="K63" s="129">
        <v>62</v>
      </c>
      <c r="L63" s="12"/>
      <c r="M63" s="12"/>
      <c r="N63" s="12"/>
      <c r="O63" s="12"/>
      <c r="P63" s="12"/>
      <c r="Q63" s="12"/>
    </row>
    <row r="64" spans="1:17" ht="36" x14ac:dyDescent="0.2">
      <c r="A64" s="6">
        <v>37</v>
      </c>
      <c r="B64" s="92" t="s">
        <v>291</v>
      </c>
      <c r="C64" s="146" t="s">
        <v>290</v>
      </c>
      <c r="D64" s="91" t="s">
        <v>29</v>
      </c>
      <c r="E64" s="97">
        <v>25</v>
      </c>
      <c r="F64" s="89">
        <v>27.06</v>
      </c>
      <c r="G64" s="89">
        <v>11.51</v>
      </c>
      <c r="H64" s="12"/>
      <c r="I64" s="12"/>
      <c r="J64" s="12"/>
      <c r="K64" s="129">
        <v>677</v>
      </c>
      <c r="L64" s="12">
        <v>288</v>
      </c>
      <c r="M64" s="12"/>
      <c r="N64" s="12"/>
      <c r="O64" s="12">
        <v>1</v>
      </c>
      <c r="P64" s="12">
        <v>25</v>
      </c>
      <c r="Q64" s="12"/>
    </row>
    <row r="65" spans="1:17" ht="24" x14ac:dyDescent="0.2">
      <c r="A65" s="6">
        <v>38</v>
      </c>
      <c r="B65" s="92" t="s">
        <v>407</v>
      </c>
      <c r="C65" s="146" t="s">
        <v>406</v>
      </c>
      <c r="D65" s="91" t="s">
        <v>30</v>
      </c>
      <c r="E65" s="97">
        <v>25</v>
      </c>
      <c r="F65" s="89">
        <v>4.5199999999999996</v>
      </c>
      <c r="G65" s="12"/>
      <c r="H65" s="12"/>
      <c r="I65" s="12"/>
      <c r="J65" s="12"/>
      <c r="K65" s="129">
        <v>113</v>
      </c>
      <c r="L65" s="12"/>
      <c r="M65" s="12"/>
      <c r="N65" s="12"/>
      <c r="O65" s="12"/>
      <c r="P65" s="12"/>
      <c r="Q65" s="12"/>
    </row>
    <row r="66" spans="1:17" x14ac:dyDescent="0.2">
      <c r="A66" s="6">
        <v>39</v>
      </c>
      <c r="B66" s="92" t="s">
        <v>405</v>
      </c>
      <c r="C66" s="146" t="s">
        <v>296</v>
      </c>
      <c r="D66" s="91" t="s">
        <v>30</v>
      </c>
      <c r="E66" s="97">
        <v>1</v>
      </c>
      <c r="F66" s="89">
        <v>33.29</v>
      </c>
      <c r="G66" s="12"/>
      <c r="H66" s="12"/>
      <c r="I66" s="12"/>
      <c r="J66" s="12"/>
      <c r="K66" s="129">
        <v>33</v>
      </c>
      <c r="L66" s="12"/>
      <c r="M66" s="12"/>
      <c r="N66" s="12"/>
      <c r="O66" s="12"/>
      <c r="P66" s="12"/>
      <c r="Q66" s="12"/>
    </row>
    <row r="67" spans="1:17" ht="36" x14ac:dyDescent="0.2">
      <c r="A67" s="6">
        <v>40</v>
      </c>
      <c r="B67" s="92" t="s">
        <v>295</v>
      </c>
      <c r="C67" s="146" t="s">
        <v>294</v>
      </c>
      <c r="D67" s="91" t="s">
        <v>29</v>
      </c>
      <c r="E67" s="97">
        <v>1</v>
      </c>
      <c r="F67" s="89">
        <v>174.77</v>
      </c>
      <c r="G67" s="89">
        <v>20.9</v>
      </c>
      <c r="H67" s="89">
        <v>1.28</v>
      </c>
      <c r="I67" s="12"/>
      <c r="J67" s="12"/>
      <c r="K67" s="129">
        <v>175</v>
      </c>
      <c r="L67" s="12">
        <v>21</v>
      </c>
      <c r="M67" s="12">
        <v>1</v>
      </c>
      <c r="N67" s="12"/>
      <c r="O67" s="12">
        <v>1.56</v>
      </c>
      <c r="P67" s="12">
        <v>1.56</v>
      </c>
      <c r="Q67" s="12"/>
    </row>
    <row r="68" spans="1:17" ht="36" x14ac:dyDescent="0.2">
      <c r="A68" s="6">
        <v>41</v>
      </c>
      <c r="B68" s="92" t="s">
        <v>106</v>
      </c>
      <c r="C68" s="146" t="s">
        <v>404</v>
      </c>
      <c r="D68" s="91" t="s">
        <v>33</v>
      </c>
      <c r="E68" s="97">
        <v>1</v>
      </c>
      <c r="F68" s="89">
        <v>3.89</v>
      </c>
      <c r="G68" s="12"/>
      <c r="H68" s="12"/>
      <c r="I68" s="12"/>
      <c r="J68" s="12"/>
      <c r="K68" s="129">
        <v>4</v>
      </c>
      <c r="L68" s="12"/>
      <c r="M68" s="12"/>
      <c r="N68" s="12"/>
      <c r="O68" s="12"/>
      <c r="P68" s="12"/>
      <c r="Q68" s="12"/>
    </row>
    <row r="69" spans="1:17" ht="24" x14ac:dyDescent="0.2">
      <c r="A69" s="6">
        <v>42</v>
      </c>
      <c r="B69" s="92" t="s">
        <v>403</v>
      </c>
      <c r="C69" s="146" t="s">
        <v>402</v>
      </c>
      <c r="D69" s="91" t="s">
        <v>29</v>
      </c>
      <c r="E69" s="97">
        <v>1</v>
      </c>
      <c r="F69" s="89">
        <v>32.229999999999997</v>
      </c>
      <c r="G69" s="89">
        <v>26.18</v>
      </c>
      <c r="H69" s="89">
        <v>1.91</v>
      </c>
      <c r="I69" s="12"/>
      <c r="J69" s="12"/>
      <c r="K69" s="129">
        <v>32</v>
      </c>
      <c r="L69" s="12">
        <v>26</v>
      </c>
      <c r="M69" s="12">
        <v>2</v>
      </c>
      <c r="N69" s="12"/>
      <c r="O69" s="12">
        <v>2.1800000000000002</v>
      </c>
      <c r="P69" s="12">
        <v>2.1800000000000002</v>
      </c>
      <c r="Q69" s="12"/>
    </row>
    <row r="70" spans="1:17" ht="36" x14ac:dyDescent="0.2">
      <c r="A70" s="6">
        <v>43</v>
      </c>
      <c r="B70" s="92" t="s">
        <v>106</v>
      </c>
      <c r="C70" s="146" t="s">
        <v>401</v>
      </c>
      <c r="D70" s="91" t="s">
        <v>33</v>
      </c>
      <c r="E70" s="97">
        <v>1</v>
      </c>
      <c r="F70" s="89">
        <v>1081.18</v>
      </c>
      <c r="G70" s="12"/>
      <c r="H70" s="12"/>
      <c r="I70" s="12"/>
      <c r="J70" s="12"/>
      <c r="K70" s="129">
        <v>1081</v>
      </c>
      <c r="L70" s="12"/>
      <c r="M70" s="12"/>
      <c r="N70" s="12"/>
      <c r="O70" s="12"/>
      <c r="P70" s="12"/>
      <c r="Q70" s="12"/>
    </row>
    <row r="71" spans="1:17" ht="24" x14ac:dyDescent="0.2">
      <c r="A71" s="6">
        <v>44</v>
      </c>
      <c r="B71" s="92" t="s">
        <v>106</v>
      </c>
      <c r="C71" s="146" t="s">
        <v>400</v>
      </c>
      <c r="D71" s="91" t="s">
        <v>33</v>
      </c>
      <c r="E71" s="97">
        <v>1</v>
      </c>
      <c r="F71" s="89">
        <v>332.36</v>
      </c>
      <c r="G71" s="12"/>
      <c r="H71" s="12"/>
      <c r="I71" s="12"/>
      <c r="J71" s="12"/>
      <c r="K71" s="129">
        <v>332</v>
      </c>
      <c r="L71" s="12"/>
      <c r="M71" s="12"/>
      <c r="N71" s="12"/>
      <c r="O71" s="12"/>
      <c r="P71" s="12"/>
      <c r="Q71" s="12"/>
    </row>
    <row r="72" spans="1:17" ht="24" x14ac:dyDescent="0.2">
      <c r="A72" s="6">
        <v>45</v>
      </c>
      <c r="B72" s="92" t="s">
        <v>106</v>
      </c>
      <c r="C72" s="146" t="s">
        <v>300</v>
      </c>
      <c r="D72" s="91" t="s">
        <v>299</v>
      </c>
      <c r="E72" s="97">
        <v>1</v>
      </c>
      <c r="F72" s="89">
        <v>53.52</v>
      </c>
      <c r="G72" s="12"/>
      <c r="H72" s="12"/>
      <c r="I72" s="12"/>
      <c r="J72" s="12"/>
      <c r="K72" s="129">
        <v>54</v>
      </c>
      <c r="L72" s="12"/>
      <c r="M72" s="12"/>
      <c r="N72" s="12"/>
      <c r="O72" s="12"/>
      <c r="P72" s="12"/>
      <c r="Q72" s="12"/>
    </row>
    <row r="73" spans="1:17" ht="24" x14ac:dyDescent="0.2">
      <c r="A73" s="6">
        <v>46</v>
      </c>
      <c r="B73" s="92" t="s">
        <v>106</v>
      </c>
      <c r="C73" s="146" t="s">
        <v>298</v>
      </c>
      <c r="D73" s="91" t="s">
        <v>33</v>
      </c>
      <c r="E73" s="97">
        <v>1</v>
      </c>
      <c r="F73" s="89">
        <v>127.92</v>
      </c>
      <c r="G73" s="12"/>
      <c r="H73" s="12"/>
      <c r="I73" s="12"/>
      <c r="J73" s="12"/>
      <c r="K73" s="129">
        <v>128</v>
      </c>
      <c r="L73" s="12"/>
      <c r="M73" s="12"/>
      <c r="N73" s="12"/>
      <c r="O73" s="12"/>
      <c r="P73" s="12"/>
      <c r="Q73" s="12"/>
    </row>
    <row r="74" spans="1:17" ht="24" x14ac:dyDescent="0.2">
      <c r="A74" s="6">
        <v>47</v>
      </c>
      <c r="B74" s="92" t="s">
        <v>399</v>
      </c>
      <c r="C74" s="146" t="s">
        <v>398</v>
      </c>
      <c r="D74" s="91" t="s">
        <v>29</v>
      </c>
      <c r="E74" s="97">
        <v>25</v>
      </c>
      <c r="F74" s="89">
        <v>58.16</v>
      </c>
      <c r="G74" s="89">
        <v>48.04</v>
      </c>
      <c r="H74" s="12"/>
      <c r="I74" s="12"/>
      <c r="J74" s="12"/>
      <c r="K74" s="129">
        <v>1454</v>
      </c>
      <c r="L74" s="12">
        <v>1201</v>
      </c>
      <c r="M74" s="12"/>
      <c r="N74" s="12"/>
      <c r="O74" s="12">
        <v>4</v>
      </c>
      <c r="P74" s="12">
        <v>100</v>
      </c>
      <c r="Q74" s="12"/>
    </row>
    <row r="75" spans="1:17" x14ac:dyDescent="0.2">
      <c r="A75" s="6">
        <v>48</v>
      </c>
      <c r="B75" s="92" t="s">
        <v>397</v>
      </c>
      <c r="C75" s="146" t="s">
        <v>396</v>
      </c>
      <c r="D75" s="91" t="s">
        <v>30</v>
      </c>
      <c r="E75" s="90">
        <v>28</v>
      </c>
      <c r="F75" s="89">
        <v>20.82</v>
      </c>
      <c r="G75" s="12"/>
      <c r="H75" s="12"/>
      <c r="I75" s="12"/>
      <c r="J75" s="12"/>
      <c r="K75" s="129">
        <v>583</v>
      </c>
      <c r="L75" s="12"/>
      <c r="M75" s="12"/>
      <c r="N75" s="12"/>
      <c r="O75" s="12"/>
      <c r="P75" s="12"/>
      <c r="Q75" s="12"/>
    </row>
    <row r="76" spans="1:17" x14ac:dyDescent="0.2">
      <c r="A76" s="6">
        <v>49</v>
      </c>
      <c r="B76" s="92" t="s">
        <v>106</v>
      </c>
      <c r="C76" s="146" t="s">
        <v>358</v>
      </c>
      <c r="D76" s="91" t="s">
        <v>33</v>
      </c>
      <c r="E76" s="97">
        <v>2</v>
      </c>
      <c r="F76" s="89">
        <v>65.510000000000005</v>
      </c>
      <c r="G76" s="12"/>
      <c r="H76" s="12"/>
      <c r="I76" s="12"/>
      <c r="J76" s="12"/>
      <c r="K76" s="129">
        <v>131</v>
      </c>
      <c r="L76" s="12"/>
      <c r="M76" s="12"/>
      <c r="N76" s="12"/>
      <c r="O76" s="12"/>
      <c r="P76" s="12"/>
      <c r="Q76" s="12"/>
    </row>
    <row r="77" spans="1:17" x14ac:dyDescent="0.2">
      <c r="A77" s="6">
        <v>50</v>
      </c>
      <c r="B77" s="92" t="s">
        <v>106</v>
      </c>
      <c r="C77" s="146" t="s">
        <v>395</v>
      </c>
      <c r="D77" s="91" t="s">
        <v>33</v>
      </c>
      <c r="E77" s="97">
        <v>2</v>
      </c>
      <c r="F77" s="89">
        <v>84.08</v>
      </c>
      <c r="G77" s="12"/>
      <c r="H77" s="12"/>
      <c r="I77" s="12"/>
      <c r="J77" s="12"/>
      <c r="K77" s="129">
        <v>168</v>
      </c>
      <c r="L77" s="12"/>
      <c r="M77" s="12"/>
      <c r="N77" s="12"/>
      <c r="O77" s="12"/>
      <c r="P77" s="12"/>
      <c r="Q77" s="12"/>
    </row>
    <row r="78" spans="1:17" x14ac:dyDescent="0.2">
      <c r="A78" s="166" t="s">
        <v>275</v>
      </c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</row>
    <row r="79" spans="1:17" x14ac:dyDescent="0.2">
      <c r="A79" s="177" t="s">
        <v>274</v>
      </c>
      <c r="B79" s="178"/>
      <c r="C79" s="178"/>
      <c r="D79" s="178"/>
      <c r="E79" s="178"/>
      <c r="F79" s="178"/>
      <c r="G79" s="178"/>
      <c r="H79" s="178"/>
      <c r="I79" s="178"/>
      <c r="J79" s="178"/>
      <c r="K79" s="178"/>
      <c r="L79" s="178"/>
      <c r="M79" s="178"/>
      <c r="N79" s="178"/>
      <c r="O79" s="178"/>
      <c r="P79" s="178"/>
      <c r="Q79" s="178"/>
    </row>
    <row r="80" spans="1:17" ht="77.25" x14ac:dyDescent="0.2">
      <c r="A80" s="6">
        <v>51</v>
      </c>
      <c r="B80" s="92" t="s">
        <v>273</v>
      </c>
      <c r="C80" s="146" t="s">
        <v>272</v>
      </c>
      <c r="D80" s="91" t="s">
        <v>271</v>
      </c>
      <c r="E80" s="90">
        <v>49</v>
      </c>
      <c r="F80" s="89">
        <v>27.19</v>
      </c>
      <c r="G80" s="89">
        <v>27.19</v>
      </c>
      <c r="H80" s="12"/>
      <c r="I80" s="12"/>
      <c r="J80" s="12"/>
      <c r="K80" s="129">
        <v>1332</v>
      </c>
      <c r="L80" s="12">
        <v>1332</v>
      </c>
      <c r="M80" s="12"/>
      <c r="N80" s="12"/>
      <c r="O80" s="12">
        <v>1.65</v>
      </c>
      <c r="P80" s="12">
        <v>80.849999999999994</v>
      </c>
      <c r="Q80" s="12"/>
    </row>
    <row r="81" spans="1:17" ht="36" x14ac:dyDescent="0.2">
      <c r="A81" s="6">
        <v>52</v>
      </c>
      <c r="B81" s="92" t="s">
        <v>270</v>
      </c>
      <c r="C81" s="146" t="s">
        <v>269</v>
      </c>
      <c r="D81" s="91" t="s">
        <v>268</v>
      </c>
      <c r="E81" s="97">
        <v>2</v>
      </c>
      <c r="F81" s="89">
        <v>95.38</v>
      </c>
      <c r="G81" s="89">
        <v>95.38</v>
      </c>
      <c r="H81" s="12"/>
      <c r="I81" s="12"/>
      <c r="J81" s="12"/>
      <c r="K81" s="129">
        <v>191</v>
      </c>
      <c r="L81" s="12">
        <v>191</v>
      </c>
      <c r="M81" s="12"/>
      <c r="N81" s="12"/>
      <c r="O81" s="12">
        <v>6</v>
      </c>
      <c r="P81" s="12">
        <v>12</v>
      </c>
      <c r="Q81" s="12"/>
    </row>
    <row r="82" spans="1:17" ht="48" x14ac:dyDescent="0.2">
      <c r="A82" s="6">
        <v>53</v>
      </c>
      <c r="B82" s="92" t="s">
        <v>267</v>
      </c>
      <c r="C82" s="146" t="s">
        <v>266</v>
      </c>
      <c r="D82" s="91" t="s">
        <v>265</v>
      </c>
      <c r="E82" s="97">
        <v>1</v>
      </c>
      <c r="F82" s="89">
        <v>366.98</v>
      </c>
      <c r="G82" s="89">
        <v>366.98</v>
      </c>
      <c r="H82" s="12"/>
      <c r="I82" s="12"/>
      <c r="J82" s="12"/>
      <c r="K82" s="129">
        <v>367</v>
      </c>
      <c r="L82" s="12">
        <v>367</v>
      </c>
      <c r="M82" s="12"/>
      <c r="N82" s="12"/>
      <c r="O82" s="12">
        <v>17.600000000000001</v>
      </c>
      <c r="P82" s="12">
        <v>17.600000000000001</v>
      </c>
      <c r="Q82" s="12"/>
    </row>
    <row r="83" spans="1:17" x14ac:dyDescent="0.2">
      <c r="A83" s="177" t="s">
        <v>264</v>
      </c>
      <c r="B83" s="178"/>
      <c r="C83" s="178"/>
      <c r="D83" s="178"/>
      <c r="E83" s="178"/>
      <c r="F83" s="178"/>
      <c r="G83" s="178"/>
      <c r="H83" s="178"/>
      <c r="I83" s="178"/>
      <c r="J83" s="178"/>
      <c r="K83" s="178"/>
      <c r="L83" s="178"/>
      <c r="M83" s="178"/>
      <c r="N83" s="178"/>
      <c r="O83" s="178"/>
      <c r="P83" s="178"/>
      <c r="Q83" s="178"/>
    </row>
    <row r="84" spans="1:17" ht="36" x14ac:dyDescent="0.2">
      <c r="A84" s="6">
        <v>54</v>
      </c>
      <c r="B84" s="92" t="s">
        <v>263</v>
      </c>
      <c r="C84" s="146" t="s">
        <v>262</v>
      </c>
      <c r="D84" s="91" t="s">
        <v>29</v>
      </c>
      <c r="E84" s="97">
        <v>1</v>
      </c>
      <c r="F84" s="89">
        <v>367.07</v>
      </c>
      <c r="G84" s="89">
        <v>367.07</v>
      </c>
      <c r="H84" s="12"/>
      <c r="I84" s="12"/>
      <c r="J84" s="12"/>
      <c r="K84" s="129">
        <v>367</v>
      </c>
      <c r="L84" s="12">
        <v>367</v>
      </c>
      <c r="M84" s="12"/>
      <c r="N84" s="12"/>
      <c r="O84" s="12">
        <v>22</v>
      </c>
      <c r="P84" s="12">
        <v>22</v>
      </c>
      <c r="Q84" s="12"/>
    </row>
    <row r="85" spans="1:17" x14ac:dyDescent="0.2">
      <c r="A85" s="168" t="s">
        <v>36</v>
      </c>
      <c r="B85" s="167"/>
      <c r="C85" s="167"/>
      <c r="D85" s="167"/>
      <c r="E85" s="167"/>
      <c r="F85" s="167"/>
      <c r="G85" s="167"/>
      <c r="H85" s="167"/>
      <c r="I85" s="167"/>
      <c r="J85" s="167"/>
      <c r="K85" s="130">
        <v>29926</v>
      </c>
      <c r="L85" s="89">
        <v>7872</v>
      </c>
      <c r="M85" s="89">
        <v>812</v>
      </c>
      <c r="N85" s="89">
        <v>277</v>
      </c>
      <c r="O85" s="12"/>
      <c r="P85" s="89">
        <v>567.9</v>
      </c>
      <c r="Q85" s="12"/>
    </row>
    <row r="86" spans="1:17" x14ac:dyDescent="0.2">
      <c r="A86" s="168" t="s">
        <v>37</v>
      </c>
      <c r="B86" s="167"/>
      <c r="C86" s="167"/>
      <c r="D86" s="167"/>
      <c r="E86" s="167"/>
      <c r="F86" s="167"/>
      <c r="G86" s="167"/>
      <c r="H86" s="167"/>
      <c r="I86" s="167"/>
      <c r="J86" s="167"/>
      <c r="K86" s="130">
        <v>32852</v>
      </c>
      <c r="L86" s="89">
        <v>10071</v>
      </c>
      <c r="M86" s="89">
        <v>1112</v>
      </c>
      <c r="N86" s="89">
        <v>390</v>
      </c>
      <c r="O86" s="12"/>
      <c r="P86" s="89">
        <v>709.72</v>
      </c>
      <c r="Q86" s="12"/>
    </row>
    <row r="87" spans="1:17" x14ac:dyDescent="0.2">
      <c r="A87" s="168" t="s">
        <v>86</v>
      </c>
      <c r="B87" s="167"/>
      <c r="C87" s="167"/>
      <c r="D87" s="167"/>
      <c r="E87" s="167"/>
      <c r="F87" s="167"/>
      <c r="G87" s="167"/>
      <c r="H87" s="167"/>
      <c r="I87" s="167"/>
      <c r="J87" s="167"/>
      <c r="K87" s="129"/>
      <c r="L87" s="12"/>
      <c r="M87" s="12"/>
      <c r="N87" s="12"/>
      <c r="O87" s="12"/>
      <c r="P87" s="12"/>
      <c r="Q87" s="12"/>
    </row>
    <row r="88" spans="1:17" ht="15" customHeight="1" x14ac:dyDescent="0.2">
      <c r="A88" s="168" t="s">
        <v>394</v>
      </c>
      <c r="B88" s="167"/>
      <c r="C88" s="167"/>
      <c r="D88" s="167"/>
      <c r="E88" s="167"/>
      <c r="F88" s="167"/>
      <c r="G88" s="167"/>
      <c r="H88" s="167"/>
      <c r="I88" s="167"/>
      <c r="J88" s="167"/>
      <c r="K88" s="130">
        <v>350</v>
      </c>
      <c r="L88" s="89">
        <v>338</v>
      </c>
      <c r="M88" s="89">
        <v>12</v>
      </c>
      <c r="N88" s="89">
        <v>12</v>
      </c>
      <c r="O88" s="12"/>
      <c r="P88" s="12"/>
      <c r="Q88" s="12"/>
    </row>
    <row r="89" spans="1:17" ht="25.9" customHeight="1" x14ac:dyDescent="0.2">
      <c r="A89" s="168" t="s">
        <v>393</v>
      </c>
      <c r="B89" s="167"/>
      <c r="C89" s="167"/>
      <c r="D89" s="167"/>
      <c r="E89" s="167"/>
      <c r="F89" s="167"/>
      <c r="G89" s="167"/>
      <c r="H89" s="167"/>
      <c r="I89" s="167"/>
      <c r="J89" s="167"/>
      <c r="K89" s="130">
        <v>208</v>
      </c>
      <c r="L89" s="12"/>
      <c r="M89" s="12"/>
      <c r="N89" s="12"/>
      <c r="O89" s="12"/>
      <c r="P89" s="12"/>
      <c r="Q89" s="12"/>
    </row>
    <row r="90" spans="1:17" ht="15" customHeight="1" x14ac:dyDescent="0.2">
      <c r="A90" s="168" t="s">
        <v>392</v>
      </c>
      <c r="B90" s="167"/>
      <c r="C90" s="167"/>
      <c r="D90" s="167"/>
      <c r="E90" s="167"/>
      <c r="F90" s="167"/>
      <c r="G90" s="167"/>
      <c r="H90" s="167"/>
      <c r="I90" s="167"/>
      <c r="J90" s="167"/>
      <c r="K90" s="130">
        <v>155</v>
      </c>
      <c r="L90" s="12"/>
      <c r="M90" s="12"/>
      <c r="N90" s="12"/>
      <c r="O90" s="12"/>
      <c r="P90" s="12"/>
      <c r="Q90" s="12"/>
    </row>
    <row r="91" spans="1:17" ht="24" customHeight="1" x14ac:dyDescent="0.2">
      <c r="A91" s="168" t="s">
        <v>391</v>
      </c>
      <c r="B91" s="167"/>
      <c r="C91" s="167"/>
      <c r="D91" s="167"/>
      <c r="E91" s="167"/>
      <c r="F91" s="167"/>
      <c r="G91" s="167"/>
      <c r="H91" s="167"/>
      <c r="I91" s="167"/>
      <c r="J91" s="167"/>
      <c r="K91" s="130">
        <v>64</v>
      </c>
      <c r="L91" s="12"/>
      <c r="M91" s="12"/>
      <c r="N91" s="12"/>
      <c r="O91" s="12"/>
      <c r="P91" s="12"/>
      <c r="Q91" s="12"/>
    </row>
    <row r="92" spans="1:17" ht="22.9" customHeight="1" x14ac:dyDescent="0.2">
      <c r="A92" s="168" t="s">
        <v>390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30">
        <v>2337</v>
      </c>
      <c r="L92" s="89">
        <v>2050</v>
      </c>
      <c r="M92" s="89">
        <v>288</v>
      </c>
      <c r="N92" s="89">
        <v>101</v>
      </c>
      <c r="O92" s="12"/>
      <c r="P92" s="89">
        <v>152.4075</v>
      </c>
      <c r="Q92" s="12"/>
    </row>
    <row r="93" spans="1:17" ht="24.6" customHeight="1" x14ac:dyDescent="0.2">
      <c r="A93" s="168" t="s">
        <v>389</v>
      </c>
      <c r="B93" s="167"/>
      <c r="C93" s="167"/>
      <c r="D93" s="167"/>
      <c r="E93" s="167"/>
      <c r="F93" s="167"/>
      <c r="G93" s="167"/>
      <c r="H93" s="167"/>
      <c r="I93" s="167"/>
      <c r="J93" s="167"/>
      <c r="K93" s="130">
        <v>353</v>
      </c>
      <c r="L93" s="89">
        <v>353</v>
      </c>
      <c r="M93" s="12"/>
      <c r="N93" s="12"/>
      <c r="O93" s="12"/>
      <c r="P93" s="89">
        <v>19.8675</v>
      </c>
      <c r="Q93" s="12"/>
    </row>
    <row r="94" spans="1:17" ht="15" customHeight="1" x14ac:dyDescent="0.2">
      <c r="A94" s="168" t="s">
        <v>388</v>
      </c>
      <c r="B94" s="167"/>
      <c r="C94" s="167"/>
      <c r="D94" s="167"/>
      <c r="E94" s="167"/>
      <c r="F94" s="167"/>
      <c r="G94" s="167"/>
      <c r="H94" s="167"/>
      <c r="I94" s="167"/>
      <c r="J94" s="167"/>
      <c r="K94" s="130">
        <v>-541</v>
      </c>
      <c r="L94" s="89">
        <v>-541</v>
      </c>
      <c r="M94" s="12"/>
      <c r="N94" s="12"/>
      <c r="O94" s="12"/>
      <c r="P94" s="89">
        <v>-30.463999999999999</v>
      </c>
      <c r="Q94" s="12"/>
    </row>
    <row r="95" spans="1:17" x14ac:dyDescent="0.2">
      <c r="A95" s="168" t="s">
        <v>38</v>
      </c>
      <c r="B95" s="167"/>
      <c r="C95" s="167"/>
      <c r="D95" s="167"/>
      <c r="E95" s="167"/>
      <c r="F95" s="167"/>
      <c r="G95" s="167"/>
      <c r="H95" s="167"/>
      <c r="I95" s="167"/>
      <c r="J95" s="167"/>
      <c r="K95" s="130">
        <v>8811</v>
      </c>
      <c r="L95" s="12"/>
      <c r="M95" s="12"/>
      <c r="N95" s="12"/>
      <c r="O95" s="12"/>
      <c r="P95" s="12"/>
      <c r="Q95" s="12"/>
    </row>
    <row r="96" spans="1:17" x14ac:dyDescent="0.2">
      <c r="A96" s="168" t="s">
        <v>86</v>
      </c>
      <c r="B96" s="167"/>
      <c r="C96" s="167"/>
      <c r="D96" s="167"/>
      <c r="E96" s="167"/>
      <c r="F96" s="167"/>
      <c r="G96" s="167"/>
      <c r="H96" s="167"/>
      <c r="I96" s="167"/>
      <c r="J96" s="167"/>
      <c r="K96" s="129"/>
      <c r="L96" s="12"/>
      <c r="M96" s="12"/>
      <c r="N96" s="12"/>
      <c r="O96" s="12"/>
      <c r="P96" s="12"/>
      <c r="Q96" s="12"/>
    </row>
    <row r="97" spans="1:17" x14ac:dyDescent="0.2">
      <c r="A97" s="168" t="s">
        <v>387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30">
        <v>1408</v>
      </c>
      <c r="L97" s="12"/>
      <c r="M97" s="12"/>
      <c r="N97" s="12"/>
      <c r="O97" s="12"/>
      <c r="P97" s="12"/>
      <c r="Q97" s="12"/>
    </row>
    <row r="98" spans="1:17" x14ac:dyDescent="0.2">
      <c r="A98" s="168" t="s">
        <v>386</v>
      </c>
      <c r="B98" s="167"/>
      <c r="C98" s="167"/>
      <c r="D98" s="167"/>
      <c r="E98" s="167"/>
      <c r="F98" s="167"/>
      <c r="G98" s="167"/>
      <c r="H98" s="167"/>
      <c r="I98" s="167"/>
      <c r="J98" s="167"/>
      <c r="K98" s="130">
        <v>1977</v>
      </c>
      <c r="L98" s="12"/>
      <c r="M98" s="12"/>
      <c r="N98" s="12"/>
      <c r="O98" s="12"/>
      <c r="P98" s="12"/>
      <c r="Q98" s="12"/>
    </row>
    <row r="99" spans="1:17" x14ac:dyDescent="0.2">
      <c r="A99" s="168" t="s">
        <v>385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30">
        <v>3336</v>
      </c>
      <c r="L99" s="12"/>
      <c r="M99" s="12"/>
      <c r="N99" s="12"/>
      <c r="O99" s="12"/>
      <c r="P99" s="12"/>
      <c r="Q99" s="12"/>
    </row>
    <row r="100" spans="1:17" x14ac:dyDescent="0.2">
      <c r="A100" s="168" t="s">
        <v>384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30">
        <v>2054</v>
      </c>
      <c r="L100" s="12"/>
      <c r="M100" s="12"/>
      <c r="N100" s="12"/>
      <c r="O100" s="12"/>
      <c r="P100" s="12"/>
      <c r="Q100" s="12"/>
    </row>
    <row r="101" spans="1:17" x14ac:dyDescent="0.2">
      <c r="A101" s="168" t="s">
        <v>383</v>
      </c>
      <c r="B101" s="167"/>
      <c r="C101" s="167"/>
      <c r="D101" s="167"/>
      <c r="E101" s="167"/>
      <c r="F101" s="167"/>
      <c r="G101" s="167"/>
      <c r="H101" s="167"/>
      <c r="I101" s="167"/>
      <c r="J101" s="167"/>
      <c r="K101" s="130">
        <v>36</v>
      </c>
      <c r="L101" s="12"/>
      <c r="M101" s="12"/>
      <c r="N101" s="12"/>
      <c r="O101" s="12"/>
      <c r="P101" s="12"/>
      <c r="Q101" s="12"/>
    </row>
    <row r="102" spans="1:17" x14ac:dyDescent="0.2">
      <c r="A102" s="168" t="s">
        <v>39</v>
      </c>
      <c r="B102" s="167"/>
      <c r="C102" s="167"/>
      <c r="D102" s="167"/>
      <c r="E102" s="167"/>
      <c r="F102" s="167"/>
      <c r="G102" s="167"/>
      <c r="H102" s="167"/>
      <c r="I102" s="167"/>
      <c r="J102" s="167"/>
      <c r="K102" s="130">
        <v>6134</v>
      </c>
      <c r="L102" s="12"/>
      <c r="M102" s="12"/>
      <c r="N102" s="12"/>
      <c r="O102" s="12"/>
      <c r="P102" s="12"/>
      <c r="Q102" s="12"/>
    </row>
    <row r="103" spans="1:17" x14ac:dyDescent="0.2">
      <c r="A103" s="168" t="s">
        <v>86</v>
      </c>
      <c r="B103" s="167"/>
      <c r="C103" s="167"/>
      <c r="D103" s="167"/>
      <c r="E103" s="167"/>
      <c r="F103" s="167"/>
      <c r="G103" s="167"/>
      <c r="H103" s="167"/>
      <c r="I103" s="167"/>
      <c r="J103" s="167"/>
      <c r="K103" s="129"/>
      <c r="L103" s="12"/>
      <c r="M103" s="12"/>
      <c r="N103" s="12"/>
      <c r="O103" s="12"/>
      <c r="P103" s="12"/>
      <c r="Q103" s="12"/>
    </row>
    <row r="104" spans="1:17" x14ac:dyDescent="0.2">
      <c r="A104" s="168" t="s">
        <v>382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30">
        <v>866</v>
      </c>
      <c r="L104" s="12"/>
      <c r="M104" s="12"/>
      <c r="N104" s="12"/>
      <c r="O104" s="12"/>
      <c r="P104" s="12"/>
      <c r="Q104" s="12"/>
    </row>
    <row r="105" spans="1:17" x14ac:dyDescent="0.2">
      <c r="A105" s="168" t="s">
        <v>381</v>
      </c>
      <c r="B105" s="167"/>
      <c r="C105" s="167"/>
      <c r="D105" s="167"/>
      <c r="E105" s="167"/>
      <c r="F105" s="167"/>
      <c r="G105" s="167"/>
      <c r="H105" s="167"/>
      <c r="I105" s="167"/>
      <c r="J105" s="167"/>
      <c r="K105" s="130">
        <v>1483</v>
      </c>
      <c r="L105" s="12"/>
      <c r="M105" s="12"/>
      <c r="N105" s="12"/>
      <c r="O105" s="12"/>
      <c r="P105" s="12"/>
      <c r="Q105" s="12"/>
    </row>
    <row r="106" spans="1:17" x14ac:dyDescent="0.2">
      <c r="A106" s="168" t="s">
        <v>380</v>
      </c>
      <c r="B106" s="167"/>
      <c r="C106" s="167"/>
      <c r="D106" s="167"/>
      <c r="E106" s="167"/>
      <c r="F106" s="167"/>
      <c r="G106" s="167"/>
      <c r="H106" s="167"/>
      <c r="I106" s="167"/>
      <c r="J106" s="167"/>
      <c r="K106" s="130">
        <v>3785</v>
      </c>
      <c r="L106" s="12"/>
      <c r="M106" s="12"/>
      <c r="N106" s="12"/>
      <c r="O106" s="12"/>
      <c r="P106" s="12"/>
      <c r="Q106" s="12"/>
    </row>
    <row r="107" spans="1:17" x14ac:dyDescent="0.2">
      <c r="A107" s="173" t="s">
        <v>40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129"/>
      <c r="L107" s="12"/>
      <c r="M107" s="12"/>
      <c r="N107" s="12"/>
      <c r="O107" s="12"/>
      <c r="P107" s="12"/>
      <c r="Q107" s="12"/>
    </row>
    <row r="108" spans="1:17" x14ac:dyDescent="0.2">
      <c r="A108" s="168" t="s">
        <v>83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130">
        <v>37979</v>
      </c>
      <c r="L108" s="12"/>
      <c r="M108" s="12"/>
      <c r="N108" s="12"/>
      <c r="O108" s="12"/>
      <c r="P108" s="89">
        <v>587.86</v>
      </c>
      <c r="Q108" s="12"/>
    </row>
    <row r="109" spans="1:17" x14ac:dyDescent="0.2">
      <c r="A109" s="168" t="s">
        <v>82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130">
        <v>5378</v>
      </c>
      <c r="L109" s="12"/>
      <c r="M109" s="12"/>
      <c r="N109" s="12"/>
      <c r="O109" s="12"/>
      <c r="P109" s="12"/>
      <c r="Q109" s="12"/>
    </row>
    <row r="110" spans="1:17" x14ac:dyDescent="0.2">
      <c r="A110" s="168" t="s">
        <v>247</v>
      </c>
      <c r="B110" s="167"/>
      <c r="C110" s="167"/>
      <c r="D110" s="167"/>
      <c r="E110" s="167"/>
      <c r="F110" s="167"/>
      <c r="G110" s="167"/>
      <c r="H110" s="167"/>
      <c r="I110" s="167"/>
      <c r="J110" s="167"/>
      <c r="K110" s="130">
        <v>4440</v>
      </c>
      <c r="L110" s="12"/>
      <c r="M110" s="12"/>
      <c r="N110" s="12"/>
      <c r="O110" s="12"/>
      <c r="P110" s="89">
        <v>121.86</v>
      </c>
      <c r="Q110" s="12"/>
    </row>
    <row r="111" spans="1:17" x14ac:dyDescent="0.2">
      <c r="A111" s="168" t="s">
        <v>41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130">
        <v>47797</v>
      </c>
      <c r="L111" s="12"/>
      <c r="M111" s="12"/>
      <c r="N111" s="12"/>
      <c r="O111" s="12"/>
      <c r="P111" s="89">
        <v>709.72</v>
      </c>
      <c r="Q111" s="12"/>
    </row>
    <row r="112" spans="1:17" x14ac:dyDescent="0.2">
      <c r="A112" s="168" t="s">
        <v>42</v>
      </c>
      <c r="B112" s="167"/>
      <c r="C112" s="167"/>
      <c r="D112" s="167"/>
      <c r="E112" s="167"/>
      <c r="F112" s="167"/>
      <c r="G112" s="167"/>
      <c r="H112" s="167"/>
      <c r="I112" s="167"/>
      <c r="J112" s="167"/>
      <c r="K112" s="129"/>
      <c r="L112" s="12"/>
      <c r="M112" s="12"/>
      <c r="N112" s="12"/>
      <c r="O112" s="12"/>
      <c r="P112" s="12"/>
      <c r="Q112" s="12"/>
    </row>
    <row r="113" spans="1:17" x14ac:dyDescent="0.2">
      <c r="A113" s="168" t="s">
        <v>43</v>
      </c>
      <c r="B113" s="167"/>
      <c r="C113" s="167"/>
      <c r="D113" s="167"/>
      <c r="E113" s="167"/>
      <c r="F113" s="167"/>
      <c r="G113" s="167"/>
      <c r="H113" s="167"/>
      <c r="I113" s="167"/>
      <c r="J113" s="167"/>
      <c r="K113" s="130">
        <v>16291</v>
      </c>
      <c r="L113" s="12"/>
      <c r="M113" s="12"/>
      <c r="N113" s="12"/>
      <c r="O113" s="12"/>
      <c r="P113" s="12"/>
      <c r="Q113" s="12"/>
    </row>
    <row r="114" spans="1:17" x14ac:dyDescent="0.2">
      <c r="A114" s="168" t="s">
        <v>44</v>
      </c>
      <c r="B114" s="167"/>
      <c r="C114" s="167"/>
      <c r="D114" s="167"/>
      <c r="E114" s="167"/>
      <c r="F114" s="167"/>
      <c r="G114" s="167"/>
      <c r="H114" s="167"/>
      <c r="I114" s="167"/>
      <c r="J114" s="167"/>
      <c r="K114" s="130">
        <f>1112-N86</f>
        <v>722</v>
      </c>
      <c r="L114" s="12"/>
      <c r="M114" s="12"/>
      <c r="N114" s="12"/>
      <c r="O114" s="12"/>
      <c r="P114" s="12"/>
      <c r="Q114" s="12"/>
    </row>
    <row r="115" spans="1:17" x14ac:dyDescent="0.2">
      <c r="A115" s="168" t="s">
        <v>45</v>
      </c>
      <c r="B115" s="167"/>
      <c r="C115" s="167"/>
      <c r="D115" s="167"/>
      <c r="E115" s="167"/>
      <c r="F115" s="167"/>
      <c r="G115" s="167"/>
      <c r="H115" s="167"/>
      <c r="I115" s="167"/>
      <c r="J115" s="167"/>
      <c r="K115" s="130">
        <v>10461</v>
      </c>
      <c r="L115" s="12"/>
      <c r="M115" s="12"/>
      <c r="N115" s="12"/>
      <c r="O115" s="12"/>
      <c r="P115" s="12"/>
      <c r="Q115" s="12"/>
    </row>
    <row r="116" spans="1:17" x14ac:dyDescent="0.2">
      <c r="A116" s="168" t="s">
        <v>19</v>
      </c>
      <c r="B116" s="167"/>
      <c r="C116" s="167"/>
      <c r="D116" s="167"/>
      <c r="E116" s="167"/>
      <c r="F116" s="167"/>
      <c r="G116" s="167"/>
      <c r="H116" s="167"/>
      <c r="I116" s="167"/>
      <c r="J116" s="167"/>
      <c r="K116" s="130">
        <v>5378</v>
      </c>
      <c r="L116" s="12"/>
      <c r="M116" s="12"/>
      <c r="N116" s="12"/>
      <c r="O116" s="12"/>
      <c r="P116" s="12"/>
      <c r="Q116" s="12"/>
    </row>
    <row r="117" spans="1:17" x14ac:dyDescent="0.2">
      <c r="A117" s="168" t="s">
        <v>46</v>
      </c>
      <c r="B117" s="167"/>
      <c r="C117" s="167"/>
      <c r="D117" s="167"/>
      <c r="E117" s="167"/>
      <c r="F117" s="167"/>
      <c r="G117" s="167"/>
      <c r="H117" s="167"/>
      <c r="I117" s="167"/>
      <c r="J117" s="167"/>
      <c r="K117" s="130">
        <v>8811</v>
      </c>
      <c r="L117" s="12"/>
      <c r="M117" s="12"/>
      <c r="N117" s="12"/>
      <c r="O117" s="12"/>
      <c r="P117" s="12"/>
      <c r="Q117" s="12"/>
    </row>
    <row r="118" spans="1:17" x14ac:dyDescent="0.2">
      <c r="A118" s="168" t="s">
        <v>47</v>
      </c>
      <c r="B118" s="167"/>
      <c r="C118" s="167"/>
      <c r="D118" s="167"/>
      <c r="E118" s="167"/>
      <c r="F118" s="167"/>
      <c r="G118" s="167"/>
      <c r="H118" s="167"/>
      <c r="I118" s="167"/>
      <c r="J118" s="167"/>
      <c r="K118" s="130">
        <v>6134</v>
      </c>
      <c r="L118" s="12"/>
      <c r="M118" s="12"/>
      <c r="N118" s="12"/>
      <c r="O118" s="12"/>
      <c r="P118" s="12"/>
      <c r="Q118" s="12"/>
    </row>
    <row r="119" spans="1:17" x14ac:dyDescent="0.2">
      <c r="A119" s="173" t="s">
        <v>48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31">
        <f>SUM(K113:K118)</f>
        <v>47797</v>
      </c>
      <c r="L119" s="12"/>
      <c r="M119" s="12"/>
      <c r="N119" s="12"/>
      <c r="O119" s="12"/>
      <c r="P119" s="13">
        <v>709.72</v>
      </c>
      <c r="Q119" s="12"/>
    </row>
    <row r="120" spans="1:17" x14ac:dyDescent="0.2">
      <c r="F120" s="10"/>
      <c r="G120" s="10"/>
      <c r="H120" s="10"/>
      <c r="I120" s="10"/>
      <c r="J120" s="10"/>
      <c r="K120" s="132"/>
      <c r="L120" s="10"/>
      <c r="M120" s="10"/>
      <c r="N120" s="10"/>
      <c r="O120" s="10"/>
      <c r="P120" s="10"/>
      <c r="Q120" s="10"/>
    </row>
  </sheetData>
  <mergeCells count="61">
    <mergeCell ref="K24:K25"/>
    <mergeCell ref="L24:N24"/>
    <mergeCell ref="A86:J86"/>
    <mergeCell ref="A23:A25"/>
    <mergeCell ref="C23:C25"/>
    <mergeCell ref="D23:D25"/>
    <mergeCell ref="E23:E25"/>
    <mergeCell ref="Q23:Q25"/>
    <mergeCell ref="P23:P25"/>
    <mergeCell ref="A98:J98"/>
    <mergeCell ref="A87:J87"/>
    <mergeCell ref="A88:J88"/>
    <mergeCell ref="A89:J89"/>
    <mergeCell ref="A90:J90"/>
    <mergeCell ref="B23:B25"/>
    <mergeCell ref="F24:F25"/>
    <mergeCell ref="F23:I23"/>
    <mergeCell ref="G24:I24"/>
    <mergeCell ref="A27:Q27"/>
    <mergeCell ref="A78:Q78"/>
    <mergeCell ref="O23:O25"/>
    <mergeCell ref="J24:J25"/>
    <mergeCell ref="J23:N23"/>
    <mergeCell ref="A94:J94"/>
    <mergeCell ref="A95:J95"/>
    <mergeCell ref="A96:J96"/>
    <mergeCell ref="A79:Q79"/>
    <mergeCell ref="A83:Q83"/>
    <mergeCell ref="A85:J85"/>
    <mergeCell ref="E1:I1"/>
    <mergeCell ref="A117:J117"/>
    <mergeCell ref="A118:J118"/>
    <mergeCell ref="A114:J114"/>
    <mergeCell ref="A115:J115"/>
    <mergeCell ref="A116:J116"/>
    <mergeCell ref="A97:J97"/>
    <mergeCell ref="A110:J110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19:J119"/>
    <mergeCell ref="J14:K14"/>
    <mergeCell ref="J18:K18"/>
    <mergeCell ref="J19:K19"/>
    <mergeCell ref="J17:K17"/>
    <mergeCell ref="J16:K16"/>
    <mergeCell ref="J15:K15"/>
    <mergeCell ref="A111:J111"/>
    <mergeCell ref="A112:J112"/>
    <mergeCell ref="A113:J113"/>
    <mergeCell ref="A107:J107"/>
    <mergeCell ref="A108:J108"/>
    <mergeCell ref="A109:J109"/>
    <mergeCell ref="A91:J91"/>
    <mergeCell ref="A92:J92"/>
    <mergeCell ref="A93:J93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2"/>
  <sheetViews>
    <sheetView showGridLines="0" topLeftCell="A97" zoomScaleNormal="100" zoomScaleSheetLayoutView="75" workbookViewId="0">
      <selection activeCell="T116" sqref="T116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9.710937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8.8554687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outlineLevel="1" x14ac:dyDescent="0.2">
      <c r="A6" s="99"/>
      <c r="B6" s="102"/>
      <c r="C6" s="100"/>
      <c r="D6" s="4"/>
      <c r="E6" s="98"/>
      <c r="F6" s="98"/>
      <c r="G6" s="121" t="s">
        <v>492</v>
      </c>
      <c r="H6" s="121"/>
      <c r="I6" s="121"/>
      <c r="J6" s="98"/>
      <c r="K6" s="125"/>
      <c r="L6" s="98"/>
      <c r="M6" s="98"/>
      <c r="N6" s="98"/>
      <c r="O6" s="98"/>
      <c r="P6" s="98"/>
    </row>
    <row r="7" spans="1:18" x14ac:dyDescent="0.2">
      <c r="A7" s="99"/>
      <c r="B7" s="102"/>
      <c r="C7" s="100"/>
      <c r="D7" s="4"/>
      <c r="E7" s="98"/>
      <c r="F7" s="98"/>
      <c r="G7" s="99" t="s">
        <v>376</v>
      </c>
      <c r="H7" s="99"/>
      <c r="I7" s="99"/>
      <c r="J7" s="98"/>
      <c r="K7" s="125"/>
      <c r="L7" s="98"/>
      <c r="M7" s="98"/>
      <c r="N7" s="98"/>
      <c r="O7" s="98"/>
      <c r="P7" s="98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 t="s">
        <v>22</v>
      </c>
      <c r="D9" s="140" t="s">
        <v>736</v>
      </c>
      <c r="E9" s="139"/>
      <c r="F9" s="118"/>
      <c r="G9" s="118"/>
      <c r="H9" s="138"/>
      <c r="I9" s="118"/>
      <c r="J9" s="118"/>
      <c r="K9" s="126"/>
      <c r="L9" s="118"/>
      <c r="M9" s="98"/>
      <c r="N9" s="98"/>
      <c r="O9" s="98"/>
      <c r="P9" s="98"/>
      <c r="Q9" s="98"/>
    </row>
    <row r="10" spans="1:18" x14ac:dyDescent="0.2">
      <c r="A10" s="99"/>
      <c r="B10" s="102"/>
      <c r="C10" s="117"/>
      <c r="D10" s="137"/>
      <c r="E10" s="179" t="s">
        <v>491</v>
      </c>
      <c r="F10" s="179"/>
      <c r="G10" s="179"/>
      <c r="H10" s="179"/>
      <c r="I10" s="179"/>
      <c r="J10" s="179"/>
      <c r="K10" s="127"/>
      <c r="L10" s="113"/>
      <c r="M10" s="98"/>
      <c r="N10" s="98"/>
      <c r="O10" s="98"/>
      <c r="P10" s="98"/>
      <c r="Q10" s="98"/>
    </row>
    <row r="11" spans="1:18" x14ac:dyDescent="0.2">
      <c r="A11" s="99"/>
      <c r="B11" s="102"/>
      <c r="C11" s="101"/>
      <c r="D11" s="100"/>
      <c r="E11" s="116"/>
      <c r="F11" s="114"/>
      <c r="G11" s="114"/>
      <c r="H11" s="115" t="s">
        <v>149</v>
      </c>
      <c r="I11" s="115"/>
      <c r="J11" s="114"/>
      <c r="K11" s="127"/>
      <c r="L11" s="98"/>
      <c r="M11" s="98"/>
      <c r="N11" s="98"/>
      <c r="O11" s="98"/>
      <c r="P11" s="98"/>
      <c r="Q11" s="98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490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489</v>
      </c>
      <c r="K14" s="176"/>
      <c r="L14" s="5" t="s">
        <v>139</v>
      </c>
      <c r="M14" s="98"/>
      <c r="N14" s="109" t="s">
        <v>145</v>
      </c>
      <c r="O14" s="108"/>
      <c r="P14" s="107">
        <f>P15+P16+P17</f>
        <v>302.17914999999999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488</v>
      </c>
      <c r="K15" s="176"/>
      <c r="L15" s="5" t="s">
        <v>139</v>
      </c>
      <c r="M15" s="98"/>
      <c r="N15" s="109" t="s">
        <v>138</v>
      </c>
      <c r="O15" s="108"/>
      <c r="P15" s="107">
        <f>36.851*5.56</f>
        <v>204.89155999999997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487</v>
      </c>
      <c r="K16" s="176"/>
      <c r="L16" s="5" t="s">
        <v>139</v>
      </c>
      <c r="M16" s="98"/>
      <c r="N16" s="109" t="s">
        <v>370</v>
      </c>
      <c r="O16" s="108"/>
      <c r="P16" s="107">
        <f>9.32*3.664</f>
        <v>34.148479999999999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486</v>
      </c>
      <c r="K17" s="176"/>
      <c r="L17" s="5" t="s">
        <v>139</v>
      </c>
      <c r="M17" s="98"/>
      <c r="N17" s="109" t="s">
        <v>142</v>
      </c>
      <c r="O17" s="108"/>
      <c r="P17" s="107">
        <f>4.19*15.069</f>
        <v>63.139110000000009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485</v>
      </c>
      <c r="K18" s="176"/>
      <c r="L18" s="5" t="s">
        <v>139</v>
      </c>
      <c r="M18" s="98"/>
      <c r="N18" s="109" t="s">
        <v>138</v>
      </c>
      <c r="O18" s="108"/>
      <c r="P18" s="107">
        <f>5.56*6.794</f>
        <v>37.774639999999998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484</v>
      </c>
      <c r="K19" s="176"/>
      <c r="L19" s="5" t="s">
        <v>50</v>
      </c>
      <c r="M19" s="98"/>
      <c r="N19" s="109"/>
      <c r="O19" s="108"/>
      <c r="P19" s="107"/>
    </row>
    <row r="20" spans="1:17" s="135" customFormat="1" outlineLevel="1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K115/1000</f>
        <v>23.824999999999999</v>
      </c>
      <c r="L20" s="95" t="s">
        <v>365</v>
      </c>
      <c r="M20" s="96"/>
      <c r="N20" s="109" t="s">
        <v>138</v>
      </c>
      <c r="O20" s="136"/>
      <c r="P20" s="107">
        <f>K20*5.56</f>
        <v>132.46699999999998</v>
      </c>
    </row>
    <row r="21" spans="1:17" customFormat="1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x14ac:dyDescent="0.2">
      <c r="A27" s="166" t="s">
        <v>123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24" x14ac:dyDescent="0.2">
      <c r="A28" s="6">
        <v>1</v>
      </c>
      <c r="B28" s="92" t="s">
        <v>106</v>
      </c>
      <c r="C28" s="146" t="s">
        <v>483</v>
      </c>
      <c r="D28" s="91" t="s">
        <v>29</v>
      </c>
      <c r="E28" s="97">
        <v>1</v>
      </c>
      <c r="F28" s="12"/>
      <c r="G28" s="12"/>
      <c r="H28" s="12"/>
      <c r="I28" s="12"/>
      <c r="J28" s="12">
        <v>1316</v>
      </c>
      <c r="K28" s="129">
        <v>1316</v>
      </c>
      <c r="L28" s="12"/>
      <c r="M28" s="12"/>
      <c r="N28" s="12"/>
      <c r="O28" s="12"/>
      <c r="P28" s="12"/>
      <c r="Q28" s="12"/>
    </row>
    <row r="29" spans="1:17" ht="24" x14ac:dyDescent="0.2">
      <c r="A29" s="6">
        <v>2</v>
      </c>
      <c r="B29" s="92" t="s">
        <v>470</v>
      </c>
      <c r="C29" s="146" t="s">
        <v>482</v>
      </c>
      <c r="D29" s="91" t="s">
        <v>29</v>
      </c>
      <c r="E29" s="97">
        <v>1</v>
      </c>
      <c r="F29" s="89">
        <v>64.92</v>
      </c>
      <c r="G29" s="89">
        <v>57.52</v>
      </c>
      <c r="H29" s="89">
        <v>0.37</v>
      </c>
      <c r="I29" s="12"/>
      <c r="J29" s="12"/>
      <c r="K29" s="129">
        <v>65</v>
      </c>
      <c r="L29" s="12">
        <v>58</v>
      </c>
      <c r="M29" s="12"/>
      <c r="N29" s="12"/>
      <c r="O29" s="12">
        <v>4</v>
      </c>
      <c r="P29" s="12">
        <v>4</v>
      </c>
      <c r="Q29" s="12"/>
    </row>
    <row r="30" spans="1:17" ht="24" x14ac:dyDescent="0.2">
      <c r="A30" s="6">
        <v>3</v>
      </c>
      <c r="B30" s="92" t="s">
        <v>106</v>
      </c>
      <c r="C30" s="146" t="s">
        <v>481</v>
      </c>
      <c r="D30" s="91" t="s">
        <v>29</v>
      </c>
      <c r="E30" s="97">
        <v>2</v>
      </c>
      <c r="F30" s="12"/>
      <c r="G30" s="12"/>
      <c r="H30" s="12"/>
      <c r="I30" s="12"/>
      <c r="J30" s="12">
        <v>877</v>
      </c>
      <c r="K30" s="129">
        <v>877</v>
      </c>
      <c r="L30" s="12"/>
      <c r="M30" s="12"/>
      <c r="N30" s="12"/>
      <c r="O30" s="12"/>
      <c r="P30" s="12"/>
      <c r="Q30" s="12"/>
    </row>
    <row r="31" spans="1:17" x14ac:dyDescent="0.2">
      <c r="A31" s="6">
        <v>4</v>
      </c>
      <c r="B31" s="92" t="s">
        <v>470</v>
      </c>
      <c r="C31" s="146" t="s">
        <v>480</v>
      </c>
      <c r="D31" s="91" t="s">
        <v>29</v>
      </c>
      <c r="E31" s="97">
        <v>2</v>
      </c>
      <c r="F31" s="89">
        <v>64.92</v>
      </c>
      <c r="G31" s="89">
        <v>57.52</v>
      </c>
      <c r="H31" s="89">
        <v>0.37</v>
      </c>
      <c r="I31" s="12"/>
      <c r="J31" s="12"/>
      <c r="K31" s="129">
        <v>130</v>
      </c>
      <c r="L31" s="12">
        <v>115</v>
      </c>
      <c r="M31" s="12">
        <v>1</v>
      </c>
      <c r="N31" s="12"/>
      <c r="O31" s="12">
        <v>4</v>
      </c>
      <c r="P31" s="12">
        <v>8</v>
      </c>
      <c r="Q31" s="12"/>
    </row>
    <row r="32" spans="1:17" ht="24" x14ac:dyDescent="0.2">
      <c r="A32" s="6">
        <v>5</v>
      </c>
      <c r="B32" s="92" t="s">
        <v>106</v>
      </c>
      <c r="C32" s="146" t="s">
        <v>479</v>
      </c>
      <c r="D32" s="91" t="s">
        <v>29</v>
      </c>
      <c r="E32" s="97">
        <v>2</v>
      </c>
      <c r="F32" s="12"/>
      <c r="G32" s="12"/>
      <c r="H32" s="12"/>
      <c r="I32" s="12"/>
      <c r="J32" s="12">
        <v>439</v>
      </c>
      <c r="K32" s="129">
        <v>439</v>
      </c>
      <c r="L32" s="12"/>
      <c r="M32" s="12"/>
      <c r="N32" s="12"/>
      <c r="O32" s="12"/>
      <c r="P32" s="12"/>
      <c r="Q32" s="12"/>
    </row>
    <row r="33" spans="1:17" ht="24" x14ac:dyDescent="0.2">
      <c r="A33" s="6">
        <v>6</v>
      </c>
      <c r="B33" s="92" t="s">
        <v>470</v>
      </c>
      <c r="C33" s="146" t="s">
        <v>478</v>
      </c>
      <c r="D33" s="91" t="s">
        <v>29</v>
      </c>
      <c r="E33" s="97">
        <v>2</v>
      </c>
      <c r="F33" s="89">
        <v>64.92</v>
      </c>
      <c r="G33" s="89">
        <v>57.52</v>
      </c>
      <c r="H33" s="89">
        <v>0.37</v>
      </c>
      <c r="I33" s="12"/>
      <c r="J33" s="12"/>
      <c r="K33" s="129">
        <v>130</v>
      </c>
      <c r="L33" s="12">
        <v>115</v>
      </c>
      <c r="M33" s="12">
        <v>1</v>
      </c>
      <c r="N33" s="12"/>
      <c r="O33" s="12">
        <v>4</v>
      </c>
      <c r="P33" s="12">
        <v>8</v>
      </c>
      <c r="Q33" s="12"/>
    </row>
    <row r="34" spans="1:17" ht="36" x14ac:dyDescent="0.2">
      <c r="A34" s="6">
        <v>7</v>
      </c>
      <c r="B34" s="92" t="s">
        <v>106</v>
      </c>
      <c r="C34" s="146" t="s">
        <v>477</v>
      </c>
      <c r="D34" s="91" t="s">
        <v>29</v>
      </c>
      <c r="E34" s="97">
        <v>1</v>
      </c>
      <c r="F34" s="12"/>
      <c r="G34" s="12"/>
      <c r="H34" s="12"/>
      <c r="I34" s="12"/>
      <c r="J34" s="12">
        <v>636</v>
      </c>
      <c r="K34" s="129">
        <v>636</v>
      </c>
      <c r="L34" s="12"/>
      <c r="M34" s="12"/>
      <c r="N34" s="12"/>
      <c r="O34" s="12"/>
      <c r="P34" s="12"/>
      <c r="Q34" s="12"/>
    </row>
    <row r="35" spans="1:17" x14ac:dyDescent="0.2">
      <c r="A35" s="6">
        <v>8</v>
      </c>
      <c r="B35" s="92" t="s">
        <v>470</v>
      </c>
      <c r="C35" s="146" t="s">
        <v>476</v>
      </c>
      <c r="D35" s="91" t="s">
        <v>29</v>
      </c>
      <c r="E35" s="97">
        <v>1</v>
      </c>
      <c r="F35" s="89">
        <v>64.92</v>
      </c>
      <c r="G35" s="89">
        <v>57.52</v>
      </c>
      <c r="H35" s="89">
        <v>0.37</v>
      </c>
      <c r="I35" s="12"/>
      <c r="J35" s="12"/>
      <c r="K35" s="129">
        <v>65</v>
      </c>
      <c r="L35" s="12">
        <v>58</v>
      </c>
      <c r="M35" s="12"/>
      <c r="N35" s="12"/>
      <c r="O35" s="12">
        <v>4</v>
      </c>
      <c r="P35" s="12">
        <v>4</v>
      </c>
      <c r="Q35" s="12"/>
    </row>
    <row r="36" spans="1:17" ht="24" x14ac:dyDescent="0.2">
      <c r="A36" s="6">
        <v>9</v>
      </c>
      <c r="B36" s="92" t="s">
        <v>106</v>
      </c>
      <c r="C36" s="146" t="s">
        <v>361</v>
      </c>
      <c r="D36" s="91" t="s">
        <v>29</v>
      </c>
      <c r="E36" s="97">
        <v>1</v>
      </c>
      <c r="F36" s="12"/>
      <c r="G36" s="12"/>
      <c r="H36" s="12"/>
      <c r="I36" s="12"/>
      <c r="J36" s="12">
        <v>961</v>
      </c>
      <c r="K36" s="129">
        <v>961</v>
      </c>
      <c r="L36" s="12"/>
      <c r="M36" s="12"/>
      <c r="N36" s="12"/>
      <c r="O36" s="12"/>
      <c r="P36" s="12"/>
      <c r="Q36" s="12"/>
    </row>
    <row r="37" spans="1:17" ht="24" x14ac:dyDescent="0.2">
      <c r="A37" s="6">
        <v>10</v>
      </c>
      <c r="B37" s="92" t="s">
        <v>360</v>
      </c>
      <c r="C37" s="146" t="s">
        <v>359</v>
      </c>
      <c r="D37" s="91" t="s">
        <v>29</v>
      </c>
      <c r="E37" s="97">
        <v>1</v>
      </c>
      <c r="F37" s="89">
        <v>256.7</v>
      </c>
      <c r="G37" s="89">
        <v>157.76</v>
      </c>
      <c r="H37" s="89">
        <v>33.83</v>
      </c>
      <c r="I37" s="89">
        <v>6.87</v>
      </c>
      <c r="J37" s="12"/>
      <c r="K37" s="129">
        <v>257</v>
      </c>
      <c r="L37" s="12">
        <v>158</v>
      </c>
      <c r="M37" s="12">
        <v>34</v>
      </c>
      <c r="N37" s="12">
        <v>7</v>
      </c>
      <c r="O37" s="12">
        <v>10.1</v>
      </c>
      <c r="P37" s="12">
        <v>10.1</v>
      </c>
      <c r="Q37" s="12"/>
    </row>
    <row r="38" spans="1:17" ht="24" x14ac:dyDescent="0.2">
      <c r="A38" s="6">
        <v>11</v>
      </c>
      <c r="B38" s="92" t="s">
        <v>106</v>
      </c>
      <c r="C38" s="146" t="s">
        <v>475</v>
      </c>
      <c r="D38" s="91" t="s">
        <v>33</v>
      </c>
      <c r="E38" s="97">
        <v>2</v>
      </c>
      <c r="F38" s="89">
        <v>213.94</v>
      </c>
      <c r="G38" s="12"/>
      <c r="H38" s="12"/>
      <c r="I38" s="12"/>
      <c r="J38" s="12"/>
      <c r="K38" s="129">
        <v>428</v>
      </c>
      <c r="L38" s="12"/>
      <c r="M38" s="12"/>
      <c r="N38" s="12"/>
      <c r="O38" s="12"/>
      <c r="P38" s="12"/>
      <c r="Q38" s="12"/>
    </row>
    <row r="39" spans="1:17" ht="36" x14ac:dyDescent="0.2">
      <c r="A39" s="6">
        <v>12</v>
      </c>
      <c r="B39" s="92" t="s">
        <v>106</v>
      </c>
      <c r="C39" s="146" t="s">
        <v>474</v>
      </c>
      <c r="D39" s="91" t="s">
        <v>33</v>
      </c>
      <c r="E39" s="97">
        <v>33</v>
      </c>
      <c r="F39" s="89">
        <v>117.36</v>
      </c>
      <c r="G39" s="12"/>
      <c r="H39" s="12"/>
      <c r="I39" s="12"/>
      <c r="J39" s="12"/>
      <c r="K39" s="129">
        <v>3873</v>
      </c>
      <c r="L39" s="12"/>
      <c r="M39" s="12"/>
      <c r="N39" s="12"/>
      <c r="O39" s="12"/>
      <c r="P39" s="12"/>
      <c r="Q39" s="12"/>
    </row>
    <row r="40" spans="1:17" ht="48" x14ac:dyDescent="0.2">
      <c r="A40" s="6">
        <v>13</v>
      </c>
      <c r="B40" s="92" t="s">
        <v>351</v>
      </c>
      <c r="C40" s="146" t="s">
        <v>350</v>
      </c>
      <c r="D40" s="91" t="s">
        <v>29</v>
      </c>
      <c r="E40" s="97">
        <v>30</v>
      </c>
      <c r="F40" s="89">
        <v>28.38</v>
      </c>
      <c r="G40" s="89">
        <v>22.76</v>
      </c>
      <c r="H40" s="89">
        <v>0.46</v>
      </c>
      <c r="I40" s="12"/>
      <c r="J40" s="12"/>
      <c r="K40" s="129">
        <v>851</v>
      </c>
      <c r="L40" s="12">
        <v>683</v>
      </c>
      <c r="M40" s="12">
        <v>14</v>
      </c>
      <c r="N40" s="12"/>
      <c r="O40" s="12">
        <v>1.68</v>
      </c>
      <c r="P40" s="12">
        <v>50.4</v>
      </c>
      <c r="Q40" s="12"/>
    </row>
    <row r="41" spans="1:17" ht="36" x14ac:dyDescent="0.2">
      <c r="A41" s="6">
        <v>14</v>
      </c>
      <c r="B41" s="92" t="s">
        <v>106</v>
      </c>
      <c r="C41" s="146" t="s">
        <v>473</v>
      </c>
      <c r="D41" s="91" t="s">
        <v>33</v>
      </c>
      <c r="E41" s="97">
        <v>5</v>
      </c>
      <c r="F41" s="89">
        <v>110.24</v>
      </c>
      <c r="G41" s="12"/>
      <c r="H41" s="12"/>
      <c r="I41" s="12"/>
      <c r="J41" s="12"/>
      <c r="K41" s="129">
        <v>551</v>
      </c>
      <c r="L41" s="12"/>
      <c r="M41" s="12"/>
      <c r="N41" s="12"/>
      <c r="O41" s="12"/>
      <c r="P41" s="12"/>
      <c r="Q41" s="12"/>
    </row>
    <row r="42" spans="1:17" ht="48" x14ac:dyDescent="0.2">
      <c r="A42" s="6">
        <v>15</v>
      </c>
      <c r="B42" s="92" t="s">
        <v>351</v>
      </c>
      <c r="C42" s="146" t="s">
        <v>350</v>
      </c>
      <c r="D42" s="91" t="s">
        <v>29</v>
      </c>
      <c r="E42" s="90">
        <v>4</v>
      </c>
      <c r="F42" s="89">
        <v>28.38</v>
      </c>
      <c r="G42" s="89">
        <v>22.76</v>
      </c>
      <c r="H42" s="89">
        <v>0.46</v>
      </c>
      <c r="I42" s="12"/>
      <c r="J42" s="12"/>
      <c r="K42" s="129">
        <v>114</v>
      </c>
      <c r="L42" s="12">
        <v>91</v>
      </c>
      <c r="M42" s="12">
        <v>2</v>
      </c>
      <c r="N42" s="12"/>
      <c r="O42" s="12">
        <v>1.68</v>
      </c>
      <c r="P42" s="12">
        <v>6.72</v>
      </c>
      <c r="Q42" s="12"/>
    </row>
    <row r="43" spans="1:17" ht="24" x14ac:dyDescent="0.2">
      <c r="A43" s="6">
        <v>16</v>
      </c>
      <c r="B43" s="92" t="s">
        <v>106</v>
      </c>
      <c r="C43" s="146" t="s">
        <v>472</v>
      </c>
      <c r="D43" s="91" t="s">
        <v>33</v>
      </c>
      <c r="E43" s="97">
        <v>6</v>
      </c>
      <c r="F43" s="89">
        <v>91.45</v>
      </c>
      <c r="G43" s="12"/>
      <c r="H43" s="12"/>
      <c r="I43" s="12"/>
      <c r="J43" s="12"/>
      <c r="K43" s="129">
        <v>549</v>
      </c>
      <c r="L43" s="12"/>
      <c r="M43" s="12"/>
      <c r="N43" s="12"/>
      <c r="O43" s="12"/>
      <c r="P43" s="12"/>
      <c r="Q43" s="12"/>
    </row>
    <row r="44" spans="1:17" x14ac:dyDescent="0.2">
      <c r="A44" s="6">
        <v>17</v>
      </c>
      <c r="B44" s="92" t="s">
        <v>333</v>
      </c>
      <c r="C44" s="146" t="s">
        <v>337</v>
      </c>
      <c r="D44" s="91" t="s">
        <v>29</v>
      </c>
      <c r="E44" s="97">
        <v>5</v>
      </c>
      <c r="F44" s="89">
        <v>13.89</v>
      </c>
      <c r="G44" s="89">
        <v>12.78</v>
      </c>
      <c r="H44" s="12"/>
      <c r="I44" s="12"/>
      <c r="J44" s="12"/>
      <c r="K44" s="129">
        <v>69</v>
      </c>
      <c r="L44" s="12">
        <v>64</v>
      </c>
      <c r="M44" s="12"/>
      <c r="N44" s="12"/>
      <c r="O44" s="12">
        <v>1</v>
      </c>
      <c r="P44" s="12">
        <v>5</v>
      </c>
      <c r="Q44" s="12"/>
    </row>
    <row r="45" spans="1:17" ht="24" x14ac:dyDescent="0.2">
      <c r="A45" s="6">
        <v>18</v>
      </c>
      <c r="B45" s="92" t="s">
        <v>106</v>
      </c>
      <c r="C45" s="146" t="s">
        <v>471</v>
      </c>
      <c r="D45" s="91" t="s">
        <v>29</v>
      </c>
      <c r="E45" s="97">
        <v>1</v>
      </c>
      <c r="F45" s="12"/>
      <c r="G45" s="12"/>
      <c r="H45" s="12"/>
      <c r="I45" s="12"/>
      <c r="J45" s="12">
        <v>97</v>
      </c>
      <c r="K45" s="129">
        <v>97</v>
      </c>
      <c r="L45" s="12"/>
      <c r="M45" s="12"/>
      <c r="N45" s="12"/>
      <c r="O45" s="12"/>
      <c r="P45" s="12"/>
      <c r="Q45" s="12"/>
    </row>
    <row r="46" spans="1:17" x14ac:dyDescent="0.2">
      <c r="A46" s="6">
        <v>19</v>
      </c>
      <c r="B46" s="92" t="s">
        <v>470</v>
      </c>
      <c r="C46" s="146" t="s">
        <v>469</v>
      </c>
      <c r="D46" s="91" t="s">
        <v>29</v>
      </c>
      <c r="E46" s="97">
        <v>1</v>
      </c>
      <c r="F46" s="89">
        <v>64.92</v>
      </c>
      <c r="G46" s="89">
        <v>57.52</v>
      </c>
      <c r="H46" s="89">
        <v>0.37</v>
      </c>
      <c r="I46" s="12"/>
      <c r="J46" s="12"/>
      <c r="K46" s="129">
        <v>65</v>
      </c>
      <c r="L46" s="12">
        <v>58</v>
      </c>
      <c r="M46" s="12"/>
      <c r="N46" s="12"/>
      <c r="O46" s="12">
        <v>4</v>
      </c>
      <c r="P46" s="12">
        <v>4</v>
      </c>
      <c r="Q46" s="12"/>
    </row>
    <row r="47" spans="1:17" ht="36" x14ac:dyDescent="0.2">
      <c r="A47" s="6">
        <v>20</v>
      </c>
      <c r="B47" s="92" t="s">
        <v>106</v>
      </c>
      <c r="C47" s="146" t="s">
        <v>468</v>
      </c>
      <c r="D47" s="91" t="s">
        <v>29</v>
      </c>
      <c r="E47" s="97">
        <v>3</v>
      </c>
      <c r="F47" s="12"/>
      <c r="G47" s="12"/>
      <c r="H47" s="12"/>
      <c r="I47" s="12"/>
      <c r="J47" s="12">
        <v>10024</v>
      </c>
      <c r="K47" s="129">
        <v>10024</v>
      </c>
      <c r="L47" s="12"/>
      <c r="M47" s="12"/>
      <c r="N47" s="12"/>
      <c r="O47" s="12"/>
      <c r="P47" s="12"/>
      <c r="Q47" s="12"/>
    </row>
    <row r="48" spans="1:17" ht="24" x14ac:dyDescent="0.2">
      <c r="A48" s="6">
        <v>21</v>
      </c>
      <c r="B48" s="92" t="s">
        <v>348</v>
      </c>
      <c r="C48" s="146" t="s">
        <v>347</v>
      </c>
      <c r="D48" s="91" t="s">
        <v>346</v>
      </c>
      <c r="E48" s="97">
        <v>2</v>
      </c>
      <c r="F48" s="89">
        <v>104.48</v>
      </c>
      <c r="G48" s="89">
        <v>87.8</v>
      </c>
      <c r="H48" s="89">
        <v>1</v>
      </c>
      <c r="I48" s="12"/>
      <c r="J48" s="12"/>
      <c r="K48" s="129">
        <v>209</v>
      </c>
      <c r="L48" s="12">
        <v>176</v>
      </c>
      <c r="M48" s="12">
        <v>2</v>
      </c>
      <c r="N48" s="12"/>
      <c r="O48" s="12">
        <v>6.48</v>
      </c>
      <c r="P48" s="12">
        <v>12.96</v>
      </c>
      <c r="Q48" s="12"/>
    </row>
    <row r="49" spans="1:17" ht="48" x14ac:dyDescent="0.2">
      <c r="A49" s="6">
        <v>22</v>
      </c>
      <c r="B49" s="92" t="s">
        <v>106</v>
      </c>
      <c r="C49" s="146" t="s">
        <v>467</v>
      </c>
      <c r="D49" s="91" t="s">
        <v>35</v>
      </c>
      <c r="E49" s="90">
        <v>75</v>
      </c>
      <c r="F49" s="89">
        <v>130.93</v>
      </c>
      <c r="G49" s="12"/>
      <c r="H49" s="12"/>
      <c r="I49" s="12"/>
      <c r="J49" s="12"/>
      <c r="K49" s="129">
        <v>9820</v>
      </c>
      <c r="L49" s="12"/>
      <c r="M49" s="12"/>
      <c r="N49" s="12"/>
      <c r="O49" s="12"/>
      <c r="P49" s="12"/>
      <c r="Q49" s="12"/>
    </row>
    <row r="50" spans="1:17" ht="24" x14ac:dyDescent="0.2">
      <c r="A50" s="6">
        <v>23</v>
      </c>
      <c r="B50" s="92" t="s">
        <v>343</v>
      </c>
      <c r="C50" s="146" t="s">
        <v>342</v>
      </c>
      <c r="D50" s="91" t="s">
        <v>76</v>
      </c>
      <c r="E50" s="90">
        <v>0.5</v>
      </c>
      <c r="F50" s="89">
        <v>1837.57</v>
      </c>
      <c r="G50" s="89">
        <v>474.14</v>
      </c>
      <c r="H50" s="89">
        <v>129.78</v>
      </c>
      <c r="I50" s="89">
        <v>23.9</v>
      </c>
      <c r="J50" s="12"/>
      <c r="K50" s="129">
        <v>919</v>
      </c>
      <c r="L50" s="12">
        <v>237</v>
      </c>
      <c r="M50" s="12">
        <v>65</v>
      </c>
      <c r="N50" s="12">
        <v>12</v>
      </c>
      <c r="O50" s="12">
        <v>37.1</v>
      </c>
      <c r="P50" s="12">
        <v>18.55</v>
      </c>
      <c r="Q50" s="12"/>
    </row>
    <row r="51" spans="1:17" ht="24" x14ac:dyDescent="0.2">
      <c r="A51" s="6">
        <v>24</v>
      </c>
      <c r="B51" s="92" t="s">
        <v>106</v>
      </c>
      <c r="C51" s="146" t="s">
        <v>420</v>
      </c>
      <c r="D51" s="91" t="s">
        <v>33</v>
      </c>
      <c r="E51" s="97">
        <v>6</v>
      </c>
      <c r="F51" s="89">
        <v>79.260000000000005</v>
      </c>
      <c r="G51" s="12"/>
      <c r="H51" s="12"/>
      <c r="I51" s="12"/>
      <c r="J51" s="12"/>
      <c r="K51" s="129">
        <v>476</v>
      </c>
      <c r="L51" s="12"/>
      <c r="M51" s="12"/>
      <c r="N51" s="12"/>
      <c r="O51" s="12"/>
      <c r="P51" s="12"/>
      <c r="Q51" s="12"/>
    </row>
    <row r="52" spans="1:17" x14ac:dyDescent="0.2">
      <c r="A52" s="6">
        <v>25</v>
      </c>
      <c r="B52" s="92" t="s">
        <v>333</v>
      </c>
      <c r="C52" s="146" t="s">
        <v>332</v>
      </c>
      <c r="D52" s="91" t="s">
        <v>29</v>
      </c>
      <c r="E52" s="97">
        <v>6</v>
      </c>
      <c r="F52" s="89">
        <v>13.89</v>
      </c>
      <c r="G52" s="89">
        <v>12.78</v>
      </c>
      <c r="H52" s="12"/>
      <c r="I52" s="12"/>
      <c r="J52" s="12"/>
      <c r="K52" s="129">
        <v>83</v>
      </c>
      <c r="L52" s="12">
        <v>77</v>
      </c>
      <c r="M52" s="12"/>
      <c r="N52" s="12"/>
      <c r="O52" s="12">
        <v>1</v>
      </c>
      <c r="P52" s="12">
        <v>6</v>
      </c>
      <c r="Q52" s="12"/>
    </row>
    <row r="53" spans="1:17" ht="24" x14ac:dyDescent="0.2">
      <c r="A53" s="6">
        <v>26</v>
      </c>
      <c r="B53" s="92" t="s">
        <v>106</v>
      </c>
      <c r="C53" s="146" t="s">
        <v>466</v>
      </c>
      <c r="D53" s="91" t="s">
        <v>33</v>
      </c>
      <c r="E53" s="97">
        <v>5</v>
      </c>
      <c r="F53" s="89">
        <v>26.67</v>
      </c>
      <c r="G53" s="12"/>
      <c r="H53" s="12"/>
      <c r="I53" s="12"/>
      <c r="J53" s="12"/>
      <c r="K53" s="129">
        <v>133</v>
      </c>
      <c r="L53" s="12"/>
      <c r="M53" s="12"/>
      <c r="N53" s="12"/>
      <c r="O53" s="12"/>
      <c r="P53" s="12"/>
      <c r="Q53" s="12"/>
    </row>
    <row r="54" spans="1:17" x14ac:dyDescent="0.2">
      <c r="A54" s="6">
        <v>27</v>
      </c>
      <c r="B54" s="92" t="s">
        <v>330</v>
      </c>
      <c r="C54" s="146" t="s">
        <v>335</v>
      </c>
      <c r="D54" s="91" t="s">
        <v>29</v>
      </c>
      <c r="E54" s="97">
        <v>5</v>
      </c>
      <c r="F54" s="89">
        <v>98.76</v>
      </c>
      <c r="G54" s="89">
        <v>74.88</v>
      </c>
      <c r="H54" s="12"/>
      <c r="I54" s="12"/>
      <c r="J54" s="12"/>
      <c r="K54" s="129">
        <v>494</v>
      </c>
      <c r="L54" s="12">
        <v>374</v>
      </c>
      <c r="M54" s="12"/>
      <c r="N54" s="12"/>
      <c r="O54" s="12">
        <v>6</v>
      </c>
      <c r="P54" s="12">
        <v>30</v>
      </c>
      <c r="Q54" s="12"/>
    </row>
    <row r="55" spans="1:17" ht="24" x14ac:dyDescent="0.2">
      <c r="A55" s="6">
        <v>28</v>
      </c>
      <c r="B55" s="92" t="s">
        <v>106</v>
      </c>
      <c r="C55" s="146" t="s">
        <v>325</v>
      </c>
      <c r="D55" s="91" t="s">
        <v>33</v>
      </c>
      <c r="E55" s="97">
        <v>1</v>
      </c>
      <c r="F55" s="12"/>
      <c r="G55" s="12"/>
      <c r="H55" s="12"/>
      <c r="I55" s="12"/>
      <c r="J55" s="12">
        <v>107</v>
      </c>
      <c r="K55" s="129">
        <v>107</v>
      </c>
      <c r="L55" s="12"/>
      <c r="M55" s="12"/>
      <c r="N55" s="12"/>
      <c r="O55" s="12"/>
      <c r="P55" s="12"/>
      <c r="Q55" s="12"/>
    </row>
    <row r="56" spans="1:17" ht="24" x14ac:dyDescent="0.2">
      <c r="A56" s="6">
        <v>29</v>
      </c>
      <c r="B56" s="92" t="s">
        <v>324</v>
      </c>
      <c r="C56" s="146" t="s">
        <v>323</v>
      </c>
      <c r="D56" s="91" t="s">
        <v>29</v>
      </c>
      <c r="E56" s="97">
        <v>1</v>
      </c>
      <c r="F56" s="89">
        <v>59.97</v>
      </c>
      <c r="G56" s="89">
        <v>51.77</v>
      </c>
      <c r="H56" s="89">
        <v>0.37</v>
      </c>
      <c r="I56" s="12"/>
      <c r="J56" s="12"/>
      <c r="K56" s="129">
        <v>60</v>
      </c>
      <c r="L56" s="12">
        <v>52</v>
      </c>
      <c r="M56" s="12"/>
      <c r="N56" s="12"/>
      <c r="O56" s="12">
        <v>3.6</v>
      </c>
      <c r="P56" s="12">
        <v>3.6</v>
      </c>
      <c r="Q56" s="12"/>
    </row>
    <row r="57" spans="1:17" x14ac:dyDescent="0.2">
      <c r="A57" s="6">
        <v>30</v>
      </c>
      <c r="B57" s="92" t="s">
        <v>405</v>
      </c>
      <c r="C57" s="146" t="s">
        <v>296</v>
      </c>
      <c r="D57" s="91" t="s">
        <v>30</v>
      </c>
      <c r="E57" s="97">
        <v>1</v>
      </c>
      <c r="F57" s="89">
        <v>33.29</v>
      </c>
      <c r="G57" s="12"/>
      <c r="H57" s="12"/>
      <c r="I57" s="12"/>
      <c r="J57" s="12"/>
      <c r="K57" s="129">
        <v>33</v>
      </c>
      <c r="L57" s="12"/>
      <c r="M57" s="12"/>
      <c r="N57" s="12"/>
      <c r="O57" s="12"/>
      <c r="P57" s="12"/>
      <c r="Q57" s="12"/>
    </row>
    <row r="58" spans="1:17" ht="36" x14ac:dyDescent="0.2">
      <c r="A58" s="6">
        <v>31</v>
      </c>
      <c r="B58" s="92" t="s">
        <v>295</v>
      </c>
      <c r="C58" s="146" t="s">
        <v>294</v>
      </c>
      <c r="D58" s="91" t="s">
        <v>29</v>
      </c>
      <c r="E58" s="97">
        <v>1</v>
      </c>
      <c r="F58" s="89">
        <v>174.77</v>
      </c>
      <c r="G58" s="89">
        <v>20.9</v>
      </c>
      <c r="H58" s="89">
        <v>1.28</v>
      </c>
      <c r="I58" s="12"/>
      <c r="J58" s="12"/>
      <c r="K58" s="129">
        <v>175</v>
      </c>
      <c r="L58" s="12">
        <v>21</v>
      </c>
      <c r="M58" s="12">
        <v>1</v>
      </c>
      <c r="N58" s="12"/>
      <c r="O58" s="12">
        <v>1.56</v>
      </c>
      <c r="P58" s="12">
        <v>1.56</v>
      </c>
      <c r="Q58" s="12"/>
    </row>
    <row r="59" spans="1:17" ht="72" x14ac:dyDescent="0.2">
      <c r="A59" s="6">
        <v>32</v>
      </c>
      <c r="B59" s="92" t="s">
        <v>315</v>
      </c>
      <c r="C59" s="146" t="s">
        <v>314</v>
      </c>
      <c r="D59" s="91" t="s">
        <v>31</v>
      </c>
      <c r="E59" s="90">
        <v>0.08</v>
      </c>
      <c r="F59" s="89">
        <v>6962.8</v>
      </c>
      <c r="G59" s="12"/>
      <c r="H59" s="12"/>
      <c r="I59" s="12"/>
      <c r="J59" s="12"/>
      <c r="K59" s="129">
        <v>557</v>
      </c>
      <c r="L59" s="12"/>
      <c r="M59" s="12"/>
      <c r="N59" s="12"/>
      <c r="O59" s="12"/>
      <c r="P59" s="12"/>
      <c r="Q59" s="12"/>
    </row>
    <row r="60" spans="1:17" ht="72" x14ac:dyDescent="0.2">
      <c r="A60" s="6">
        <v>33</v>
      </c>
      <c r="B60" s="92" t="s">
        <v>465</v>
      </c>
      <c r="C60" s="146" t="s">
        <v>464</v>
      </c>
      <c r="D60" s="91" t="s">
        <v>31</v>
      </c>
      <c r="E60" s="90">
        <v>4.0000000000000001E-3</v>
      </c>
      <c r="F60" s="89">
        <v>4439.3</v>
      </c>
      <c r="G60" s="12"/>
      <c r="H60" s="12"/>
      <c r="I60" s="12"/>
      <c r="J60" s="12"/>
      <c r="K60" s="129">
        <v>18</v>
      </c>
      <c r="L60" s="12"/>
      <c r="M60" s="12"/>
      <c r="N60" s="12"/>
      <c r="O60" s="12"/>
      <c r="P60" s="12"/>
      <c r="Q60" s="12"/>
    </row>
    <row r="61" spans="1:17" ht="60" x14ac:dyDescent="0.2">
      <c r="A61" s="6">
        <v>34</v>
      </c>
      <c r="B61" s="92" t="s">
        <v>418</v>
      </c>
      <c r="C61" s="146" t="s">
        <v>417</v>
      </c>
      <c r="D61" s="91" t="s">
        <v>34</v>
      </c>
      <c r="E61" s="90">
        <v>0.12</v>
      </c>
      <c r="F61" s="89">
        <v>4032.86</v>
      </c>
      <c r="G61" s="89">
        <v>683.7</v>
      </c>
      <c r="H61" s="89">
        <v>957.86</v>
      </c>
      <c r="I61" s="89">
        <v>390.47</v>
      </c>
      <c r="J61" s="12"/>
      <c r="K61" s="129">
        <v>484</v>
      </c>
      <c r="L61" s="12">
        <v>82</v>
      </c>
      <c r="M61" s="12">
        <v>115</v>
      </c>
      <c r="N61" s="12">
        <v>47</v>
      </c>
      <c r="O61" s="12">
        <v>51.6</v>
      </c>
      <c r="P61" s="12">
        <v>6.19</v>
      </c>
      <c r="Q61" s="12"/>
    </row>
    <row r="62" spans="1:17" ht="24" x14ac:dyDescent="0.2">
      <c r="A62" s="6">
        <v>35</v>
      </c>
      <c r="B62" s="92" t="s">
        <v>106</v>
      </c>
      <c r="C62" s="146" t="s">
        <v>415</v>
      </c>
      <c r="D62" s="91" t="s">
        <v>31</v>
      </c>
      <c r="E62" s="90">
        <v>0.55600000000000005</v>
      </c>
      <c r="F62" s="89">
        <v>4575.3599999999997</v>
      </c>
      <c r="G62" s="12"/>
      <c r="H62" s="12"/>
      <c r="I62" s="12"/>
      <c r="J62" s="12"/>
      <c r="K62" s="129">
        <v>2544</v>
      </c>
      <c r="L62" s="12"/>
      <c r="M62" s="12"/>
      <c r="N62" s="12"/>
      <c r="O62" s="12"/>
      <c r="P62" s="12"/>
      <c r="Q62" s="12"/>
    </row>
    <row r="63" spans="1:17" ht="24" x14ac:dyDescent="0.2">
      <c r="A63" s="6">
        <v>36</v>
      </c>
      <c r="B63" s="92" t="s">
        <v>106</v>
      </c>
      <c r="C63" s="146" t="s">
        <v>463</v>
      </c>
      <c r="D63" s="91" t="s">
        <v>31</v>
      </c>
      <c r="E63" s="90">
        <v>1.2E-2</v>
      </c>
      <c r="F63" s="89">
        <v>9426.14</v>
      </c>
      <c r="G63" s="12"/>
      <c r="H63" s="12"/>
      <c r="I63" s="12"/>
      <c r="J63" s="12"/>
      <c r="K63" s="129">
        <v>113</v>
      </c>
      <c r="L63" s="12"/>
      <c r="M63" s="12"/>
      <c r="N63" s="12"/>
      <c r="O63" s="12"/>
      <c r="P63" s="12"/>
      <c r="Q63" s="12"/>
    </row>
    <row r="64" spans="1:17" ht="24" x14ac:dyDescent="0.2">
      <c r="A64" s="6">
        <v>37</v>
      </c>
      <c r="B64" s="92" t="s">
        <v>106</v>
      </c>
      <c r="C64" s="146" t="s">
        <v>462</v>
      </c>
      <c r="D64" s="91" t="s">
        <v>31</v>
      </c>
      <c r="E64" s="90">
        <v>3.0000000000000001E-3</v>
      </c>
      <c r="F64" s="89">
        <v>8322.16</v>
      </c>
      <c r="G64" s="12"/>
      <c r="H64" s="12"/>
      <c r="I64" s="12"/>
      <c r="J64" s="12"/>
      <c r="K64" s="129">
        <v>25</v>
      </c>
      <c r="L64" s="12"/>
      <c r="M64" s="12"/>
      <c r="N64" s="12"/>
      <c r="O64" s="12"/>
      <c r="P64" s="12"/>
      <c r="Q64" s="12"/>
    </row>
    <row r="65" spans="1:17" ht="24" x14ac:dyDescent="0.2">
      <c r="A65" s="6">
        <v>38</v>
      </c>
      <c r="B65" s="92" t="s">
        <v>313</v>
      </c>
      <c r="C65" s="146" t="s">
        <v>312</v>
      </c>
      <c r="D65" s="91" t="s">
        <v>34</v>
      </c>
      <c r="E65" s="90">
        <v>5.71</v>
      </c>
      <c r="F65" s="89">
        <v>189.23</v>
      </c>
      <c r="G65" s="89">
        <v>46.64</v>
      </c>
      <c r="H65" s="89">
        <v>56.09</v>
      </c>
      <c r="I65" s="89">
        <v>24.55</v>
      </c>
      <c r="J65" s="12"/>
      <c r="K65" s="129">
        <v>1081</v>
      </c>
      <c r="L65" s="12">
        <v>266</v>
      </c>
      <c r="M65" s="12">
        <v>320</v>
      </c>
      <c r="N65" s="12">
        <v>140</v>
      </c>
      <c r="O65" s="12">
        <v>3.52</v>
      </c>
      <c r="P65" s="12">
        <v>20.100000000000001</v>
      </c>
      <c r="Q65" s="12"/>
    </row>
    <row r="66" spans="1:17" x14ac:dyDescent="0.2">
      <c r="A66" s="6">
        <v>39</v>
      </c>
      <c r="B66" s="92" t="s">
        <v>461</v>
      </c>
      <c r="C66" s="146" t="s">
        <v>460</v>
      </c>
      <c r="D66" s="91" t="s">
        <v>30</v>
      </c>
      <c r="E66" s="97">
        <v>7</v>
      </c>
      <c r="F66" s="89">
        <v>2.85</v>
      </c>
      <c r="G66" s="12"/>
      <c r="H66" s="12"/>
      <c r="I66" s="12"/>
      <c r="J66" s="12"/>
      <c r="K66" s="129">
        <v>20</v>
      </c>
      <c r="L66" s="12"/>
      <c r="M66" s="12"/>
      <c r="N66" s="12"/>
      <c r="O66" s="12"/>
      <c r="P66" s="12"/>
      <c r="Q66" s="12"/>
    </row>
    <row r="67" spans="1:17" x14ac:dyDescent="0.2">
      <c r="A67" s="6">
        <v>40</v>
      </c>
      <c r="B67" s="92" t="s">
        <v>459</v>
      </c>
      <c r="C67" s="146" t="s">
        <v>458</v>
      </c>
      <c r="D67" s="91" t="s">
        <v>29</v>
      </c>
      <c r="E67" s="97">
        <v>6</v>
      </c>
      <c r="F67" s="89">
        <v>7.32</v>
      </c>
      <c r="G67" s="89">
        <v>6.88</v>
      </c>
      <c r="H67" s="12"/>
      <c r="I67" s="12"/>
      <c r="J67" s="12"/>
      <c r="K67" s="129">
        <v>44</v>
      </c>
      <c r="L67" s="12">
        <v>41</v>
      </c>
      <c r="M67" s="12"/>
      <c r="N67" s="12"/>
      <c r="O67" s="12">
        <v>0.5</v>
      </c>
      <c r="P67" s="12">
        <v>3</v>
      </c>
      <c r="Q67" s="12"/>
    </row>
    <row r="68" spans="1:17" ht="36" x14ac:dyDescent="0.2">
      <c r="A68" s="6">
        <v>41</v>
      </c>
      <c r="B68" s="92" t="s">
        <v>291</v>
      </c>
      <c r="C68" s="146" t="s">
        <v>290</v>
      </c>
      <c r="D68" s="91" t="s">
        <v>29</v>
      </c>
      <c r="E68" s="97">
        <v>4</v>
      </c>
      <c r="F68" s="89">
        <v>27.06</v>
      </c>
      <c r="G68" s="89">
        <v>11.51</v>
      </c>
      <c r="H68" s="12"/>
      <c r="I68" s="12"/>
      <c r="J68" s="12"/>
      <c r="K68" s="129">
        <v>108</v>
      </c>
      <c r="L68" s="12">
        <v>46</v>
      </c>
      <c r="M68" s="12"/>
      <c r="N68" s="12"/>
      <c r="O68" s="12">
        <v>1</v>
      </c>
      <c r="P68" s="12">
        <v>4</v>
      </c>
      <c r="Q68" s="12"/>
    </row>
    <row r="69" spans="1:17" ht="24" x14ac:dyDescent="0.2">
      <c r="A69" s="6">
        <v>42</v>
      </c>
      <c r="B69" s="92" t="s">
        <v>407</v>
      </c>
      <c r="C69" s="146" t="s">
        <v>406</v>
      </c>
      <c r="D69" s="91" t="s">
        <v>30</v>
      </c>
      <c r="E69" s="97">
        <v>4</v>
      </c>
      <c r="F69" s="89">
        <v>4.5199999999999996</v>
      </c>
      <c r="G69" s="12"/>
      <c r="H69" s="12"/>
      <c r="I69" s="12"/>
      <c r="J69" s="12"/>
      <c r="K69" s="129">
        <v>18</v>
      </c>
      <c r="L69" s="12"/>
      <c r="M69" s="12"/>
      <c r="N69" s="12"/>
      <c r="O69" s="12"/>
      <c r="P69" s="12"/>
      <c r="Q69" s="12"/>
    </row>
    <row r="70" spans="1:17" ht="24" x14ac:dyDescent="0.2">
      <c r="A70" s="6">
        <v>43</v>
      </c>
      <c r="B70" s="92" t="s">
        <v>457</v>
      </c>
      <c r="C70" s="146" t="s">
        <v>456</v>
      </c>
      <c r="D70" s="91" t="s">
        <v>29</v>
      </c>
      <c r="E70" s="97">
        <v>1</v>
      </c>
      <c r="F70" s="89">
        <v>140.74</v>
      </c>
      <c r="G70" s="89">
        <v>27.86</v>
      </c>
      <c r="H70" s="89">
        <v>3.58</v>
      </c>
      <c r="I70" s="12"/>
      <c r="J70" s="12"/>
      <c r="K70" s="129">
        <v>141</v>
      </c>
      <c r="L70" s="12">
        <v>28</v>
      </c>
      <c r="M70" s="12">
        <v>4</v>
      </c>
      <c r="N70" s="12"/>
      <c r="O70" s="12">
        <v>2.1800000000000002</v>
      </c>
      <c r="P70" s="12">
        <v>2.1800000000000002</v>
      </c>
      <c r="Q70" s="12"/>
    </row>
    <row r="71" spans="1:17" ht="36" x14ac:dyDescent="0.2">
      <c r="A71" s="6">
        <v>44</v>
      </c>
      <c r="B71" s="92" t="s">
        <v>106</v>
      </c>
      <c r="C71" s="146" t="s">
        <v>455</v>
      </c>
      <c r="D71" s="91" t="s">
        <v>33</v>
      </c>
      <c r="E71" s="97">
        <v>1</v>
      </c>
      <c r="F71" s="89">
        <v>1042.27</v>
      </c>
      <c r="G71" s="12"/>
      <c r="H71" s="12"/>
      <c r="I71" s="12"/>
      <c r="J71" s="12"/>
      <c r="K71" s="129">
        <v>1042</v>
      </c>
      <c r="L71" s="12"/>
      <c r="M71" s="12"/>
      <c r="N71" s="12"/>
      <c r="O71" s="12"/>
      <c r="P71" s="12"/>
      <c r="Q71" s="12"/>
    </row>
    <row r="72" spans="1:17" ht="24" x14ac:dyDescent="0.2">
      <c r="A72" s="6">
        <v>45</v>
      </c>
      <c r="B72" s="92" t="s">
        <v>106</v>
      </c>
      <c r="C72" s="146" t="s">
        <v>400</v>
      </c>
      <c r="D72" s="91" t="s">
        <v>33</v>
      </c>
      <c r="E72" s="97">
        <v>1</v>
      </c>
      <c r="F72" s="89">
        <v>332.36</v>
      </c>
      <c r="G72" s="12"/>
      <c r="H72" s="12"/>
      <c r="I72" s="12"/>
      <c r="J72" s="12"/>
      <c r="K72" s="129">
        <v>332</v>
      </c>
      <c r="L72" s="12"/>
      <c r="M72" s="12"/>
      <c r="N72" s="12"/>
      <c r="O72" s="12"/>
      <c r="P72" s="12"/>
      <c r="Q72" s="12"/>
    </row>
    <row r="73" spans="1:17" ht="24" x14ac:dyDescent="0.2">
      <c r="A73" s="6">
        <v>46</v>
      </c>
      <c r="B73" s="92" t="s">
        <v>106</v>
      </c>
      <c r="C73" s="146" t="s">
        <v>300</v>
      </c>
      <c r="D73" s="91" t="s">
        <v>299</v>
      </c>
      <c r="E73" s="97">
        <v>1</v>
      </c>
      <c r="F73" s="89">
        <v>53.52</v>
      </c>
      <c r="G73" s="12"/>
      <c r="H73" s="12"/>
      <c r="I73" s="12"/>
      <c r="J73" s="12"/>
      <c r="K73" s="129">
        <v>54</v>
      </c>
      <c r="L73" s="12"/>
      <c r="M73" s="12"/>
      <c r="N73" s="12"/>
      <c r="O73" s="12"/>
      <c r="P73" s="12"/>
      <c r="Q73" s="12"/>
    </row>
    <row r="74" spans="1:17" ht="24" x14ac:dyDescent="0.2">
      <c r="A74" s="6">
        <v>47</v>
      </c>
      <c r="B74" s="92" t="s">
        <v>106</v>
      </c>
      <c r="C74" s="146" t="s">
        <v>454</v>
      </c>
      <c r="D74" s="91" t="s">
        <v>33</v>
      </c>
      <c r="E74" s="97">
        <v>1</v>
      </c>
      <c r="F74" s="89">
        <v>84.54</v>
      </c>
      <c r="G74" s="12"/>
      <c r="H74" s="12"/>
      <c r="I74" s="12"/>
      <c r="J74" s="12"/>
      <c r="K74" s="129">
        <v>85</v>
      </c>
      <c r="L74" s="12"/>
      <c r="M74" s="12"/>
      <c r="N74" s="12"/>
      <c r="O74" s="12"/>
      <c r="P74" s="12"/>
      <c r="Q74" s="12"/>
    </row>
    <row r="75" spans="1:17" ht="63" x14ac:dyDescent="0.2">
      <c r="A75" s="6">
        <v>48</v>
      </c>
      <c r="B75" s="92" t="s">
        <v>288</v>
      </c>
      <c r="C75" s="146" t="s">
        <v>287</v>
      </c>
      <c r="D75" s="91" t="s">
        <v>34</v>
      </c>
      <c r="E75" s="90">
        <v>2.0499999999999998</v>
      </c>
      <c r="F75" s="89">
        <v>311.39999999999998</v>
      </c>
      <c r="G75" s="89">
        <v>218.44</v>
      </c>
      <c r="H75" s="89">
        <v>38.75</v>
      </c>
      <c r="I75" s="89">
        <v>0.17</v>
      </c>
      <c r="J75" s="12"/>
      <c r="K75" s="129">
        <v>638</v>
      </c>
      <c r="L75" s="12">
        <v>448</v>
      </c>
      <c r="M75" s="12">
        <v>79</v>
      </c>
      <c r="N75" s="12"/>
      <c r="O75" s="12">
        <v>16.29</v>
      </c>
      <c r="P75" s="12">
        <v>33.39</v>
      </c>
      <c r="Q75" s="12"/>
    </row>
    <row r="76" spans="1:17" ht="63" x14ac:dyDescent="0.2">
      <c r="A76" s="6">
        <v>49</v>
      </c>
      <c r="B76" s="92" t="s">
        <v>453</v>
      </c>
      <c r="C76" s="146" t="s">
        <v>452</v>
      </c>
      <c r="D76" s="91" t="s">
        <v>35</v>
      </c>
      <c r="E76" s="97">
        <v>205</v>
      </c>
      <c r="F76" s="89">
        <v>1.8</v>
      </c>
      <c r="G76" s="12"/>
      <c r="H76" s="12"/>
      <c r="I76" s="12"/>
      <c r="J76" s="12"/>
      <c r="K76" s="129">
        <v>369</v>
      </c>
      <c r="L76" s="12"/>
      <c r="M76" s="12"/>
      <c r="N76" s="12"/>
      <c r="O76" s="12"/>
      <c r="P76" s="12"/>
      <c r="Q76" s="12"/>
    </row>
    <row r="77" spans="1:17" x14ac:dyDescent="0.2">
      <c r="A77" s="6">
        <v>50</v>
      </c>
      <c r="B77" s="92" t="s">
        <v>308</v>
      </c>
      <c r="C77" s="146" t="s">
        <v>307</v>
      </c>
      <c r="D77" s="91" t="s">
        <v>30</v>
      </c>
      <c r="E77" s="90">
        <v>20</v>
      </c>
      <c r="F77" s="89">
        <v>1.19</v>
      </c>
      <c r="G77" s="12"/>
      <c r="H77" s="12"/>
      <c r="I77" s="12"/>
      <c r="J77" s="12"/>
      <c r="K77" s="129">
        <v>24</v>
      </c>
      <c r="L77" s="12"/>
      <c r="M77" s="12"/>
      <c r="N77" s="12"/>
      <c r="O77" s="12"/>
      <c r="P77" s="12"/>
      <c r="Q77" s="12"/>
    </row>
    <row r="78" spans="1:17" x14ac:dyDescent="0.2">
      <c r="A78" s="6">
        <v>51</v>
      </c>
      <c r="B78" s="92" t="s">
        <v>306</v>
      </c>
      <c r="C78" s="146" t="s">
        <v>305</v>
      </c>
      <c r="D78" s="91" t="s">
        <v>29</v>
      </c>
      <c r="E78" s="90">
        <v>14</v>
      </c>
      <c r="F78" s="89">
        <v>8.41</v>
      </c>
      <c r="G78" s="89">
        <v>7.26</v>
      </c>
      <c r="H78" s="12"/>
      <c r="I78" s="12"/>
      <c r="J78" s="12"/>
      <c r="K78" s="129">
        <v>118</v>
      </c>
      <c r="L78" s="12">
        <v>102</v>
      </c>
      <c r="M78" s="12"/>
      <c r="N78" s="12"/>
      <c r="O78" s="12">
        <v>0.52</v>
      </c>
      <c r="P78" s="12">
        <v>7.28</v>
      </c>
      <c r="Q78" s="12"/>
    </row>
    <row r="79" spans="1:17" ht="36" x14ac:dyDescent="0.2">
      <c r="A79" s="6">
        <v>52</v>
      </c>
      <c r="B79" s="92" t="s">
        <v>106</v>
      </c>
      <c r="C79" s="146" t="s">
        <v>451</v>
      </c>
      <c r="D79" s="91" t="s">
        <v>33</v>
      </c>
      <c r="E79" s="97">
        <v>2</v>
      </c>
      <c r="F79" s="89">
        <v>9.0500000000000007</v>
      </c>
      <c r="G79" s="12"/>
      <c r="H79" s="12"/>
      <c r="I79" s="12"/>
      <c r="J79" s="12"/>
      <c r="K79" s="129">
        <v>18</v>
      </c>
      <c r="L79" s="12"/>
      <c r="M79" s="12"/>
      <c r="N79" s="12"/>
      <c r="O79" s="12"/>
      <c r="P79" s="12"/>
      <c r="Q79" s="12"/>
    </row>
    <row r="80" spans="1:17" ht="24" x14ac:dyDescent="0.2">
      <c r="A80" s="6">
        <v>53</v>
      </c>
      <c r="B80" s="92" t="s">
        <v>106</v>
      </c>
      <c r="C80" s="146" t="s">
        <v>450</v>
      </c>
      <c r="D80" s="91" t="s">
        <v>33</v>
      </c>
      <c r="E80" s="97">
        <v>1</v>
      </c>
      <c r="F80" s="89">
        <v>6.16</v>
      </c>
      <c r="G80" s="12"/>
      <c r="H80" s="12"/>
      <c r="I80" s="12"/>
      <c r="J80" s="12"/>
      <c r="K80" s="129">
        <v>6</v>
      </c>
      <c r="L80" s="12"/>
      <c r="M80" s="12"/>
      <c r="N80" s="12"/>
      <c r="O80" s="12"/>
      <c r="P80" s="12"/>
      <c r="Q80" s="12"/>
    </row>
    <row r="81" spans="1:17" ht="36" x14ac:dyDescent="0.2">
      <c r="A81" s="6">
        <v>54</v>
      </c>
      <c r="B81" s="92" t="s">
        <v>106</v>
      </c>
      <c r="C81" s="146" t="s">
        <v>449</v>
      </c>
      <c r="D81" s="91" t="s">
        <v>33</v>
      </c>
      <c r="E81" s="97">
        <v>2</v>
      </c>
      <c r="F81" s="89">
        <v>9.9</v>
      </c>
      <c r="G81" s="12"/>
      <c r="H81" s="12"/>
      <c r="I81" s="12"/>
      <c r="J81" s="12"/>
      <c r="K81" s="129">
        <v>20</v>
      </c>
      <c r="L81" s="12"/>
      <c r="M81" s="12"/>
      <c r="N81" s="12"/>
      <c r="O81" s="12"/>
      <c r="P81" s="12"/>
      <c r="Q81" s="12"/>
    </row>
    <row r="82" spans="1:17" ht="24" x14ac:dyDescent="0.2">
      <c r="A82" s="6">
        <v>55</v>
      </c>
      <c r="B82" s="92" t="s">
        <v>106</v>
      </c>
      <c r="C82" s="146" t="s">
        <v>448</v>
      </c>
      <c r="D82" s="91" t="s">
        <v>33</v>
      </c>
      <c r="E82" s="97">
        <v>2</v>
      </c>
      <c r="F82" s="89">
        <v>1.33</v>
      </c>
      <c r="G82" s="12"/>
      <c r="H82" s="12"/>
      <c r="I82" s="12"/>
      <c r="J82" s="12"/>
      <c r="K82" s="129">
        <v>3</v>
      </c>
      <c r="L82" s="12"/>
      <c r="M82" s="12"/>
      <c r="N82" s="12"/>
      <c r="O82" s="12"/>
      <c r="P82" s="12"/>
      <c r="Q82" s="12"/>
    </row>
    <row r="83" spans="1:17" x14ac:dyDescent="0.2">
      <c r="A83" s="166" t="s">
        <v>275</v>
      </c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</row>
    <row r="84" spans="1:17" ht="77.25" x14ac:dyDescent="0.2">
      <c r="A84" s="6">
        <v>56</v>
      </c>
      <c r="B84" s="92" t="s">
        <v>273</v>
      </c>
      <c r="C84" s="146" t="s">
        <v>272</v>
      </c>
      <c r="D84" s="91" t="s">
        <v>271</v>
      </c>
      <c r="E84" s="90">
        <v>48</v>
      </c>
      <c r="F84" s="89">
        <v>27.19</v>
      </c>
      <c r="G84" s="89">
        <v>27.19</v>
      </c>
      <c r="H84" s="12"/>
      <c r="I84" s="12"/>
      <c r="J84" s="12"/>
      <c r="K84" s="129">
        <v>1305</v>
      </c>
      <c r="L84" s="12">
        <v>1305</v>
      </c>
      <c r="M84" s="12"/>
      <c r="N84" s="12"/>
      <c r="O84" s="12">
        <v>1.65</v>
      </c>
      <c r="P84" s="12">
        <v>79.2</v>
      </c>
      <c r="Q84" s="12"/>
    </row>
    <row r="85" spans="1:17" ht="36" x14ac:dyDescent="0.2">
      <c r="A85" s="6">
        <v>57</v>
      </c>
      <c r="B85" s="92" t="s">
        <v>270</v>
      </c>
      <c r="C85" s="146" t="s">
        <v>269</v>
      </c>
      <c r="D85" s="91" t="s">
        <v>268</v>
      </c>
      <c r="E85" s="97">
        <v>2</v>
      </c>
      <c r="F85" s="89">
        <v>95.38</v>
      </c>
      <c r="G85" s="89">
        <v>95.38</v>
      </c>
      <c r="H85" s="12"/>
      <c r="I85" s="12"/>
      <c r="J85" s="12"/>
      <c r="K85" s="129">
        <v>191</v>
      </c>
      <c r="L85" s="12">
        <v>191</v>
      </c>
      <c r="M85" s="12"/>
      <c r="N85" s="12"/>
      <c r="O85" s="12">
        <v>6</v>
      </c>
      <c r="P85" s="12">
        <v>12</v>
      </c>
      <c r="Q85" s="12"/>
    </row>
    <row r="86" spans="1:17" ht="48" x14ac:dyDescent="0.2">
      <c r="A86" s="6">
        <v>58</v>
      </c>
      <c r="B86" s="92" t="s">
        <v>267</v>
      </c>
      <c r="C86" s="146" t="s">
        <v>266</v>
      </c>
      <c r="D86" s="91" t="s">
        <v>265</v>
      </c>
      <c r="E86" s="97">
        <v>1</v>
      </c>
      <c r="F86" s="89">
        <v>366.98</v>
      </c>
      <c r="G86" s="89">
        <v>366.98</v>
      </c>
      <c r="H86" s="12"/>
      <c r="I86" s="12"/>
      <c r="J86" s="12"/>
      <c r="K86" s="129">
        <v>367</v>
      </c>
      <c r="L86" s="12">
        <v>367</v>
      </c>
      <c r="M86" s="12"/>
      <c r="N86" s="12"/>
      <c r="O86" s="12">
        <v>17.600000000000001</v>
      </c>
      <c r="P86" s="12">
        <v>17.600000000000001</v>
      </c>
      <c r="Q86" s="12"/>
    </row>
    <row r="87" spans="1:17" x14ac:dyDescent="0.2">
      <c r="A87" s="168" t="s">
        <v>36</v>
      </c>
      <c r="B87" s="167"/>
      <c r="C87" s="167"/>
      <c r="D87" s="167"/>
      <c r="E87" s="167"/>
      <c r="F87" s="167"/>
      <c r="G87" s="167"/>
      <c r="H87" s="167"/>
      <c r="I87" s="167"/>
      <c r="J87" s="167"/>
      <c r="K87" s="130">
        <v>43731</v>
      </c>
      <c r="L87" s="89">
        <v>5213</v>
      </c>
      <c r="M87" s="89">
        <v>638</v>
      </c>
      <c r="N87" s="89">
        <v>206</v>
      </c>
      <c r="O87" s="12"/>
      <c r="P87" s="89">
        <v>357.83</v>
      </c>
      <c r="Q87" s="12"/>
    </row>
    <row r="88" spans="1:17" x14ac:dyDescent="0.2">
      <c r="A88" s="168" t="s">
        <v>37</v>
      </c>
      <c r="B88" s="167"/>
      <c r="C88" s="167"/>
      <c r="D88" s="167"/>
      <c r="E88" s="167"/>
      <c r="F88" s="167"/>
      <c r="G88" s="167"/>
      <c r="H88" s="167"/>
      <c r="I88" s="167"/>
      <c r="J88" s="167"/>
      <c r="K88" s="130">
        <v>46271</v>
      </c>
      <c r="L88" s="89">
        <v>6504</v>
      </c>
      <c r="M88" s="89">
        <v>873</v>
      </c>
      <c r="N88" s="89">
        <v>290</v>
      </c>
      <c r="O88" s="12"/>
      <c r="P88" s="89">
        <v>436.28</v>
      </c>
      <c r="Q88" s="12"/>
    </row>
    <row r="89" spans="1:17" x14ac:dyDescent="0.2">
      <c r="A89" s="168" t="s">
        <v>86</v>
      </c>
      <c r="B89" s="167"/>
      <c r="C89" s="167"/>
      <c r="D89" s="167"/>
      <c r="E89" s="167"/>
      <c r="F89" s="167"/>
      <c r="G89" s="167"/>
      <c r="H89" s="167"/>
      <c r="I89" s="167"/>
      <c r="J89" s="167"/>
      <c r="K89" s="129"/>
      <c r="L89" s="12"/>
      <c r="M89" s="12"/>
      <c r="N89" s="12"/>
      <c r="O89" s="12"/>
      <c r="P89" s="12"/>
      <c r="Q89" s="12"/>
    </row>
    <row r="90" spans="1:17" ht="15" customHeight="1" x14ac:dyDescent="0.2">
      <c r="A90" s="168" t="s">
        <v>447</v>
      </c>
      <c r="B90" s="167"/>
      <c r="C90" s="167"/>
      <c r="D90" s="167"/>
      <c r="E90" s="167"/>
      <c r="F90" s="167"/>
      <c r="G90" s="167"/>
      <c r="H90" s="167"/>
      <c r="I90" s="167"/>
      <c r="J90" s="167"/>
      <c r="K90" s="130">
        <v>233</v>
      </c>
      <c r="L90" s="89">
        <v>224</v>
      </c>
      <c r="M90" s="89">
        <v>9</v>
      </c>
      <c r="N90" s="89">
        <v>9</v>
      </c>
      <c r="O90" s="12"/>
      <c r="P90" s="12"/>
      <c r="Q90" s="12"/>
    </row>
    <row r="91" spans="1:17" ht="24.6" customHeight="1" x14ac:dyDescent="0.2">
      <c r="A91" s="168" t="s">
        <v>446</v>
      </c>
      <c r="B91" s="167"/>
      <c r="C91" s="167"/>
      <c r="D91" s="167"/>
      <c r="E91" s="167"/>
      <c r="F91" s="167"/>
      <c r="G91" s="167"/>
      <c r="H91" s="167"/>
      <c r="I91" s="167"/>
      <c r="J91" s="167"/>
      <c r="K91" s="130">
        <v>402</v>
      </c>
      <c r="L91" s="12"/>
      <c r="M91" s="12"/>
      <c r="N91" s="12"/>
      <c r="O91" s="12"/>
      <c r="P91" s="12"/>
      <c r="Q91" s="12"/>
    </row>
    <row r="92" spans="1:17" ht="24" customHeight="1" x14ac:dyDescent="0.2">
      <c r="A92" s="168" t="s">
        <v>445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30">
        <v>434</v>
      </c>
      <c r="L92" s="12"/>
      <c r="M92" s="12"/>
      <c r="N92" s="12"/>
      <c r="O92" s="12"/>
      <c r="P92" s="12"/>
      <c r="Q92" s="12"/>
    </row>
    <row r="93" spans="1:17" ht="23.45" customHeight="1" x14ac:dyDescent="0.2">
      <c r="A93" s="168" t="s">
        <v>444</v>
      </c>
      <c r="B93" s="167"/>
      <c r="C93" s="167"/>
      <c r="D93" s="167"/>
      <c r="E93" s="167"/>
      <c r="F93" s="167"/>
      <c r="G93" s="167"/>
      <c r="H93" s="167"/>
      <c r="I93" s="167"/>
      <c r="J93" s="167"/>
      <c r="K93" s="130">
        <v>178</v>
      </c>
      <c r="L93" s="12"/>
      <c r="M93" s="12"/>
      <c r="N93" s="12"/>
      <c r="O93" s="12"/>
      <c r="P93" s="12"/>
      <c r="Q93" s="12"/>
    </row>
    <row r="94" spans="1:17" ht="30" customHeight="1" x14ac:dyDescent="0.2">
      <c r="A94" s="168" t="s">
        <v>443</v>
      </c>
      <c r="B94" s="167"/>
      <c r="C94" s="167"/>
      <c r="D94" s="167"/>
      <c r="E94" s="167"/>
      <c r="F94" s="167"/>
      <c r="G94" s="167"/>
      <c r="H94" s="167"/>
      <c r="I94" s="167"/>
      <c r="J94" s="167"/>
      <c r="K94" s="130">
        <v>1449</v>
      </c>
      <c r="L94" s="89">
        <v>1223</v>
      </c>
      <c r="M94" s="89">
        <v>226</v>
      </c>
      <c r="N94" s="89">
        <v>75</v>
      </c>
      <c r="O94" s="12"/>
      <c r="P94" s="89">
        <v>87.160499999999999</v>
      </c>
      <c r="Q94" s="12"/>
    </row>
    <row r="95" spans="1:17" ht="30" customHeight="1" x14ac:dyDescent="0.2">
      <c r="A95" s="168" t="s">
        <v>442</v>
      </c>
      <c r="B95" s="167"/>
      <c r="C95" s="167"/>
      <c r="D95" s="167"/>
      <c r="E95" s="167"/>
      <c r="F95" s="167"/>
      <c r="G95" s="167"/>
      <c r="H95" s="167"/>
      <c r="I95" s="167"/>
      <c r="J95" s="167"/>
      <c r="K95" s="130">
        <v>291</v>
      </c>
      <c r="L95" s="89">
        <v>291</v>
      </c>
      <c r="M95" s="12"/>
      <c r="N95" s="12"/>
      <c r="O95" s="12"/>
      <c r="P95" s="89">
        <v>16.32</v>
      </c>
      <c r="Q95" s="12"/>
    </row>
    <row r="96" spans="1:17" ht="15" customHeight="1" x14ac:dyDescent="0.2">
      <c r="A96" s="168" t="s">
        <v>441</v>
      </c>
      <c r="B96" s="167"/>
      <c r="C96" s="167"/>
      <c r="D96" s="167"/>
      <c r="E96" s="167"/>
      <c r="F96" s="167"/>
      <c r="G96" s="167"/>
      <c r="H96" s="167"/>
      <c r="I96" s="167"/>
      <c r="J96" s="167"/>
      <c r="K96" s="130">
        <v>-447</v>
      </c>
      <c r="L96" s="89">
        <v>-447</v>
      </c>
      <c r="M96" s="12"/>
      <c r="N96" s="12"/>
      <c r="O96" s="12"/>
      <c r="P96" s="89">
        <v>-25.024000000000001</v>
      </c>
      <c r="Q96" s="12"/>
    </row>
    <row r="97" spans="1:17" x14ac:dyDescent="0.2">
      <c r="A97" s="168" t="s">
        <v>38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30">
        <v>5482</v>
      </c>
      <c r="L97" s="12"/>
      <c r="M97" s="12"/>
      <c r="N97" s="12"/>
      <c r="O97" s="12"/>
      <c r="P97" s="12"/>
      <c r="Q97" s="12"/>
    </row>
    <row r="98" spans="1:17" x14ac:dyDescent="0.2">
      <c r="A98" s="168" t="s">
        <v>86</v>
      </c>
      <c r="B98" s="167"/>
      <c r="C98" s="167"/>
      <c r="D98" s="167"/>
      <c r="E98" s="167"/>
      <c r="F98" s="167"/>
      <c r="G98" s="167"/>
      <c r="H98" s="167"/>
      <c r="I98" s="167"/>
      <c r="J98" s="167"/>
      <c r="K98" s="129"/>
      <c r="L98" s="12"/>
      <c r="M98" s="12"/>
      <c r="N98" s="12"/>
      <c r="O98" s="12"/>
      <c r="P98" s="12"/>
      <c r="Q98" s="12"/>
    </row>
    <row r="99" spans="1:17" x14ac:dyDescent="0.2">
      <c r="A99" s="168" t="s">
        <v>440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30">
        <v>1162</v>
      </c>
      <c r="L99" s="12"/>
      <c r="M99" s="12"/>
      <c r="N99" s="12"/>
      <c r="O99" s="12"/>
      <c r="P99" s="12"/>
      <c r="Q99" s="12"/>
    </row>
    <row r="100" spans="1:17" x14ac:dyDescent="0.2">
      <c r="A100" s="168" t="s">
        <v>439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30">
        <v>2212</v>
      </c>
      <c r="L100" s="12"/>
      <c r="M100" s="12"/>
      <c r="N100" s="12"/>
      <c r="O100" s="12"/>
      <c r="P100" s="12"/>
      <c r="Q100" s="12"/>
    </row>
    <row r="101" spans="1:17" x14ac:dyDescent="0.2">
      <c r="A101" s="168" t="s">
        <v>438</v>
      </c>
      <c r="B101" s="167"/>
      <c r="C101" s="167"/>
      <c r="D101" s="167"/>
      <c r="E101" s="167"/>
      <c r="F101" s="167"/>
      <c r="G101" s="167"/>
      <c r="H101" s="167"/>
      <c r="I101" s="167"/>
      <c r="J101" s="167"/>
      <c r="K101" s="130">
        <v>727</v>
      </c>
      <c r="L101" s="12"/>
      <c r="M101" s="12"/>
      <c r="N101" s="12"/>
      <c r="O101" s="12"/>
      <c r="P101" s="12"/>
      <c r="Q101" s="12"/>
    </row>
    <row r="102" spans="1:17" x14ac:dyDescent="0.2">
      <c r="A102" s="168" t="s">
        <v>437</v>
      </c>
      <c r="B102" s="167"/>
      <c r="C102" s="167"/>
      <c r="D102" s="167"/>
      <c r="E102" s="167"/>
      <c r="F102" s="167"/>
      <c r="G102" s="167"/>
      <c r="H102" s="167"/>
      <c r="I102" s="167"/>
      <c r="J102" s="167"/>
      <c r="K102" s="130">
        <v>1342</v>
      </c>
      <c r="L102" s="12"/>
      <c r="M102" s="12"/>
      <c r="N102" s="12"/>
      <c r="O102" s="12"/>
      <c r="P102" s="12"/>
      <c r="Q102" s="12"/>
    </row>
    <row r="103" spans="1:17" x14ac:dyDescent="0.2">
      <c r="A103" s="168" t="s">
        <v>436</v>
      </c>
      <c r="B103" s="167"/>
      <c r="C103" s="167"/>
      <c r="D103" s="167"/>
      <c r="E103" s="167"/>
      <c r="F103" s="167"/>
      <c r="G103" s="167"/>
      <c r="H103" s="167"/>
      <c r="I103" s="167"/>
      <c r="J103" s="167"/>
      <c r="K103" s="130">
        <v>39</v>
      </c>
      <c r="L103" s="12"/>
      <c r="M103" s="12"/>
      <c r="N103" s="12"/>
      <c r="O103" s="12"/>
      <c r="P103" s="12"/>
      <c r="Q103" s="12"/>
    </row>
    <row r="104" spans="1:17" x14ac:dyDescent="0.2">
      <c r="A104" s="168" t="s">
        <v>39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30">
        <v>3831</v>
      </c>
      <c r="L104" s="12"/>
      <c r="M104" s="12"/>
      <c r="N104" s="12"/>
      <c r="O104" s="12"/>
      <c r="P104" s="12"/>
      <c r="Q104" s="12"/>
    </row>
    <row r="105" spans="1:17" x14ac:dyDescent="0.2">
      <c r="A105" s="168" t="s">
        <v>86</v>
      </c>
      <c r="B105" s="167"/>
      <c r="C105" s="167"/>
      <c r="D105" s="167"/>
      <c r="E105" s="167"/>
      <c r="F105" s="167"/>
      <c r="G105" s="167"/>
      <c r="H105" s="167"/>
      <c r="I105" s="167"/>
      <c r="J105" s="167"/>
      <c r="K105" s="129"/>
      <c r="L105" s="12"/>
      <c r="M105" s="12"/>
      <c r="N105" s="12"/>
      <c r="O105" s="12"/>
      <c r="P105" s="12"/>
      <c r="Q105" s="12"/>
    </row>
    <row r="106" spans="1:17" x14ac:dyDescent="0.2">
      <c r="A106" s="168" t="s">
        <v>435</v>
      </c>
      <c r="B106" s="167"/>
      <c r="C106" s="167"/>
      <c r="D106" s="167"/>
      <c r="E106" s="167"/>
      <c r="F106" s="167"/>
      <c r="G106" s="167"/>
      <c r="H106" s="167"/>
      <c r="I106" s="167"/>
      <c r="J106" s="167"/>
      <c r="K106" s="130">
        <v>715</v>
      </c>
      <c r="L106" s="12"/>
      <c r="M106" s="12"/>
      <c r="N106" s="12"/>
      <c r="O106" s="12"/>
      <c r="P106" s="12"/>
      <c r="Q106" s="12"/>
    </row>
    <row r="107" spans="1:17" x14ac:dyDescent="0.2">
      <c r="A107" s="168" t="s">
        <v>434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130">
        <v>1659</v>
      </c>
      <c r="L107" s="12"/>
      <c r="M107" s="12"/>
      <c r="N107" s="12"/>
      <c r="O107" s="12"/>
      <c r="P107" s="12"/>
      <c r="Q107" s="12"/>
    </row>
    <row r="108" spans="1:17" x14ac:dyDescent="0.2">
      <c r="A108" s="168" t="s">
        <v>433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130">
        <v>1457</v>
      </c>
      <c r="L108" s="12"/>
      <c r="M108" s="12"/>
      <c r="N108" s="12"/>
      <c r="O108" s="12"/>
      <c r="P108" s="12"/>
      <c r="Q108" s="12"/>
    </row>
    <row r="109" spans="1:17" x14ac:dyDescent="0.2">
      <c r="A109" s="173" t="s">
        <v>40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129"/>
      <c r="L109" s="12"/>
      <c r="M109" s="12"/>
      <c r="N109" s="12"/>
      <c r="O109" s="12"/>
      <c r="P109" s="12"/>
      <c r="Q109" s="12"/>
    </row>
    <row r="110" spans="1:17" x14ac:dyDescent="0.2">
      <c r="A110" s="168" t="s">
        <v>83</v>
      </c>
      <c r="B110" s="167"/>
      <c r="C110" s="167"/>
      <c r="D110" s="167"/>
      <c r="E110" s="167"/>
      <c r="F110" s="167"/>
      <c r="G110" s="167"/>
      <c r="H110" s="167"/>
      <c r="I110" s="167"/>
      <c r="J110" s="167"/>
      <c r="K110" s="130">
        <v>36851</v>
      </c>
      <c r="L110" s="12"/>
      <c r="M110" s="12"/>
      <c r="N110" s="12"/>
      <c r="O110" s="12"/>
      <c r="P110" s="89">
        <v>336.18</v>
      </c>
      <c r="Q110" s="12"/>
    </row>
    <row r="111" spans="1:17" x14ac:dyDescent="0.2">
      <c r="A111" s="168" t="s">
        <v>82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130">
        <v>15069</v>
      </c>
      <c r="L111" s="12"/>
      <c r="M111" s="12"/>
      <c r="N111" s="12"/>
      <c r="O111" s="12"/>
      <c r="P111" s="12"/>
      <c r="Q111" s="12"/>
    </row>
    <row r="112" spans="1:17" x14ac:dyDescent="0.2">
      <c r="A112" s="168" t="s">
        <v>247</v>
      </c>
      <c r="B112" s="167"/>
      <c r="C112" s="167"/>
      <c r="D112" s="167"/>
      <c r="E112" s="167"/>
      <c r="F112" s="167"/>
      <c r="G112" s="167"/>
      <c r="H112" s="167"/>
      <c r="I112" s="167"/>
      <c r="J112" s="167"/>
      <c r="K112" s="130">
        <v>3664</v>
      </c>
      <c r="L112" s="12"/>
      <c r="M112" s="12"/>
      <c r="N112" s="12"/>
      <c r="O112" s="12"/>
      <c r="P112" s="89">
        <v>100.1</v>
      </c>
      <c r="Q112" s="12"/>
    </row>
    <row r="113" spans="1:17" x14ac:dyDescent="0.2">
      <c r="A113" s="168" t="s">
        <v>41</v>
      </c>
      <c r="B113" s="167"/>
      <c r="C113" s="167"/>
      <c r="D113" s="167"/>
      <c r="E113" s="167"/>
      <c r="F113" s="167"/>
      <c r="G113" s="167"/>
      <c r="H113" s="167"/>
      <c r="I113" s="167"/>
      <c r="J113" s="167"/>
      <c r="K113" s="130">
        <v>55584</v>
      </c>
      <c r="L113" s="12"/>
      <c r="M113" s="12"/>
      <c r="N113" s="12"/>
      <c r="O113" s="12"/>
      <c r="P113" s="89">
        <v>436.28</v>
      </c>
      <c r="Q113" s="12"/>
    </row>
    <row r="114" spans="1:17" x14ac:dyDescent="0.2">
      <c r="A114" s="168" t="s">
        <v>42</v>
      </c>
      <c r="B114" s="167"/>
      <c r="C114" s="167"/>
      <c r="D114" s="167"/>
      <c r="E114" s="167"/>
      <c r="F114" s="167"/>
      <c r="G114" s="167"/>
      <c r="H114" s="167"/>
      <c r="I114" s="167"/>
      <c r="J114" s="167"/>
      <c r="K114" s="129"/>
      <c r="L114" s="12"/>
      <c r="M114" s="12"/>
      <c r="N114" s="12"/>
      <c r="O114" s="12"/>
      <c r="P114" s="12"/>
      <c r="Q114" s="12"/>
    </row>
    <row r="115" spans="1:17" x14ac:dyDescent="0.2">
      <c r="A115" s="168" t="s">
        <v>43</v>
      </c>
      <c r="B115" s="167"/>
      <c r="C115" s="167"/>
      <c r="D115" s="167"/>
      <c r="E115" s="167"/>
      <c r="F115" s="167"/>
      <c r="G115" s="167"/>
      <c r="H115" s="167"/>
      <c r="I115" s="167"/>
      <c r="J115" s="167"/>
      <c r="K115" s="130">
        <v>23825</v>
      </c>
      <c r="L115" s="12"/>
      <c r="M115" s="12"/>
      <c r="N115" s="12"/>
      <c r="O115" s="12"/>
      <c r="P115" s="12"/>
      <c r="Q115" s="12"/>
    </row>
    <row r="116" spans="1:17" x14ac:dyDescent="0.2">
      <c r="A116" s="168" t="s">
        <v>44</v>
      </c>
      <c r="B116" s="167"/>
      <c r="C116" s="167"/>
      <c r="D116" s="167"/>
      <c r="E116" s="167"/>
      <c r="F116" s="167"/>
      <c r="G116" s="167"/>
      <c r="H116" s="167"/>
      <c r="I116" s="167"/>
      <c r="J116" s="167"/>
      <c r="K116" s="130">
        <f>873-N88</f>
        <v>583</v>
      </c>
      <c r="L116" s="12"/>
      <c r="M116" s="12"/>
      <c r="N116" s="12"/>
      <c r="O116" s="12"/>
      <c r="P116" s="12"/>
      <c r="Q116" s="12"/>
    </row>
    <row r="117" spans="1:17" x14ac:dyDescent="0.2">
      <c r="A117" s="168" t="s">
        <v>45</v>
      </c>
      <c r="B117" s="167"/>
      <c r="C117" s="167"/>
      <c r="D117" s="167"/>
      <c r="E117" s="167"/>
      <c r="F117" s="167"/>
      <c r="G117" s="167"/>
      <c r="H117" s="167"/>
      <c r="I117" s="167"/>
      <c r="J117" s="167"/>
      <c r="K117" s="130">
        <v>6794</v>
      </c>
      <c r="L117" s="12"/>
      <c r="M117" s="12"/>
      <c r="N117" s="12"/>
      <c r="O117" s="12"/>
      <c r="P117" s="12"/>
      <c r="Q117" s="12"/>
    </row>
    <row r="118" spans="1:17" x14ac:dyDescent="0.2">
      <c r="A118" s="168" t="s">
        <v>19</v>
      </c>
      <c r="B118" s="167"/>
      <c r="C118" s="167"/>
      <c r="D118" s="167"/>
      <c r="E118" s="167"/>
      <c r="F118" s="167"/>
      <c r="G118" s="167"/>
      <c r="H118" s="167"/>
      <c r="I118" s="167"/>
      <c r="J118" s="167"/>
      <c r="K118" s="130">
        <v>15069</v>
      </c>
      <c r="L118" s="12"/>
      <c r="M118" s="12"/>
      <c r="N118" s="12"/>
      <c r="O118" s="12"/>
      <c r="P118" s="12"/>
      <c r="Q118" s="12"/>
    </row>
    <row r="119" spans="1:17" x14ac:dyDescent="0.2">
      <c r="A119" s="168" t="s">
        <v>46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30">
        <v>5482</v>
      </c>
      <c r="L119" s="12"/>
      <c r="M119" s="12"/>
      <c r="N119" s="12"/>
      <c r="O119" s="12"/>
      <c r="P119" s="12"/>
      <c r="Q119" s="12"/>
    </row>
    <row r="120" spans="1:17" x14ac:dyDescent="0.2">
      <c r="A120" s="168" t="s">
        <v>47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130">
        <v>3831</v>
      </c>
      <c r="L120" s="12"/>
      <c r="M120" s="12"/>
      <c r="N120" s="12"/>
      <c r="O120" s="12"/>
      <c r="P120" s="12"/>
      <c r="Q120" s="12"/>
    </row>
    <row r="121" spans="1:17" x14ac:dyDescent="0.2">
      <c r="A121" s="173" t="s">
        <v>48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31">
        <f>SUM(K115:K120)</f>
        <v>55584</v>
      </c>
      <c r="L121" s="12"/>
      <c r="M121" s="12"/>
      <c r="N121" s="12"/>
      <c r="O121" s="12"/>
      <c r="P121" s="13">
        <v>436.28</v>
      </c>
      <c r="Q121" s="12"/>
    </row>
    <row r="122" spans="1:17" x14ac:dyDescent="0.2">
      <c r="F122" s="10"/>
      <c r="G122" s="10"/>
      <c r="H122" s="10"/>
      <c r="I122" s="10"/>
      <c r="J122" s="10"/>
      <c r="K122" s="132"/>
      <c r="L122" s="10"/>
      <c r="M122" s="10"/>
      <c r="N122" s="10"/>
      <c r="O122" s="10"/>
      <c r="P122" s="10"/>
      <c r="Q122" s="10"/>
    </row>
  </sheetData>
  <mergeCells count="60">
    <mergeCell ref="A27:Q27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  <mergeCell ref="D23:D25"/>
    <mergeCell ref="E23:E25"/>
    <mergeCell ref="B23:B25"/>
    <mergeCell ref="A101:J101"/>
    <mergeCell ref="A90:J90"/>
    <mergeCell ref="A91:J91"/>
    <mergeCell ref="A92:J92"/>
    <mergeCell ref="A93:J93"/>
    <mergeCell ref="A94:J94"/>
    <mergeCell ref="A99:J99"/>
    <mergeCell ref="A100:J100"/>
    <mergeCell ref="A83:Q83"/>
    <mergeCell ref="A87:J87"/>
    <mergeCell ref="A88:J88"/>
    <mergeCell ref="A89:J89"/>
    <mergeCell ref="E1:I1"/>
    <mergeCell ref="E10:J10"/>
    <mergeCell ref="A120:J120"/>
    <mergeCell ref="A121:J121"/>
    <mergeCell ref="J14:K14"/>
    <mergeCell ref="J18:K18"/>
    <mergeCell ref="J19:K19"/>
    <mergeCell ref="J17:K17"/>
    <mergeCell ref="A113:J113"/>
    <mergeCell ref="A102:J102"/>
    <mergeCell ref="A103:J103"/>
    <mergeCell ref="A104:J104"/>
    <mergeCell ref="A105:J105"/>
    <mergeCell ref="A106:J106"/>
    <mergeCell ref="A107:J107"/>
    <mergeCell ref="A108:J108"/>
    <mergeCell ref="A118:J118"/>
    <mergeCell ref="A119:J119"/>
    <mergeCell ref="J16:K16"/>
    <mergeCell ref="J15:K15"/>
    <mergeCell ref="A114:J114"/>
    <mergeCell ref="A115:J115"/>
    <mergeCell ref="A116:J116"/>
    <mergeCell ref="A117:J117"/>
    <mergeCell ref="A111:J111"/>
    <mergeCell ref="A112:J112"/>
    <mergeCell ref="A109:J109"/>
    <mergeCell ref="A110:J110"/>
    <mergeCell ref="A95:J95"/>
    <mergeCell ref="A96:J96"/>
    <mergeCell ref="A97:J97"/>
    <mergeCell ref="A98:J98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2"/>
  <sheetViews>
    <sheetView showGridLines="0" topLeftCell="A97" zoomScaleNormal="100" zoomScaleSheetLayoutView="75" workbookViewId="0">
      <selection activeCell="E11" sqref="E11"/>
    </sheetView>
  </sheetViews>
  <sheetFormatPr defaultColWidth="9.140625" defaultRowHeight="12.75" outlineLevelRow="2" x14ac:dyDescent="0.2"/>
  <cols>
    <col min="1" max="1" width="3.28515625" style="11" customWidth="1"/>
    <col min="2" max="2" width="16.7109375" style="1" customWidth="1"/>
    <col min="3" max="3" width="34.28515625" style="8" customWidth="1"/>
    <col min="4" max="4" width="7.7109375" style="7" customWidth="1"/>
    <col min="5" max="5" width="9.2851562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9.285156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outlineLevel="1" x14ac:dyDescent="0.2">
      <c r="A6" s="99"/>
      <c r="B6" s="102"/>
      <c r="C6" s="100"/>
      <c r="D6" s="4"/>
      <c r="E6" s="98"/>
      <c r="F6" s="98"/>
      <c r="G6" s="121" t="s">
        <v>847</v>
      </c>
      <c r="H6" s="121"/>
      <c r="I6" s="121"/>
      <c r="J6" s="98"/>
      <c r="K6" s="125"/>
      <c r="L6" s="98"/>
      <c r="M6" s="98"/>
      <c r="N6" s="98"/>
      <c r="O6" s="98"/>
      <c r="P6" s="98"/>
    </row>
    <row r="7" spans="1:18" x14ac:dyDescent="0.2">
      <c r="A7" s="99"/>
      <c r="B7" s="102"/>
      <c r="C7" s="100"/>
      <c r="D7" s="4"/>
      <c r="E7" s="98"/>
      <c r="F7" s="98"/>
      <c r="G7" s="99" t="s">
        <v>376</v>
      </c>
      <c r="H7" s="99"/>
      <c r="I7" s="99"/>
      <c r="J7" s="98"/>
      <c r="K7" s="125"/>
      <c r="L7" s="98"/>
      <c r="M7" s="98"/>
      <c r="N7" s="98"/>
      <c r="O7" s="98"/>
      <c r="P7" s="98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 t="s">
        <v>22</v>
      </c>
      <c r="D9" s="140" t="s">
        <v>734</v>
      </c>
      <c r="E9" s="139"/>
      <c r="F9" s="118"/>
      <c r="G9" s="118"/>
      <c r="H9" s="138"/>
      <c r="I9" s="118"/>
      <c r="J9" s="118"/>
      <c r="K9" s="126"/>
      <c r="L9" s="118"/>
      <c r="M9" s="98"/>
      <c r="N9" s="98"/>
      <c r="O9" s="98"/>
      <c r="P9" s="98"/>
      <c r="Q9" s="98"/>
    </row>
    <row r="10" spans="1:18" x14ac:dyDescent="0.2">
      <c r="A10" s="99"/>
      <c r="B10" s="102"/>
      <c r="C10" s="117"/>
      <c r="D10" s="137"/>
      <c r="E10" s="179" t="s">
        <v>846</v>
      </c>
      <c r="F10" s="179"/>
      <c r="G10" s="179"/>
      <c r="H10" s="179"/>
      <c r="I10" s="179"/>
      <c r="J10" s="179"/>
      <c r="K10" s="127"/>
      <c r="L10" s="113"/>
      <c r="M10" s="98"/>
      <c r="N10" s="98"/>
      <c r="O10" s="98"/>
      <c r="P10" s="98"/>
      <c r="Q10" s="98"/>
    </row>
    <row r="11" spans="1:18" x14ac:dyDescent="0.2">
      <c r="A11" s="99"/>
      <c r="B11" s="102"/>
      <c r="C11" s="101"/>
      <c r="D11" s="100"/>
      <c r="E11" s="116"/>
      <c r="F11" s="114"/>
      <c r="G11" s="114"/>
      <c r="H11" s="115" t="s">
        <v>149</v>
      </c>
      <c r="I11" s="115"/>
      <c r="J11" s="114"/>
      <c r="K11" s="127"/>
      <c r="L11" s="98"/>
      <c r="M11" s="98"/>
      <c r="N11" s="98"/>
      <c r="O11" s="98"/>
      <c r="P11" s="98"/>
      <c r="Q11" s="98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845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844</v>
      </c>
      <c r="K14" s="176"/>
      <c r="L14" s="5" t="s">
        <v>139</v>
      </c>
      <c r="M14" s="98"/>
      <c r="N14" s="109" t="s">
        <v>145</v>
      </c>
      <c r="O14" s="108"/>
      <c r="P14" s="107">
        <f>P15+P16+P17</f>
        <v>279.30695000000003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843</v>
      </c>
      <c r="K15" s="176"/>
      <c r="L15" s="5" t="s">
        <v>139</v>
      </c>
      <c r="M15" s="98"/>
      <c r="N15" s="109" t="s">
        <v>138</v>
      </c>
      <c r="O15" s="108"/>
      <c r="P15" s="107">
        <f>33.325*5.56</f>
        <v>185.28700000000001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842</v>
      </c>
      <c r="K16" s="176"/>
      <c r="L16" s="5" t="s">
        <v>139</v>
      </c>
      <c r="M16" s="98"/>
      <c r="N16" s="109" t="s">
        <v>370</v>
      </c>
      <c r="O16" s="108"/>
      <c r="P16" s="107">
        <f>5.403*9.32</f>
        <v>50.355959999999996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841</v>
      </c>
      <c r="K17" s="176"/>
      <c r="L17" s="5" t="s">
        <v>139</v>
      </c>
      <c r="M17" s="98"/>
      <c r="N17" s="109" t="s">
        <v>142</v>
      </c>
      <c r="O17" s="108"/>
      <c r="P17" s="107">
        <f>4.19*10.421</f>
        <v>43.663989999999998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840</v>
      </c>
      <c r="K18" s="176"/>
      <c r="L18" s="5" t="s">
        <v>139</v>
      </c>
      <c r="M18" s="98"/>
      <c r="N18" s="109" t="s">
        <v>138</v>
      </c>
      <c r="O18" s="108"/>
      <c r="P18" s="107">
        <f>8.45*5.56</f>
        <v>46.981999999999992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839</v>
      </c>
      <c r="K19" s="176"/>
      <c r="L19" s="5" t="s">
        <v>50</v>
      </c>
      <c r="M19" s="98"/>
      <c r="N19" s="109"/>
      <c r="O19" s="108"/>
      <c r="P19" s="107"/>
    </row>
    <row r="20" spans="1:17" s="135" customFormat="1" outlineLevel="1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K115/1000</f>
        <v>17.53</v>
      </c>
      <c r="L20" s="95" t="s">
        <v>365</v>
      </c>
      <c r="M20" s="96"/>
      <c r="N20" s="109" t="s">
        <v>138</v>
      </c>
      <c r="O20" s="136"/>
      <c r="P20" s="107">
        <f>K20*5.56</f>
        <v>97.466800000000006</v>
      </c>
    </row>
    <row r="21" spans="1:17" customFormat="1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x14ac:dyDescent="0.2">
      <c r="A27" s="166" t="s">
        <v>123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24" x14ac:dyDescent="0.2">
      <c r="A28" s="6">
        <v>1</v>
      </c>
      <c r="B28" s="92" t="s">
        <v>106</v>
      </c>
      <c r="C28" s="146" t="s">
        <v>483</v>
      </c>
      <c r="D28" s="91" t="s">
        <v>29</v>
      </c>
      <c r="E28" s="97">
        <v>1</v>
      </c>
      <c r="F28" s="12"/>
      <c r="G28" s="12"/>
      <c r="H28" s="12"/>
      <c r="I28" s="12"/>
      <c r="J28" s="12">
        <v>1316</v>
      </c>
      <c r="K28" s="129">
        <v>1316</v>
      </c>
      <c r="L28" s="12"/>
      <c r="M28" s="12"/>
      <c r="N28" s="12"/>
      <c r="O28" s="12"/>
      <c r="P28" s="12"/>
      <c r="Q28" s="12"/>
    </row>
    <row r="29" spans="1:17" ht="24" x14ac:dyDescent="0.2">
      <c r="A29" s="6">
        <v>2</v>
      </c>
      <c r="B29" s="92" t="s">
        <v>470</v>
      </c>
      <c r="C29" s="146" t="s">
        <v>482</v>
      </c>
      <c r="D29" s="91" t="s">
        <v>29</v>
      </c>
      <c r="E29" s="97">
        <v>1</v>
      </c>
      <c r="F29" s="89">
        <v>64.92</v>
      </c>
      <c r="G29" s="89">
        <v>57.52</v>
      </c>
      <c r="H29" s="89">
        <v>0.37</v>
      </c>
      <c r="I29" s="12"/>
      <c r="J29" s="12"/>
      <c r="K29" s="129">
        <v>65</v>
      </c>
      <c r="L29" s="12">
        <v>58</v>
      </c>
      <c r="M29" s="12"/>
      <c r="N29" s="12"/>
      <c r="O29" s="12">
        <v>4</v>
      </c>
      <c r="P29" s="12">
        <v>4</v>
      </c>
      <c r="Q29" s="12"/>
    </row>
    <row r="30" spans="1:17" ht="24" x14ac:dyDescent="0.2">
      <c r="A30" s="6">
        <v>3</v>
      </c>
      <c r="B30" s="92" t="s">
        <v>106</v>
      </c>
      <c r="C30" s="146" t="s">
        <v>481</v>
      </c>
      <c r="D30" s="91" t="s">
        <v>29</v>
      </c>
      <c r="E30" s="97">
        <v>3</v>
      </c>
      <c r="F30" s="12"/>
      <c r="G30" s="12"/>
      <c r="H30" s="12"/>
      <c r="I30" s="12"/>
      <c r="J30" s="12">
        <v>1316</v>
      </c>
      <c r="K30" s="129">
        <v>1316</v>
      </c>
      <c r="L30" s="12"/>
      <c r="M30" s="12"/>
      <c r="N30" s="12"/>
      <c r="O30" s="12"/>
      <c r="P30" s="12"/>
      <c r="Q30" s="12"/>
    </row>
    <row r="31" spans="1:17" x14ac:dyDescent="0.2">
      <c r="A31" s="6">
        <v>4</v>
      </c>
      <c r="B31" s="92" t="s">
        <v>470</v>
      </c>
      <c r="C31" s="146" t="s">
        <v>480</v>
      </c>
      <c r="D31" s="91" t="s">
        <v>29</v>
      </c>
      <c r="E31" s="97">
        <v>3</v>
      </c>
      <c r="F31" s="89">
        <v>64.92</v>
      </c>
      <c r="G31" s="89">
        <v>57.52</v>
      </c>
      <c r="H31" s="89">
        <v>0.37</v>
      </c>
      <c r="I31" s="12"/>
      <c r="J31" s="12"/>
      <c r="K31" s="129">
        <v>195</v>
      </c>
      <c r="L31" s="12">
        <v>173</v>
      </c>
      <c r="M31" s="12">
        <v>1</v>
      </c>
      <c r="N31" s="12"/>
      <c r="O31" s="12">
        <v>4</v>
      </c>
      <c r="P31" s="12">
        <v>12</v>
      </c>
      <c r="Q31" s="12"/>
    </row>
    <row r="32" spans="1:17" ht="24" x14ac:dyDescent="0.2">
      <c r="A32" s="6">
        <v>5</v>
      </c>
      <c r="B32" s="92" t="s">
        <v>106</v>
      </c>
      <c r="C32" s="146" t="s">
        <v>838</v>
      </c>
      <c r="D32" s="91" t="s">
        <v>29</v>
      </c>
      <c r="E32" s="97">
        <v>2</v>
      </c>
      <c r="F32" s="12"/>
      <c r="G32" s="12"/>
      <c r="H32" s="12"/>
      <c r="I32" s="12"/>
      <c r="J32" s="12">
        <v>688</v>
      </c>
      <c r="K32" s="129">
        <v>688</v>
      </c>
      <c r="L32" s="12"/>
      <c r="M32" s="12"/>
      <c r="N32" s="12"/>
      <c r="O32" s="12"/>
      <c r="P32" s="12"/>
      <c r="Q32" s="12"/>
    </row>
    <row r="33" spans="1:17" ht="24" x14ac:dyDescent="0.2">
      <c r="A33" s="6">
        <v>6</v>
      </c>
      <c r="B33" s="92" t="s">
        <v>470</v>
      </c>
      <c r="C33" s="146" t="s">
        <v>478</v>
      </c>
      <c r="D33" s="91" t="s">
        <v>29</v>
      </c>
      <c r="E33" s="97">
        <v>2</v>
      </c>
      <c r="F33" s="89">
        <v>64.92</v>
      </c>
      <c r="G33" s="89">
        <v>57.52</v>
      </c>
      <c r="H33" s="89">
        <v>0.37</v>
      </c>
      <c r="I33" s="12"/>
      <c r="J33" s="12"/>
      <c r="K33" s="129">
        <v>130</v>
      </c>
      <c r="L33" s="12">
        <v>115</v>
      </c>
      <c r="M33" s="12">
        <v>1</v>
      </c>
      <c r="N33" s="12"/>
      <c r="O33" s="12">
        <v>4</v>
      </c>
      <c r="P33" s="12">
        <v>8</v>
      </c>
      <c r="Q33" s="12"/>
    </row>
    <row r="34" spans="1:17" ht="36" x14ac:dyDescent="0.2">
      <c r="A34" s="6">
        <v>7</v>
      </c>
      <c r="B34" s="92" t="s">
        <v>106</v>
      </c>
      <c r="C34" s="146" t="s">
        <v>477</v>
      </c>
      <c r="D34" s="91" t="s">
        <v>29</v>
      </c>
      <c r="E34" s="97">
        <v>1</v>
      </c>
      <c r="F34" s="12"/>
      <c r="G34" s="12"/>
      <c r="H34" s="12"/>
      <c r="I34" s="12"/>
      <c r="J34" s="12">
        <v>636</v>
      </c>
      <c r="K34" s="129">
        <v>636</v>
      </c>
      <c r="L34" s="12"/>
      <c r="M34" s="12"/>
      <c r="N34" s="12"/>
      <c r="O34" s="12"/>
      <c r="P34" s="12"/>
      <c r="Q34" s="12"/>
    </row>
    <row r="35" spans="1:17" x14ac:dyDescent="0.2">
      <c r="A35" s="6">
        <v>8</v>
      </c>
      <c r="B35" s="92" t="s">
        <v>470</v>
      </c>
      <c r="C35" s="146" t="s">
        <v>476</v>
      </c>
      <c r="D35" s="91" t="s">
        <v>29</v>
      </c>
      <c r="E35" s="97">
        <v>1</v>
      </c>
      <c r="F35" s="89">
        <v>64.92</v>
      </c>
      <c r="G35" s="89">
        <v>57.52</v>
      </c>
      <c r="H35" s="89">
        <v>0.37</v>
      </c>
      <c r="I35" s="12"/>
      <c r="J35" s="12"/>
      <c r="K35" s="129">
        <v>65</v>
      </c>
      <c r="L35" s="12">
        <v>58</v>
      </c>
      <c r="M35" s="12"/>
      <c r="N35" s="12"/>
      <c r="O35" s="12">
        <v>4</v>
      </c>
      <c r="P35" s="12">
        <v>4</v>
      </c>
      <c r="Q35" s="12"/>
    </row>
    <row r="36" spans="1:17" ht="24" x14ac:dyDescent="0.2">
      <c r="A36" s="6">
        <v>9</v>
      </c>
      <c r="B36" s="92" t="s">
        <v>106</v>
      </c>
      <c r="C36" s="146" t="s">
        <v>837</v>
      </c>
      <c r="D36" s="91" t="s">
        <v>29</v>
      </c>
      <c r="E36" s="97">
        <v>1</v>
      </c>
      <c r="F36" s="12"/>
      <c r="G36" s="12"/>
      <c r="H36" s="12"/>
      <c r="I36" s="12"/>
      <c r="J36" s="12">
        <v>5058</v>
      </c>
      <c r="K36" s="129">
        <v>5058</v>
      </c>
      <c r="L36" s="12"/>
      <c r="M36" s="12"/>
      <c r="N36" s="12"/>
      <c r="O36" s="12"/>
      <c r="P36" s="12"/>
      <c r="Q36" s="12"/>
    </row>
    <row r="37" spans="1:17" ht="24" x14ac:dyDescent="0.2">
      <c r="A37" s="6">
        <v>10</v>
      </c>
      <c r="B37" s="92" t="s">
        <v>360</v>
      </c>
      <c r="C37" s="146" t="s">
        <v>359</v>
      </c>
      <c r="D37" s="91" t="s">
        <v>29</v>
      </c>
      <c r="E37" s="97">
        <v>1</v>
      </c>
      <c r="F37" s="89">
        <v>256.7</v>
      </c>
      <c r="G37" s="89">
        <v>157.76</v>
      </c>
      <c r="H37" s="89">
        <v>33.83</v>
      </c>
      <c r="I37" s="89">
        <v>6.87</v>
      </c>
      <c r="J37" s="12"/>
      <c r="K37" s="129">
        <v>257</v>
      </c>
      <c r="L37" s="12">
        <v>158</v>
      </c>
      <c r="M37" s="12">
        <v>34</v>
      </c>
      <c r="N37" s="12">
        <v>7</v>
      </c>
      <c r="O37" s="12">
        <v>10.1</v>
      </c>
      <c r="P37" s="12">
        <v>10.1</v>
      </c>
      <c r="Q37" s="12"/>
    </row>
    <row r="38" spans="1:17" ht="24" x14ac:dyDescent="0.2">
      <c r="A38" s="6">
        <v>11</v>
      </c>
      <c r="B38" s="92" t="s">
        <v>106</v>
      </c>
      <c r="C38" s="146" t="s">
        <v>836</v>
      </c>
      <c r="D38" s="91" t="s">
        <v>33</v>
      </c>
      <c r="E38" s="97">
        <v>2</v>
      </c>
      <c r="F38" s="89">
        <v>267.58999999999997</v>
      </c>
      <c r="G38" s="12"/>
      <c r="H38" s="12"/>
      <c r="I38" s="12"/>
      <c r="J38" s="12"/>
      <c r="K38" s="129">
        <v>535</v>
      </c>
      <c r="L38" s="12"/>
      <c r="M38" s="12"/>
      <c r="N38" s="12"/>
      <c r="O38" s="12"/>
      <c r="P38" s="12"/>
      <c r="Q38" s="12"/>
    </row>
    <row r="39" spans="1:17" ht="36" x14ac:dyDescent="0.2">
      <c r="A39" s="6">
        <v>12</v>
      </c>
      <c r="B39" s="92" t="s">
        <v>106</v>
      </c>
      <c r="C39" s="146" t="s">
        <v>474</v>
      </c>
      <c r="D39" s="91" t="s">
        <v>33</v>
      </c>
      <c r="E39" s="97">
        <v>54</v>
      </c>
      <c r="F39" s="89">
        <v>117.36</v>
      </c>
      <c r="G39" s="12"/>
      <c r="H39" s="12"/>
      <c r="I39" s="12"/>
      <c r="J39" s="12"/>
      <c r="K39" s="129">
        <v>6337</v>
      </c>
      <c r="L39" s="12"/>
      <c r="M39" s="12"/>
      <c r="N39" s="12"/>
      <c r="O39" s="12"/>
      <c r="P39" s="12"/>
      <c r="Q39" s="12"/>
    </row>
    <row r="40" spans="1:17" ht="48" x14ac:dyDescent="0.2">
      <c r="A40" s="6">
        <v>13</v>
      </c>
      <c r="B40" s="92" t="s">
        <v>351</v>
      </c>
      <c r="C40" s="146" t="s">
        <v>350</v>
      </c>
      <c r="D40" s="91" t="s">
        <v>29</v>
      </c>
      <c r="E40" s="90">
        <v>49</v>
      </c>
      <c r="F40" s="89">
        <v>28.38</v>
      </c>
      <c r="G40" s="89">
        <v>22.76</v>
      </c>
      <c r="H40" s="89">
        <v>0.46</v>
      </c>
      <c r="I40" s="12"/>
      <c r="J40" s="12"/>
      <c r="K40" s="129">
        <v>1391</v>
      </c>
      <c r="L40" s="12">
        <v>1115</v>
      </c>
      <c r="M40" s="12">
        <v>23</v>
      </c>
      <c r="N40" s="12"/>
      <c r="O40" s="12">
        <v>1.68</v>
      </c>
      <c r="P40" s="12">
        <v>82.32</v>
      </c>
      <c r="Q40" s="12"/>
    </row>
    <row r="41" spans="1:17" ht="24" x14ac:dyDescent="0.2">
      <c r="A41" s="6">
        <v>14</v>
      </c>
      <c r="B41" s="92" t="s">
        <v>106</v>
      </c>
      <c r="C41" s="146" t="s">
        <v>835</v>
      </c>
      <c r="D41" s="91" t="s">
        <v>29</v>
      </c>
      <c r="E41" s="97">
        <v>1</v>
      </c>
      <c r="F41" s="12"/>
      <c r="G41" s="12"/>
      <c r="H41" s="12"/>
      <c r="I41" s="12"/>
      <c r="J41" s="12">
        <v>877</v>
      </c>
      <c r="K41" s="129">
        <v>877</v>
      </c>
      <c r="L41" s="12"/>
      <c r="M41" s="12"/>
      <c r="N41" s="12"/>
      <c r="O41" s="12"/>
      <c r="P41" s="12"/>
      <c r="Q41" s="12"/>
    </row>
    <row r="42" spans="1:17" x14ac:dyDescent="0.2">
      <c r="A42" s="6">
        <v>15</v>
      </c>
      <c r="B42" s="92" t="s">
        <v>470</v>
      </c>
      <c r="C42" s="146" t="s">
        <v>834</v>
      </c>
      <c r="D42" s="91" t="s">
        <v>29</v>
      </c>
      <c r="E42" s="97">
        <v>1</v>
      </c>
      <c r="F42" s="89">
        <v>64.92</v>
      </c>
      <c r="G42" s="89">
        <v>57.52</v>
      </c>
      <c r="H42" s="89">
        <v>0.37</v>
      </c>
      <c r="I42" s="12"/>
      <c r="J42" s="12"/>
      <c r="K42" s="129">
        <v>65</v>
      </c>
      <c r="L42" s="12">
        <v>58</v>
      </c>
      <c r="M42" s="12"/>
      <c r="N42" s="12"/>
      <c r="O42" s="12">
        <v>4</v>
      </c>
      <c r="P42" s="12">
        <v>4</v>
      </c>
      <c r="Q42" s="12"/>
    </row>
    <row r="43" spans="1:17" ht="24" x14ac:dyDescent="0.2">
      <c r="A43" s="6">
        <v>16</v>
      </c>
      <c r="B43" s="92" t="s">
        <v>106</v>
      </c>
      <c r="C43" s="146" t="s">
        <v>833</v>
      </c>
      <c r="D43" s="91" t="s">
        <v>33</v>
      </c>
      <c r="E43" s="97">
        <v>7</v>
      </c>
      <c r="F43" s="89">
        <v>83.83</v>
      </c>
      <c r="G43" s="12"/>
      <c r="H43" s="12"/>
      <c r="I43" s="12"/>
      <c r="J43" s="12"/>
      <c r="K43" s="129">
        <v>587</v>
      </c>
      <c r="L43" s="12"/>
      <c r="M43" s="12"/>
      <c r="N43" s="12"/>
      <c r="O43" s="12"/>
      <c r="P43" s="12"/>
      <c r="Q43" s="12"/>
    </row>
    <row r="44" spans="1:17" x14ac:dyDescent="0.2">
      <c r="A44" s="6">
        <v>17</v>
      </c>
      <c r="B44" s="92" t="s">
        <v>333</v>
      </c>
      <c r="C44" s="146" t="s">
        <v>337</v>
      </c>
      <c r="D44" s="91" t="s">
        <v>29</v>
      </c>
      <c r="E44" s="90">
        <v>6</v>
      </c>
      <c r="F44" s="89">
        <v>13.89</v>
      </c>
      <c r="G44" s="89">
        <v>12.78</v>
      </c>
      <c r="H44" s="12"/>
      <c r="I44" s="12"/>
      <c r="J44" s="12"/>
      <c r="K44" s="129">
        <v>83</v>
      </c>
      <c r="L44" s="12">
        <v>77</v>
      </c>
      <c r="M44" s="12"/>
      <c r="N44" s="12"/>
      <c r="O44" s="12">
        <v>1</v>
      </c>
      <c r="P44" s="12">
        <v>6</v>
      </c>
      <c r="Q44" s="12"/>
    </row>
    <row r="45" spans="1:17" ht="24" x14ac:dyDescent="0.2">
      <c r="A45" s="6">
        <v>18</v>
      </c>
      <c r="B45" s="92" t="s">
        <v>106</v>
      </c>
      <c r="C45" s="146" t="s">
        <v>832</v>
      </c>
      <c r="D45" s="91" t="s">
        <v>33</v>
      </c>
      <c r="E45" s="97">
        <v>7</v>
      </c>
      <c r="F45" s="89">
        <v>58.68</v>
      </c>
      <c r="G45" s="12"/>
      <c r="H45" s="12"/>
      <c r="I45" s="12"/>
      <c r="J45" s="12"/>
      <c r="K45" s="129">
        <v>411</v>
      </c>
      <c r="L45" s="12"/>
      <c r="M45" s="12"/>
      <c r="N45" s="12"/>
      <c r="O45" s="12"/>
      <c r="P45" s="12"/>
      <c r="Q45" s="12"/>
    </row>
    <row r="46" spans="1:17" x14ac:dyDescent="0.2">
      <c r="A46" s="6">
        <v>19</v>
      </c>
      <c r="B46" s="92" t="s">
        <v>470</v>
      </c>
      <c r="C46" s="146" t="s">
        <v>831</v>
      </c>
      <c r="D46" s="91" t="s">
        <v>29</v>
      </c>
      <c r="E46" s="97">
        <v>6</v>
      </c>
      <c r="F46" s="89">
        <v>64.92</v>
      </c>
      <c r="G46" s="89">
        <v>57.52</v>
      </c>
      <c r="H46" s="89">
        <v>0.37</v>
      </c>
      <c r="I46" s="12"/>
      <c r="J46" s="12"/>
      <c r="K46" s="129">
        <v>390</v>
      </c>
      <c r="L46" s="12">
        <v>345</v>
      </c>
      <c r="M46" s="12">
        <v>2</v>
      </c>
      <c r="N46" s="12"/>
      <c r="O46" s="12">
        <v>4</v>
      </c>
      <c r="P46" s="12">
        <v>24</v>
      </c>
      <c r="Q46" s="12"/>
    </row>
    <row r="47" spans="1:17" ht="24" x14ac:dyDescent="0.2">
      <c r="A47" s="6">
        <v>20</v>
      </c>
      <c r="B47" s="92" t="s">
        <v>106</v>
      </c>
      <c r="C47" s="146" t="s">
        <v>420</v>
      </c>
      <c r="D47" s="91" t="s">
        <v>33</v>
      </c>
      <c r="E47" s="97">
        <v>6</v>
      </c>
      <c r="F47" s="89">
        <v>79.260000000000005</v>
      </c>
      <c r="G47" s="12"/>
      <c r="H47" s="12"/>
      <c r="I47" s="12"/>
      <c r="J47" s="12"/>
      <c r="K47" s="129">
        <v>476</v>
      </c>
      <c r="L47" s="12"/>
      <c r="M47" s="12"/>
      <c r="N47" s="12"/>
      <c r="O47" s="12"/>
      <c r="P47" s="12"/>
      <c r="Q47" s="12"/>
    </row>
    <row r="48" spans="1:17" x14ac:dyDescent="0.2">
      <c r="A48" s="6">
        <v>21</v>
      </c>
      <c r="B48" s="92" t="s">
        <v>333</v>
      </c>
      <c r="C48" s="146" t="s">
        <v>332</v>
      </c>
      <c r="D48" s="91" t="s">
        <v>29</v>
      </c>
      <c r="E48" s="97">
        <v>6</v>
      </c>
      <c r="F48" s="89">
        <v>13.89</v>
      </c>
      <c r="G48" s="89">
        <v>12.78</v>
      </c>
      <c r="H48" s="12"/>
      <c r="I48" s="12"/>
      <c r="J48" s="12"/>
      <c r="K48" s="129">
        <v>83</v>
      </c>
      <c r="L48" s="12">
        <v>77</v>
      </c>
      <c r="M48" s="12"/>
      <c r="N48" s="12"/>
      <c r="O48" s="12">
        <v>1</v>
      </c>
      <c r="P48" s="12">
        <v>6</v>
      </c>
      <c r="Q48" s="12"/>
    </row>
    <row r="49" spans="1:17" ht="24" x14ac:dyDescent="0.2">
      <c r="A49" s="6">
        <v>22</v>
      </c>
      <c r="B49" s="92" t="s">
        <v>106</v>
      </c>
      <c r="C49" s="146" t="s">
        <v>466</v>
      </c>
      <c r="D49" s="91" t="s">
        <v>33</v>
      </c>
      <c r="E49" s="97">
        <v>6</v>
      </c>
      <c r="F49" s="89">
        <v>26.67</v>
      </c>
      <c r="G49" s="12"/>
      <c r="H49" s="12"/>
      <c r="I49" s="12"/>
      <c r="J49" s="12"/>
      <c r="K49" s="129">
        <v>160</v>
      </c>
      <c r="L49" s="12"/>
      <c r="M49" s="12"/>
      <c r="N49" s="12"/>
      <c r="O49" s="12"/>
      <c r="P49" s="12"/>
      <c r="Q49" s="12"/>
    </row>
    <row r="50" spans="1:17" x14ac:dyDescent="0.2">
      <c r="A50" s="6">
        <v>23</v>
      </c>
      <c r="B50" s="92" t="s">
        <v>330</v>
      </c>
      <c r="C50" s="146" t="s">
        <v>335</v>
      </c>
      <c r="D50" s="91" t="s">
        <v>29</v>
      </c>
      <c r="E50" s="97">
        <v>6</v>
      </c>
      <c r="F50" s="89">
        <v>98.76</v>
      </c>
      <c r="G50" s="89">
        <v>74.88</v>
      </c>
      <c r="H50" s="12"/>
      <c r="I50" s="12"/>
      <c r="J50" s="12"/>
      <c r="K50" s="129">
        <v>593</v>
      </c>
      <c r="L50" s="12">
        <v>449</v>
      </c>
      <c r="M50" s="12"/>
      <c r="N50" s="12"/>
      <c r="O50" s="12">
        <v>6</v>
      </c>
      <c r="P50" s="12">
        <v>36</v>
      </c>
      <c r="Q50" s="12"/>
    </row>
    <row r="51" spans="1:17" ht="24" x14ac:dyDescent="0.2">
      <c r="A51" s="6">
        <v>24</v>
      </c>
      <c r="B51" s="92" t="s">
        <v>106</v>
      </c>
      <c r="C51" s="146" t="s">
        <v>325</v>
      </c>
      <c r="D51" s="91" t="s">
        <v>33</v>
      </c>
      <c r="E51" s="97">
        <v>1</v>
      </c>
      <c r="F51" s="12"/>
      <c r="G51" s="12"/>
      <c r="H51" s="12"/>
      <c r="I51" s="12"/>
      <c r="J51" s="12">
        <v>107</v>
      </c>
      <c r="K51" s="129">
        <v>107</v>
      </c>
      <c r="L51" s="12"/>
      <c r="M51" s="12"/>
      <c r="N51" s="12"/>
      <c r="O51" s="12"/>
      <c r="P51" s="12"/>
      <c r="Q51" s="12"/>
    </row>
    <row r="52" spans="1:17" ht="24" x14ac:dyDescent="0.2">
      <c r="A52" s="6">
        <v>25</v>
      </c>
      <c r="B52" s="92" t="s">
        <v>324</v>
      </c>
      <c r="C52" s="146" t="s">
        <v>323</v>
      </c>
      <c r="D52" s="91" t="s">
        <v>29</v>
      </c>
      <c r="E52" s="97">
        <v>1</v>
      </c>
      <c r="F52" s="89">
        <v>59.97</v>
      </c>
      <c r="G52" s="89">
        <v>51.77</v>
      </c>
      <c r="H52" s="89">
        <v>0.37</v>
      </c>
      <c r="I52" s="12"/>
      <c r="J52" s="12"/>
      <c r="K52" s="129">
        <v>60</v>
      </c>
      <c r="L52" s="12">
        <v>52</v>
      </c>
      <c r="M52" s="12"/>
      <c r="N52" s="12"/>
      <c r="O52" s="12">
        <v>3.6</v>
      </c>
      <c r="P52" s="12">
        <v>3.6</v>
      </c>
      <c r="Q52" s="12"/>
    </row>
    <row r="53" spans="1:17" x14ac:dyDescent="0.2">
      <c r="A53" s="6">
        <v>26</v>
      </c>
      <c r="B53" s="92" t="s">
        <v>405</v>
      </c>
      <c r="C53" s="146" t="s">
        <v>830</v>
      </c>
      <c r="D53" s="91" t="s">
        <v>30</v>
      </c>
      <c r="E53" s="97">
        <v>1</v>
      </c>
      <c r="F53" s="89">
        <v>33.29</v>
      </c>
      <c r="G53" s="12"/>
      <c r="H53" s="12"/>
      <c r="I53" s="12"/>
      <c r="J53" s="12"/>
      <c r="K53" s="129">
        <v>33</v>
      </c>
      <c r="L53" s="12"/>
      <c r="M53" s="12"/>
      <c r="N53" s="12"/>
      <c r="O53" s="12"/>
      <c r="P53" s="12"/>
      <c r="Q53" s="12"/>
    </row>
    <row r="54" spans="1:17" ht="36" x14ac:dyDescent="0.2">
      <c r="A54" s="6">
        <v>27</v>
      </c>
      <c r="B54" s="92" t="s">
        <v>295</v>
      </c>
      <c r="C54" s="146" t="s">
        <v>294</v>
      </c>
      <c r="D54" s="91" t="s">
        <v>29</v>
      </c>
      <c r="E54" s="97">
        <v>1</v>
      </c>
      <c r="F54" s="89">
        <v>174.77</v>
      </c>
      <c r="G54" s="89">
        <v>20.9</v>
      </c>
      <c r="H54" s="89">
        <v>1.28</v>
      </c>
      <c r="I54" s="12"/>
      <c r="J54" s="12"/>
      <c r="K54" s="129">
        <v>175</v>
      </c>
      <c r="L54" s="12">
        <v>21</v>
      </c>
      <c r="M54" s="12">
        <v>1</v>
      </c>
      <c r="N54" s="12"/>
      <c r="O54" s="12">
        <v>1.56</v>
      </c>
      <c r="P54" s="12">
        <v>1.56</v>
      </c>
      <c r="Q54" s="12"/>
    </row>
    <row r="55" spans="1:17" ht="72" x14ac:dyDescent="0.2">
      <c r="A55" s="6">
        <v>28</v>
      </c>
      <c r="B55" s="92" t="s">
        <v>315</v>
      </c>
      <c r="C55" s="146" t="s">
        <v>314</v>
      </c>
      <c r="D55" s="91" t="s">
        <v>31</v>
      </c>
      <c r="E55" s="90">
        <v>0.16</v>
      </c>
      <c r="F55" s="89">
        <v>6962.8</v>
      </c>
      <c r="G55" s="12"/>
      <c r="H55" s="12"/>
      <c r="I55" s="12"/>
      <c r="J55" s="12"/>
      <c r="K55" s="129">
        <v>1114</v>
      </c>
      <c r="L55" s="12"/>
      <c r="M55" s="12"/>
      <c r="N55" s="12"/>
      <c r="O55" s="12"/>
      <c r="P55" s="12"/>
      <c r="Q55" s="12"/>
    </row>
    <row r="56" spans="1:17" ht="72" x14ac:dyDescent="0.2">
      <c r="A56" s="6">
        <v>29</v>
      </c>
      <c r="B56" s="92" t="s">
        <v>465</v>
      </c>
      <c r="C56" s="146" t="s">
        <v>464</v>
      </c>
      <c r="D56" s="91" t="s">
        <v>31</v>
      </c>
      <c r="E56" s="90">
        <v>9.8000000000000004E-2</v>
      </c>
      <c r="F56" s="89">
        <v>4439.3</v>
      </c>
      <c r="G56" s="12"/>
      <c r="H56" s="12"/>
      <c r="I56" s="12"/>
      <c r="J56" s="12"/>
      <c r="K56" s="129">
        <v>435</v>
      </c>
      <c r="L56" s="12"/>
      <c r="M56" s="12"/>
      <c r="N56" s="12"/>
      <c r="O56" s="12"/>
      <c r="P56" s="12"/>
      <c r="Q56" s="12"/>
    </row>
    <row r="57" spans="1:17" ht="60" x14ac:dyDescent="0.2">
      <c r="A57" s="6">
        <v>30</v>
      </c>
      <c r="B57" s="92" t="s">
        <v>311</v>
      </c>
      <c r="C57" s="146" t="s">
        <v>310</v>
      </c>
      <c r="D57" s="91" t="s">
        <v>34</v>
      </c>
      <c r="E57" s="90">
        <v>1.1399999999999999</v>
      </c>
      <c r="F57" s="89">
        <v>1131.6099999999999</v>
      </c>
      <c r="G57" s="89">
        <v>202.73</v>
      </c>
      <c r="H57" s="89">
        <v>704.04</v>
      </c>
      <c r="I57" s="89">
        <v>87.33</v>
      </c>
      <c r="J57" s="12"/>
      <c r="K57" s="129">
        <v>1290</v>
      </c>
      <c r="L57" s="12">
        <v>231</v>
      </c>
      <c r="M57" s="12">
        <v>803</v>
      </c>
      <c r="N57" s="12">
        <v>100</v>
      </c>
      <c r="O57" s="12">
        <v>15.3</v>
      </c>
      <c r="P57" s="12">
        <v>17.440000000000001</v>
      </c>
      <c r="Q57" s="12"/>
    </row>
    <row r="58" spans="1:17" ht="24" x14ac:dyDescent="0.2">
      <c r="A58" s="6">
        <v>31</v>
      </c>
      <c r="B58" s="92" t="s">
        <v>106</v>
      </c>
      <c r="C58" s="146" t="s">
        <v>415</v>
      </c>
      <c r="D58" s="91" t="s">
        <v>31</v>
      </c>
      <c r="E58" s="90">
        <v>0.54900000000000004</v>
      </c>
      <c r="F58" s="89">
        <v>4575.3599999999997</v>
      </c>
      <c r="G58" s="12"/>
      <c r="H58" s="12"/>
      <c r="I58" s="12"/>
      <c r="J58" s="12"/>
      <c r="K58" s="129">
        <v>2512</v>
      </c>
      <c r="L58" s="12"/>
      <c r="M58" s="12"/>
      <c r="N58" s="12"/>
      <c r="O58" s="12"/>
      <c r="P58" s="12"/>
      <c r="Q58" s="12"/>
    </row>
    <row r="59" spans="1:17" ht="24" x14ac:dyDescent="0.2">
      <c r="A59" s="6">
        <v>32</v>
      </c>
      <c r="B59" s="92" t="s">
        <v>106</v>
      </c>
      <c r="C59" s="146" t="s">
        <v>462</v>
      </c>
      <c r="D59" s="91" t="s">
        <v>31</v>
      </c>
      <c r="E59" s="90">
        <v>4.4999999999999998E-2</v>
      </c>
      <c r="F59" s="89">
        <v>8322.16</v>
      </c>
      <c r="G59" s="12"/>
      <c r="H59" s="12"/>
      <c r="I59" s="12"/>
      <c r="J59" s="12"/>
      <c r="K59" s="129">
        <v>374</v>
      </c>
      <c r="L59" s="12"/>
      <c r="M59" s="12"/>
      <c r="N59" s="12"/>
      <c r="O59" s="12"/>
      <c r="P59" s="12"/>
      <c r="Q59" s="12"/>
    </row>
    <row r="60" spans="1:17" ht="24" x14ac:dyDescent="0.2">
      <c r="A60" s="6">
        <v>33</v>
      </c>
      <c r="B60" s="92" t="s">
        <v>313</v>
      </c>
      <c r="C60" s="146" t="s">
        <v>312</v>
      </c>
      <c r="D60" s="91" t="s">
        <v>34</v>
      </c>
      <c r="E60" s="90">
        <v>5.94</v>
      </c>
      <c r="F60" s="89">
        <v>189.23</v>
      </c>
      <c r="G60" s="89">
        <v>46.64</v>
      </c>
      <c r="H60" s="89">
        <v>56.09</v>
      </c>
      <c r="I60" s="89">
        <v>24.55</v>
      </c>
      <c r="J60" s="12"/>
      <c r="K60" s="129">
        <v>1124</v>
      </c>
      <c r="L60" s="12">
        <v>277</v>
      </c>
      <c r="M60" s="12">
        <v>333</v>
      </c>
      <c r="N60" s="12">
        <v>146</v>
      </c>
      <c r="O60" s="12">
        <v>3.52</v>
      </c>
      <c r="P60" s="12">
        <v>20.91</v>
      </c>
      <c r="Q60" s="12"/>
    </row>
    <row r="61" spans="1:17" x14ac:dyDescent="0.2">
      <c r="A61" s="6">
        <v>34</v>
      </c>
      <c r="B61" s="92" t="s">
        <v>461</v>
      </c>
      <c r="C61" s="146" t="s">
        <v>460</v>
      </c>
      <c r="D61" s="91" t="s">
        <v>30</v>
      </c>
      <c r="E61" s="97">
        <v>17</v>
      </c>
      <c r="F61" s="89">
        <v>2.85</v>
      </c>
      <c r="G61" s="12"/>
      <c r="H61" s="12"/>
      <c r="I61" s="12"/>
      <c r="J61" s="12"/>
      <c r="K61" s="129">
        <v>48</v>
      </c>
      <c r="L61" s="12"/>
      <c r="M61" s="12"/>
      <c r="N61" s="12"/>
      <c r="O61" s="12"/>
      <c r="P61" s="12"/>
      <c r="Q61" s="12"/>
    </row>
    <row r="62" spans="1:17" x14ac:dyDescent="0.2">
      <c r="A62" s="6">
        <v>35</v>
      </c>
      <c r="B62" s="92" t="s">
        <v>459</v>
      </c>
      <c r="C62" s="146" t="s">
        <v>458</v>
      </c>
      <c r="D62" s="91" t="s">
        <v>29</v>
      </c>
      <c r="E62" s="90">
        <v>15</v>
      </c>
      <c r="F62" s="89">
        <v>7.32</v>
      </c>
      <c r="G62" s="89">
        <v>6.88</v>
      </c>
      <c r="H62" s="12"/>
      <c r="I62" s="12"/>
      <c r="J62" s="12"/>
      <c r="K62" s="129">
        <v>110</v>
      </c>
      <c r="L62" s="12">
        <v>103</v>
      </c>
      <c r="M62" s="12"/>
      <c r="N62" s="12"/>
      <c r="O62" s="12">
        <v>0.5</v>
      </c>
      <c r="P62" s="12">
        <v>7.5</v>
      </c>
      <c r="Q62" s="12"/>
    </row>
    <row r="63" spans="1:17" ht="36" x14ac:dyDescent="0.2">
      <c r="A63" s="6">
        <v>36</v>
      </c>
      <c r="B63" s="92" t="s">
        <v>291</v>
      </c>
      <c r="C63" s="146" t="s">
        <v>290</v>
      </c>
      <c r="D63" s="91" t="s">
        <v>29</v>
      </c>
      <c r="E63" s="97">
        <v>4</v>
      </c>
      <c r="F63" s="89">
        <v>27.06</v>
      </c>
      <c r="G63" s="89">
        <v>11.51</v>
      </c>
      <c r="H63" s="12"/>
      <c r="I63" s="12"/>
      <c r="J63" s="12"/>
      <c r="K63" s="129">
        <v>108</v>
      </c>
      <c r="L63" s="12">
        <v>46</v>
      </c>
      <c r="M63" s="12"/>
      <c r="N63" s="12"/>
      <c r="O63" s="12">
        <v>1</v>
      </c>
      <c r="P63" s="12">
        <v>4</v>
      </c>
      <c r="Q63" s="12"/>
    </row>
    <row r="64" spans="1:17" ht="24" x14ac:dyDescent="0.2">
      <c r="A64" s="6">
        <v>37</v>
      </c>
      <c r="B64" s="92" t="s">
        <v>407</v>
      </c>
      <c r="C64" s="146" t="s">
        <v>406</v>
      </c>
      <c r="D64" s="91" t="s">
        <v>30</v>
      </c>
      <c r="E64" s="97">
        <v>4</v>
      </c>
      <c r="F64" s="89">
        <v>4.5199999999999996</v>
      </c>
      <c r="G64" s="12"/>
      <c r="H64" s="12"/>
      <c r="I64" s="12"/>
      <c r="J64" s="12"/>
      <c r="K64" s="129">
        <v>18</v>
      </c>
      <c r="L64" s="12"/>
      <c r="M64" s="12"/>
      <c r="N64" s="12"/>
      <c r="O64" s="12"/>
      <c r="P64" s="12"/>
      <c r="Q64" s="12"/>
    </row>
    <row r="65" spans="1:17" ht="24" x14ac:dyDescent="0.2">
      <c r="A65" s="6">
        <v>38</v>
      </c>
      <c r="B65" s="92" t="s">
        <v>457</v>
      </c>
      <c r="C65" s="146" t="s">
        <v>456</v>
      </c>
      <c r="D65" s="91" t="s">
        <v>29</v>
      </c>
      <c r="E65" s="97">
        <v>1</v>
      </c>
      <c r="F65" s="89">
        <v>140.74</v>
      </c>
      <c r="G65" s="89">
        <v>27.86</v>
      </c>
      <c r="H65" s="89">
        <v>3.58</v>
      </c>
      <c r="I65" s="12"/>
      <c r="J65" s="12"/>
      <c r="K65" s="129">
        <v>141</v>
      </c>
      <c r="L65" s="12">
        <v>28</v>
      </c>
      <c r="M65" s="12">
        <v>4</v>
      </c>
      <c r="N65" s="12"/>
      <c r="O65" s="12">
        <v>2.1800000000000002</v>
      </c>
      <c r="P65" s="12">
        <v>2.1800000000000002</v>
      </c>
      <c r="Q65" s="12"/>
    </row>
    <row r="66" spans="1:17" ht="36" x14ac:dyDescent="0.2">
      <c r="A66" s="6">
        <v>39</v>
      </c>
      <c r="B66" s="92" t="s">
        <v>106</v>
      </c>
      <c r="C66" s="146" t="s">
        <v>302</v>
      </c>
      <c r="D66" s="91" t="s">
        <v>33</v>
      </c>
      <c r="E66" s="97">
        <v>1</v>
      </c>
      <c r="F66" s="89">
        <v>1411.86</v>
      </c>
      <c r="G66" s="12"/>
      <c r="H66" s="12"/>
      <c r="I66" s="12"/>
      <c r="J66" s="12"/>
      <c r="K66" s="129">
        <v>1412</v>
      </c>
      <c r="L66" s="12"/>
      <c r="M66" s="12"/>
      <c r="N66" s="12"/>
      <c r="O66" s="12"/>
      <c r="P66" s="12"/>
      <c r="Q66" s="12"/>
    </row>
    <row r="67" spans="1:17" ht="24" x14ac:dyDescent="0.2">
      <c r="A67" s="6">
        <v>40</v>
      </c>
      <c r="B67" s="92" t="s">
        <v>106</v>
      </c>
      <c r="C67" s="146" t="s">
        <v>301</v>
      </c>
      <c r="D67" s="91" t="s">
        <v>33</v>
      </c>
      <c r="E67" s="97">
        <v>1</v>
      </c>
      <c r="F67" s="89">
        <v>429.51</v>
      </c>
      <c r="G67" s="12"/>
      <c r="H67" s="12"/>
      <c r="I67" s="12"/>
      <c r="J67" s="12"/>
      <c r="K67" s="129">
        <v>430</v>
      </c>
      <c r="L67" s="12"/>
      <c r="M67" s="12"/>
      <c r="N67" s="12"/>
      <c r="O67" s="12"/>
      <c r="P67" s="12"/>
      <c r="Q67" s="12"/>
    </row>
    <row r="68" spans="1:17" ht="24" x14ac:dyDescent="0.2">
      <c r="A68" s="6">
        <v>41</v>
      </c>
      <c r="B68" s="92" t="s">
        <v>106</v>
      </c>
      <c r="C68" s="146" t="s">
        <v>300</v>
      </c>
      <c r="D68" s="91" t="s">
        <v>299</v>
      </c>
      <c r="E68" s="97">
        <v>1</v>
      </c>
      <c r="F68" s="89">
        <v>53.52</v>
      </c>
      <c r="G68" s="12"/>
      <c r="H68" s="12"/>
      <c r="I68" s="12"/>
      <c r="J68" s="12"/>
      <c r="K68" s="129">
        <v>54</v>
      </c>
      <c r="L68" s="12"/>
      <c r="M68" s="12"/>
      <c r="N68" s="12"/>
      <c r="O68" s="12"/>
      <c r="P68" s="12"/>
      <c r="Q68" s="12"/>
    </row>
    <row r="69" spans="1:17" ht="24" x14ac:dyDescent="0.2">
      <c r="A69" s="6">
        <v>42</v>
      </c>
      <c r="B69" s="92" t="s">
        <v>106</v>
      </c>
      <c r="C69" s="146" t="s">
        <v>454</v>
      </c>
      <c r="D69" s="91" t="s">
        <v>33</v>
      </c>
      <c r="E69" s="97">
        <v>1</v>
      </c>
      <c r="F69" s="89">
        <v>84.54</v>
      </c>
      <c r="G69" s="12"/>
      <c r="H69" s="12"/>
      <c r="I69" s="12"/>
      <c r="J69" s="12"/>
      <c r="K69" s="129">
        <v>85</v>
      </c>
      <c r="L69" s="12"/>
      <c r="M69" s="12"/>
      <c r="N69" s="12"/>
      <c r="O69" s="12"/>
      <c r="P69" s="12"/>
      <c r="Q69" s="12"/>
    </row>
    <row r="70" spans="1:17" ht="63" x14ac:dyDescent="0.2">
      <c r="A70" s="6">
        <v>43</v>
      </c>
      <c r="B70" s="92" t="s">
        <v>288</v>
      </c>
      <c r="C70" s="146" t="s">
        <v>287</v>
      </c>
      <c r="D70" s="91" t="s">
        <v>34</v>
      </c>
      <c r="E70" s="90">
        <v>1.08</v>
      </c>
      <c r="F70" s="89">
        <v>311.39999999999998</v>
      </c>
      <c r="G70" s="89">
        <v>218.44</v>
      </c>
      <c r="H70" s="89">
        <v>38.75</v>
      </c>
      <c r="I70" s="89">
        <v>0.17</v>
      </c>
      <c r="J70" s="12"/>
      <c r="K70" s="129">
        <v>336</v>
      </c>
      <c r="L70" s="12">
        <v>236</v>
      </c>
      <c r="M70" s="12">
        <v>42</v>
      </c>
      <c r="N70" s="12"/>
      <c r="O70" s="12">
        <v>16.29</v>
      </c>
      <c r="P70" s="12">
        <v>17.59</v>
      </c>
      <c r="Q70" s="12"/>
    </row>
    <row r="71" spans="1:17" ht="63" x14ac:dyDescent="0.2">
      <c r="A71" s="6">
        <v>44</v>
      </c>
      <c r="B71" s="92" t="s">
        <v>453</v>
      </c>
      <c r="C71" s="146" t="s">
        <v>452</v>
      </c>
      <c r="D71" s="91" t="s">
        <v>35</v>
      </c>
      <c r="E71" s="97">
        <v>108</v>
      </c>
      <c r="F71" s="89">
        <v>1.8</v>
      </c>
      <c r="G71" s="12"/>
      <c r="H71" s="12"/>
      <c r="I71" s="12"/>
      <c r="J71" s="12"/>
      <c r="K71" s="129">
        <v>194</v>
      </c>
      <c r="L71" s="12"/>
      <c r="M71" s="12"/>
      <c r="N71" s="12"/>
      <c r="O71" s="12"/>
      <c r="P71" s="12"/>
      <c r="Q71" s="12"/>
    </row>
    <row r="72" spans="1:17" ht="63" x14ac:dyDescent="0.2">
      <c r="A72" s="6">
        <v>45</v>
      </c>
      <c r="B72" s="92" t="s">
        <v>829</v>
      </c>
      <c r="C72" s="146" t="s">
        <v>828</v>
      </c>
      <c r="D72" s="91" t="s">
        <v>34</v>
      </c>
      <c r="E72" s="90">
        <v>0.43</v>
      </c>
      <c r="F72" s="89">
        <v>363.95</v>
      </c>
      <c r="G72" s="89">
        <v>246.59</v>
      </c>
      <c r="H72" s="89">
        <v>43.79</v>
      </c>
      <c r="I72" s="89">
        <v>0.17</v>
      </c>
      <c r="J72" s="12"/>
      <c r="K72" s="129">
        <v>156</v>
      </c>
      <c r="L72" s="12">
        <v>106</v>
      </c>
      <c r="M72" s="12">
        <v>19</v>
      </c>
      <c r="N72" s="12"/>
      <c r="O72" s="12">
        <v>18.39</v>
      </c>
      <c r="P72" s="12">
        <v>7.91</v>
      </c>
      <c r="Q72" s="12"/>
    </row>
    <row r="73" spans="1:17" ht="63" x14ac:dyDescent="0.2">
      <c r="A73" s="6">
        <v>46</v>
      </c>
      <c r="B73" s="92" t="s">
        <v>827</v>
      </c>
      <c r="C73" s="146" t="s">
        <v>826</v>
      </c>
      <c r="D73" s="91" t="s">
        <v>35</v>
      </c>
      <c r="E73" s="97">
        <v>43</v>
      </c>
      <c r="F73" s="89">
        <v>4.5</v>
      </c>
      <c r="G73" s="12"/>
      <c r="H73" s="12"/>
      <c r="I73" s="12"/>
      <c r="J73" s="12"/>
      <c r="K73" s="129">
        <v>194</v>
      </c>
      <c r="L73" s="12"/>
      <c r="M73" s="12"/>
      <c r="N73" s="12"/>
      <c r="O73" s="12"/>
      <c r="P73" s="12"/>
      <c r="Q73" s="12"/>
    </row>
    <row r="74" spans="1:17" x14ac:dyDescent="0.2">
      <c r="A74" s="6">
        <v>47</v>
      </c>
      <c r="B74" s="92" t="s">
        <v>308</v>
      </c>
      <c r="C74" s="146" t="s">
        <v>307</v>
      </c>
      <c r="D74" s="91" t="s">
        <v>30</v>
      </c>
      <c r="E74" s="90">
        <v>16</v>
      </c>
      <c r="F74" s="89">
        <v>1.19</v>
      </c>
      <c r="G74" s="12"/>
      <c r="H74" s="12"/>
      <c r="I74" s="12"/>
      <c r="J74" s="12"/>
      <c r="K74" s="129">
        <v>19</v>
      </c>
      <c r="L74" s="12"/>
      <c r="M74" s="12"/>
      <c r="N74" s="12"/>
      <c r="O74" s="12"/>
      <c r="P74" s="12"/>
      <c r="Q74" s="12"/>
    </row>
    <row r="75" spans="1:17" x14ac:dyDescent="0.2">
      <c r="A75" s="6">
        <v>48</v>
      </c>
      <c r="B75" s="92" t="s">
        <v>306</v>
      </c>
      <c r="C75" s="146" t="s">
        <v>305</v>
      </c>
      <c r="D75" s="91" t="s">
        <v>29</v>
      </c>
      <c r="E75" s="90">
        <v>13</v>
      </c>
      <c r="F75" s="89">
        <v>8.41</v>
      </c>
      <c r="G75" s="89">
        <v>7.26</v>
      </c>
      <c r="H75" s="12"/>
      <c r="I75" s="12"/>
      <c r="J75" s="12"/>
      <c r="K75" s="129">
        <v>109</v>
      </c>
      <c r="L75" s="12">
        <v>94</v>
      </c>
      <c r="M75" s="12"/>
      <c r="N75" s="12"/>
      <c r="O75" s="12">
        <v>0.52</v>
      </c>
      <c r="P75" s="12">
        <v>6.76</v>
      </c>
      <c r="Q75" s="12"/>
    </row>
    <row r="76" spans="1:17" ht="36" x14ac:dyDescent="0.2">
      <c r="A76" s="6">
        <v>49</v>
      </c>
      <c r="B76" s="92" t="s">
        <v>106</v>
      </c>
      <c r="C76" s="146" t="s">
        <v>451</v>
      </c>
      <c r="D76" s="91" t="s">
        <v>33</v>
      </c>
      <c r="E76" s="97">
        <v>2</v>
      </c>
      <c r="F76" s="89">
        <v>9.0500000000000007</v>
      </c>
      <c r="G76" s="12"/>
      <c r="H76" s="12"/>
      <c r="I76" s="12"/>
      <c r="J76" s="12"/>
      <c r="K76" s="129">
        <v>18</v>
      </c>
      <c r="L76" s="12"/>
      <c r="M76" s="12"/>
      <c r="N76" s="12"/>
      <c r="O76" s="12"/>
      <c r="P76" s="12"/>
      <c r="Q76" s="12"/>
    </row>
    <row r="77" spans="1:17" ht="24" x14ac:dyDescent="0.2">
      <c r="A77" s="6">
        <v>50</v>
      </c>
      <c r="B77" s="92" t="s">
        <v>106</v>
      </c>
      <c r="C77" s="146" t="s">
        <v>450</v>
      </c>
      <c r="D77" s="91" t="s">
        <v>33</v>
      </c>
      <c r="E77" s="97">
        <v>1</v>
      </c>
      <c r="F77" s="89">
        <v>6.16</v>
      </c>
      <c r="G77" s="12"/>
      <c r="H77" s="12"/>
      <c r="I77" s="12"/>
      <c r="J77" s="12"/>
      <c r="K77" s="129">
        <v>6</v>
      </c>
      <c r="L77" s="12"/>
      <c r="M77" s="12"/>
      <c r="N77" s="12"/>
      <c r="O77" s="12"/>
      <c r="P77" s="12"/>
      <c r="Q77" s="12"/>
    </row>
    <row r="78" spans="1:17" ht="36" x14ac:dyDescent="0.2">
      <c r="A78" s="6">
        <v>51</v>
      </c>
      <c r="B78" s="92" t="s">
        <v>106</v>
      </c>
      <c r="C78" s="146" t="s">
        <v>449</v>
      </c>
      <c r="D78" s="91" t="s">
        <v>33</v>
      </c>
      <c r="E78" s="97">
        <v>2</v>
      </c>
      <c r="F78" s="89">
        <v>9.9</v>
      </c>
      <c r="G78" s="12"/>
      <c r="H78" s="12"/>
      <c r="I78" s="12"/>
      <c r="J78" s="12"/>
      <c r="K78" s="129">
        <v>20</v>
      </c>
      <c r="L78" s="12"/>
      <c r="M78" s="12"/>
      <c r="N78" s="12"/>
      <c r="O78" s="12"/>
      <c r="P78" s="12"/>
      <c r="Q78" s="12"/>
    </row>
    <row r="79" spans="1:17" ht="24" x14ac:dyDescent="0.2">
      <c r="A79" s="6">
        <v>52</v>
      </c>
      <c r="B79" s="92" t="s">
        <v>106</v>
      </c>
      <c r="C79" s="146" t="s">
        <v>448</v>
      </c>
      <c r="D79" s="91" t="s">
        <v>33</v>
      </c>
      <c r="E79" s="97">
        <v>2</v>
      </c>
      <c r="F79" s="89">
        <v>1.33</v>
      </c>
      <c r="G79" s="12"/>
      <c r="H79" s="12"/>
      <c r="I79" s="12"/>
      <c r="J79" s="12"/>
      <c r="K79" s="129">
        <v>3</v>
      </c>
      <c r="L79" s="12"/>
      <c r="M79" s="12"/>
      <c r="N79" s="12"/>
      <c r="O79" s="12"/>
      <c r="P79" s="12"/>
      <c r="Q79" s="12"/>
    </row>
    <row r="80" spans="1:17" x14ac:dyDescent="0.2">
      <c r="A80" s="166" t="s">
        <v>275</v>
      </c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</row>
    <row r="81" spans="1:17" x14ac:dyDescent="0.2">
      <c r="A81" s="177" t="s">
        <v>274</v>
      </c>
      <c r="B81" s="178"/>
      <c r="C81" s="178"/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8"/>
    </row>
    <row r="82" spans="1:17" ht="77.25" x14ac:dyDescent="0.2">
      <c r="A82" s="6">
        <v>53</v>
      </c>
      <c r="B82" s="92" t="s">
        <v>273</v>
      </c>
      <c r="C82" s="146" t="s">
        <v>272</v>
      </c>
      <c r="D82" s="91" t="s">
        <v>271</v>
      </c>
      <c r="E82" s="90">
        <v>67</v>
      </c>
      <c r="F82" s="89">
        <v>27.19</v>
      </c>
      <c r="G82" s="89">
        <v>27.19</v>
      </c>
      <c r="H82" s="12"/>
      <c r="I82" s="12"/>
      <c r="J82" s="12"/>
      <c r="K82" s="129">
        <v>1822</v>
      </c>
      <c r="L82" s="12">
        <v>1822</v>
      </c>
      <c r="M82" s="12"/>
      <c r="N82" s="12"/>
      <c r="O82" s="12">
        <v>1.65</v>
      </c>
      <c r="P82" s="12">
        <v>110.55</v>
      </c>
      <c r="Q82" s="12"/>
    </row>
    <row r="83" spans="1:17" ht="36" x14ac:dyDescent="0.2">
      <c r="A83" s="6">
        <v>54</v>
      </c>
      <c r="B83" s="92" t="s">
        <v>270</v>
      </c>
      <c r="C83" s="146" t="s">
        <v>269</v>
      </c>
      <c r="D83" s="91" t="s">
        <v>268</v>
      </c>
      <c r="E83" s="97">
        <v>2</v>
      </c>
      <c r="F83" s="89">
        <v>95.38</v>
      </c>
      <c r="G83" s="89">
        <v>95.38</v>
      </c>
      <c r="H83" s="12"/>
      <c r="I83" s="12"/>
      <c r="J83" s="12"/>
      <c r="K83" s="129">
        <v>191</v>
      </c>
      <c r="L83" s="12">
        <v>191</v>
      </c>
      <c r="M83" s="12"/>
      <c r="N83" s="12"/>
      <c r="O83" s="12">
        <v>6</v>
      </c>
      <c r="P83" s="12">
        <v>12</v>
      </c>
      <c r="Q83" s="12"/>
    </row>
    <row r="84" spans="1:17" ht="48" x14ac:dyDescent="0.2">
      <c r="A84" s="6">
        <v>55</v>
      </c>
      <c r="B84" s="92" t="s">
        <v>267</v>
      </c>
      <c r="C84" s="146" t="s">
        <v>266</v>
      </c>
      <c r="D84" s="91" t="s">
        <v>265</v>
      </c>
      <c r="E84" s="97">
        <v>1</v>
      </c>
      <c r="F84" s="89">
        <v>366.98</v>
      </c>
      <c r="G84" s="89">
        <v>366.98</v>
      </c>
      <c r="H84" s="12"/>
      <c r="I84" s="12"/>
      <c r="J84" s="12"/>
      <c r="K84" s="129">
        <v>367</v>
      </c>
      <c r="L84" s="12">
        <v>367</v>
      </c>
      <c r="M84" s="12"/>
      <c r="N84" s="12"/>
      <c r="O84" s="12">
        <v>17.600000000000001</v>
      </c>
      <c r="P84" s="12">
        <v>17.600000000000001</v>
      </c>
      <c r="Q84" s="12"/>
    </row>
    <row r="85" spans="1:17" x14ac:dyDescent="0.2">
      <c r="A85" s="177" t="s">
        <v>264</v>
      </c>
      <c r="B85" s="178"/>
      <c r="C85" s="178"/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8"/>
      <c r="P85" s="178"/>
      <c r="Q85" s="178"/>
    </row>
    <row r="86" spans="1:17" ht="36" x14ac:dyDescent="0.2">
      <c r="A86" s="6">
        <v>56</v>
      </c>
      <c r="B86" s="92" t="s">
        <v>263</v>
      </c>
      <c r="C86" s="146" t="s">
        <v>262</v>
      </c>
      <c r="D86" s="91" t="s">
        <v>29</v>
      </c>
      <c r="E86" s="97">
        <v>1</v>
      </c>
      <c r="F86" s="89">
        <v>367.07</v>
      </c>
      <c r="G86" s="89">
        <v>367.07</v>
      </c>
      <c r="H86" s="12"/>
      <c r="I86" s="12"/>
      <c r="J86" s="12"/>
      <c r="K86" s="129">
        <v>367</v>
      </c>
      <c r="L86" s="12">
        <v>367</v>
      </c>
      <c r="M86" s="12"/>
      <c r="N86" s="12"/>
      <c r="O86" s="12">
        <v>22</v>
      </c>
      <c r="P86" s="12">
        <v>22</v>
      </c>
      <c r="Q86" s="12"/>
    </row>
    <row r="87" spans="1:17" x14ac:dyDescent="0.2">
      <c r="A87" s="168" t="s">
        <v>36</v>
      </c>
      <c r="B87" s="167"/>
      <c r="C87" s="167"/>
      <c r="D87" s="167"/>
      <c r="E87" s="167"/>
      <c r="F87" s="167"/>
      <c r="G87" s="167"/>
      <c r="H87" s="167"/>
      <c r="I87" s="167"/>
      <c r="J87" s="167"/>
      <c r="K87" s="130">
        <v>35146</v>
      </c>
      <c r="L87" s="89">
        <v>6624</v>
      </c>
      <c r="M87" s="89">
        <v>1263</v>
      </c>
      <c r="N87" s="89">
        <v>253</v>
      </c>
      <c r="O87" s="12"/>
      <c r="P87" s="89">
        <v>448.02</v>
      </c>
      <c r="Q87" s="12"/>
    </row>
    <row r="88" spans="1:17" x14ac:dyDescent="0.2">
      <c r="A88" s="168" t="s">
        <v>37</v>
      </c>
      <c r="B88" s="167"/>
      <c r="C88" s="167"/>
      <c r="D88" s="167"/>
      <c r="E88" s="167"/>
      <c r="F88" s="167"/>
      <c r="G88" s="167"/>
      <c r="H88" s="167"/>
      <c r="I88" s="167"/>
      <c r="J88" s="167"/>
      <c r="K88" s="130">
        <v>37764</v>
      </c>
      <c r="L88" s="89">
        <v>8094</v>
      </c>
      <c r="M88" s="89">
        <v>1719</v>
      </c>
      <c r="N88" s="89">
        <v>356</v>
      </c>
      <c r="O88" s="12"/>
      <c r="P88" s="89">
        <v>535.1</v>
      </c>
      <c r="Q88" s="12"/>
    </row>
    <row r="89" spans="1:17" x14ac:dyDescent="0.2">
      <c r="A89" s="168" t="s">
        <v>86</v>
      </c>
      <c r="B89" s="167"/>
      <c r="C89" s="167"/>
      <c r="D89" s="167"/>
      <c r="E89" s="167"/>
      <c r="F89" s="167"/>
      <c r="G89" s="167"/>
      <c r="H89" s="167"/>
      <c r="I89" s="167"/>
      <c r="J89" s="167"/>
      <c r="K89" s="129"/>
      <c r="L89" s="12"/>
      <c r="M89" s="12"/>
      <c r="N89" s="12"/>
      <c r="O89" s="12"/>
      <c r="P89" s="12"/>
      <c r="Q89" s="12"/>
    </row>
    <row r="90" spans="1:17" ht="15" customHeight="1" x14ac:dyDescent="0.2">
      <c r="A90" s="168" t="s">
        <v>825</v>
      </c>
      <c r="B90" s="167"/>
      <c r="C90" s="167"/>
      <c r="D90" s="167"/>
      <c r="E90" s="167"/>
      <c r="F90" s="167"/>
      <c r="G90" s="167"/>
      <c r="H90" s="167"/>
      <c r="I90" s="167"/>
      <c r="J90" s="167"/>
      <c r="K90" s="130">
        <v>295</v>
      </c>
      <c r="L90" s="89">
        <v>285</v>
      </c>
      <c r="M90" s="89">
        <v>11</v>
      </c>
      <c r="N90" s="89">
        <v>11</v>
      </c>
      <c r="O90" s="12"/>
      <c r="P90" s="12"/>
      <c r="Q90" s="12"/>
    </row>
    <row r="91" spans="1:17" ht="24" customHeight="1" x14ac:dyDescent="0.2">
      <c r="A91" s="168" t="s">
        <v>824</v>
      </c>
      <c r="B91" s="167"/>
      <c r="C91" s="167"/>
      <c r="D91" s="167"/>
      <c r="E91" s="167"/>
      <c r="F91" s="167"/>
      <c r="G91" s="167"/>
      <c r="H91" s="167"/>
      <c r="I91" s="167"/>
      <c r="J91" s="167"/>
      <c r="K91" s="130">
        <v>269</v>
      </c>
      <c r="L91" s="12"/>
      <c r="M91" s="12"/>
      <c r="N91" s="12"/>
      <c r="O91" s="12"/>
      <c r="P91" s="12"/>
      <c r="Q91" s="12"/>
    </row>
    <row r="92" spans="1:17" ht="23.45" customHeight="1" x14ac:dyDescent="0.2">
      <c r="A92" s="168" t="s">
        <v>823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30">
        <v>300</v>
      </c>
      <c r="L92" s="12"/>
      <c r="M92" s="12"/>
      <c r="N92" s="12"/>
      <c r="O92" s="12"/>
      <c r="P92" s="12"/>
      <c r="Q92" s="12"/>
    </row>
    <row r="93" spans="1:17" ht="24.6" customHeight="1" x14ac:dyDescent="0.2">
      <c r="A93" s="168" t="s">
        <v>822</v>
      </c>
      <c r="B93" s="167"/>
      <c r="C93" s="167"/>
      <c r="D93" s="167"/>
      <c r="E93" s="167"/>
      <c r="F93" s="167"/>
      <c r="G93" s="167"/>
      <c r="H93" s="167"/>
      <c r="I93" s="167"/>
      <c r="J93" s="167"/>
      <c r="K93" s="130">
        <v>123</v>
      </c>
      <c r="L93" s="12"/>
      <c r="M93" s="12"/>
      <c r="N93" s="12"/>
      <c r="O93" s="12"/>
      <c r="P93" s="12"/>
      <c r="Q93" s="12"/>
    </row>
    <row r="94" spans="1:17" ht="25.15" customHeight="1" x14ac:dyDescent="0.2">
      <c r="A94" s="168" t="s">
        <v>821</v>
      </c>
      <c r="B94" s="167"/>
      <c r="C94" s="167"/>
      <c r="D94" s="167"/>
      <c r="E94" s="167"/>
      <c r="F94" s="167"/>
      <c r="G94" s="167"/>
      <c r="H94" s="167"/>
      <c r="I94" s="167"/>
      <c r="J94" s="167"/>
      <c r="K94" s="130">
        <v>1860</v>
      </c>
      <c r="L94" s="89">
        <v>1415</v>
      </c>
      <c r="M94" s="89">
        <v>446</v>
      </c>
      <c r="N94" s="89">
        <v>92</v>
      </c>
      <c r="O94" s="12"/>
      <c r="P94" s="89">
        <v>100.0545</v>
      </c>
      <c r="Q94" s="12"/>
    </row>
    <row r="95" spans="1:17" ht="22.15" customHeight="1" x14ac:dyDescent="0.2">
      <c r="A95" s="168" t="s">
        <v>820</v>
      </c>
      <c r="B95" s="167"/>
      <c r="C95" s="167"/>
      <c r="D95" s="167"/>
      <c r="E95" s="167"/>
      <c r="F95" s="167"/>
      <c r="G95" s="167"/>
      <c r="H95" s="167"/>
      <c r="I95" s="167"/>
      <c r="J95" s="167"/>
      <c r="K95" s="130">
        <v>430</v>
      </c>
      <c r="L95" s="89">
        <v>430</v>
      </c>
      <c r="M95" s="12"/>
      <c r="N95" s="12"/>
      <c r="O95" s="12"/>
      <c r="P95" s="89">
        <v>24.322500000000002</v>
      </c>
      <c r="Q95" s="12"/>
    </row>
    <row r="96" spans="1:17" ht="15" customHeight="1" x14ac:dyDescent="0.2">
      <c r="A96" s="168" t="s">
        <v>819</v>
      </c>
      <c r="B96" s="167"/>
      <c r="C96" s="167"/>
      <c r="D96" s="167"/>
      <c r="E96" s="167"/>
      <c r="F96" s="167"/>
      <c r="G96" s="167"/>
      <c r="H96" s="167"/>
      <c r="I96" s="167"/>
      <c r="J96" s="167"/>
      <c r="K96" s="130">
        <v>-659</v>
      </c>
      <c r="L96" s="89">
        <v>-659</v>
      </c>
      <c r="M96" s="12"/>
      <c r="N96" s="12"/>
      <c r="O96" s="12"/>
      <c r="P96" s="89">
        <v>-37.293999999999997</v>
      </c>
      <c r="Q96" s="12"/>
    </row>
    <row r="97" spans="1:17" x14ac:dyDescent="0.2">
      <c r="A97" s="168" t="s">
        <v>38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30">
        <v>6717</v>
      </c>
      <c r="L97" s="12"/>
      <c r="M97" s="12"/>
      <c r="N97" s="12"/>
      <c r="O97" s="12"/>
      <c r="P97" s="12"/>
      <c r="Q97" s="12"/>
    </row>
    <row r="98" spans="1:17" x14ac:dyDescent="0.2">
      <c r="A98" s="168" t="s">
        <v>86</v>
      </c>
      <c r="B98" s="167"/>
      <c r="C98" s="167"/>
      <c r="D98" s="167"/>
      <c r="E98" s="167"/>
      <c r="F98" s="167"/>
      <c r="G98" s="167"/>
      <c r="H98" s="167"/>
      <c r="I98" s="167"/>
      <c r="J98" s="167"/>
      <c r="K98" s="129"/>
      <c r="L98" s="12"/>
      <c r="M98" s="12"/>
      <c r="N98" s="12"/>
      <c r="O98" s="12"/>
      <c r="P98" s="12"/>
      <c r="Q98" s="12"/>
    </row>
    <row r="99" spans="1:17" x14ac:dyDescent="0.2">
      <c r="A99" s="168" t="s">
        <v>818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30">
        <v>1713</v>
      </c>
      <c r="L99" s="12"/>
      <c r="M99" s="12"/>
      <c r="N99" s="12"/>
      <c r="O99" s="12"/>
      <c r="P99" s="12"/>
      <c r="Q99" s="12"/>
    </row>
    <row r="100" spans="1:17" x14ac:dyDescent="0.2">
      <c r="A100" s="168" t="s">
        <v>817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30">
        <v>2630</v>
      </c>
      <c r="L100" s="12"/>
      <c r="M100" s="12"/>
      <c r="N100" s="12"/>
      <c r="O100" s="12"/>
      <c r="P100" s="12"/>
      <c r="Q100" s="12"/>
    </row>
    <row r="101" spans="1:17" x14ac:dyDescent="0.2">
      <c r="A101" s="168" t="s">
        <v>816</v>
      </c>
      <c r="B101" s="167"/>
      <c r="C101" s="167"/>
      <c r="D101" s="167"/>
      <c r="E101" s="167"/>
      <c r="F101" s="167"/>
      <c r="G101" s="167"/>
      <c r="H101" s="167"/>
      <c r="I101" s="167"/>
      <c r="J101" s="167"/>
      <c r="K101" s="130">
        <v>841</v>
      </c>
      <c r="L101" s="12"/>
      <c r="M101" s="12"/>
      <c r="N101" s="12"/>
      <c r="O101" s="12"/>
      <c r="P101" s="12"/>
      <c r="Q101" s="12"/>
    </row>
    <row r="102" spans="1:17" x14ac:dyDescent="0.2">
      <c r="A102" s="168" t="s">
        <v>815</v>
      </c>
      <c r="B102" s="167"/>
      <c r="C102" s="167"/>
      <c r="D102" s="167"/>
      <c r="E102" s="167"/>
      <c r="F102" s="167"/>
      <c r="G102" s="167"/>
      <c r="H102" s="167"/>
      <c r="I102" s="167"/>
      <c r="J102" s="167"/>
      <c r="K102" s="130">
        <v>1494</v>
      </c>
      <c r="L102" s="12"/>
      <c r="M102" s="12"/>
      <c r="N102" s="12"/>
      <c r="O102" s="12"/>
      <c r="P102" s="12"/>
      <c r="Q102" s="12"/>
    </row>
    <row r="103" spans="1:17" x14ac:dyDescent="0.2">
      <c r="A103" s="168" t="s">
        <v>814</v>
      </c>
      <c r="B103" s="167"/>
      <c r="C103" s="167"/>
      <c r="D103" s="167"/>
      <c r="E103" s="167"/>
      <c r="F103" s="167"/>
      <c r="G103" s="167"/>
      <c r="H103" s="167"/>
      <c r="I103" s="167"/>
      <c r="J103" s="167"/>
      <c r="K103" s="130">
        <v>39</v>
      </c>
      <c r="L103" s="12"/>
      <c r="M103" s="12"/>
      <c r="N103" s="12"/>
      <c r="O103" s="12"/>
      <c r="P103" s="12"/>
      <c r="Q103" s="12"/>
    </row>
    <row r="104" spans="1:17" x14ac:dyDescent="0.2">
      <c r="A104" s="168" t="s">
        <v>39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30">
        <v>4668</v>
      </c>
      <c r="L104" s="12"/>
      <c r="M104" s="12"/>
      <c r="N104" s="12"/>
      <c r="O104" s="12"/>
      <c r="P104" s="12"/>
      <c r="Q104" s="12"/>
    </row>
    <row r="105" spans="1:17" x14ac:dyDescent="0.2">
      <c r="A105" s="168" t="s">
        <v>86</v>
      </c>
      <c r="B105" s="167"/>
      <c r="C105" s="167"/>
      <c r="D105" s="167"/>
      <c r="E105" s="167"/>
      <c r="F105" s="167"/>
      <c r="G105" s="167"/>
      <c r="H105" s="167"/>
      <c r="I105" s="167"/>
      <c r="J105" s="167"/>
      <c r="K105" s="129"/>
      <c r="L105" s="12"/>
      <c r="M105" s="12"/>
      <c r="N105" s="12"/>
      <c r="O105" s="12"/>
      <c r="P105" s="12"/>
      <c r="Q105" s="12"/>
    </row>
    <row r="106" spans="1:17" x14ac:dyDescent="0.2">
      <c r="A106" s="168" t="s">
        <v>813</v>
      </c>
      <c r="B106" s="167"/>
      <c r="C106" s="167"/>
      <c r="D106" s="167"/>
      <c r="E106" s="167"/>
      <c r="F106" s="167"/>
      <c r="G106" s="167"/>
      <c r="H106" s="167"/>
      <c r="I106" s="167"/>
      <c r="J106" s="167"/>
      <c r="K106" s="130">
        <v>1054</v>
      </c>
      <c r="L106" s="12"/>
      <c r="M106" s="12"/>
      <c r="N106" s="12"/>
      <c r="O106" s="12"/>
      <c r="P106" s="12"/>
      <c r="Q106" s="12"/>
    </row>
    <row r="107" spans="1:17" x14ac:dyDescent="0.2">
      <c r="A107" s="168" t="s">
        <v>812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130">
        <v>1973</v>
      </c>
      <c r="L107" s="12"/>
      <c r="M107" s="12"/>
      <c r="N107" s="12"/>
      <c r="O107" s="12"/>
      <c r="P107" s="12"/>
      <c r="Q107" s="12"/>
    </row>
    <row r="108" spans="1:17" x14ac:dyDescent="0.2">
      <c r="A108" s="168" t="s">
        <v>811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130">
        <v>1641</v>
      </c>
      <c r="L108" s="12"/>
      <c r="M108" s="12"/>
      <c r="N108" s="12"/>
      <c r="O108" s="12"/>
      <c r="P108" s="12"/>
      <c r="Q108" s="12"/>
    </row>
    <row r="109" spans="1:17" x14ac:dyDescent="0.2">
      <c r="A109" s="173" t="s">
        <v>40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129"/>
      <c r="L109" s="12"/>
      <c r="M109" s="12"/>
      <c r="N109" s="12"/>
      <c r="O109" s="12"/>
      <c r="P109" s="12"/>
      <c r="Q109" s="12"/>
    </row>
    <row r="110" spans="1:17" x14ac:dyDescent="0.2">
      <c r="A110" s="168" t="s">
        <v>83</v>
      </c>
      <c r="B110" s="167"/>
      <c r="C110" s="167"/>
      <c r="D110" s="167"/>
      <c r="E110" s="167"/>
      <c r="F110" s="167"/>
      <c r="G110" s="167"/>
      <c r="H110" s="167"/>
      <c r="I110" s="167"/>
      <c r="J110" s="167"/>
      <c r="K110" s="130">
        <v>33325</v>
      </c>
      <c r="L110" s="12"/>
      <c r="M110" s="12"/>
      <c r="N110" s="12"/>
      <c r="O110" s="12"/>
      <c r="P110" s="89">
        <v>385.92</v>
      </c>
      <c r="Q110" s="12"/>
    </row>
    <row r="111" spans="1:17" x14ac:dyDescent="0.2">
      <c r="A111" s="168" t="s">
        <v>82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130">
        <v>10421</v>
      </c>
      <c r="L111" s="12"/>
      <c r="M111" s="12"/>
      <c r="N111" s="12"/>
      <c r="O111" s="12"/>
      <c r="P111" s="12"/>
      <c r="Q111" s="12"/>
    </row>
    <row r="112" spans="1:17" x14ac:dyDescent="0.2">
      <c r="A112" s="168" t="s">
        <v>247</v>
      </c>
      <c r="B112" s="167"/>
      <c r="C112" s="167"/>
      <c r="D112" s="167"/>
      <c r="E112" s="167"/>
      <c r="F112" s="167"/>
      <c r="G112" s="167"/>
      <c r="H112" s="167"/>
      <c r="I112" s="167"/>
      <c r="J112" s="167"/>
      <c r="K112" s="130">
        <v>5403</v>
      </c>
      <c r="L112" s="12"/>
      <c r="M112" s="12"/>
      <c r="N112" s="12"/>
      <c r="O112" s="12"/>
      <c r="P112" s="89">
        <v>149.18</v>
      </c>
      <c r="Q112" s="12"/>
    </row>
    <row r="113" spans="1:17" x14ac:dyDescent="0.2">
      <c r="A113" s="168" t="s">
        <v>41</v>
      </c>
      <c r="B113" s="167"/>
      <c r="C113" s="167"/>
      <c r="D113" s="167"/>
      <c r="E113" s="167"/>
      <c r="F113" s="167"/>
      <c r="G113" s="167"/>
      <c r="H113" s="167"/>
      <c r="I113" s="167"/>
      <c r="J113" s="167"/>
      <c r="K113" s="130">
        <v>49149</v>
      </c>
      <c r="L113" s="12"/>
      <c r="M113" s="12"/>
      <c r="N113" s="12"/>
      <c r="O113" s="12"/>
      <c r="P113" s="89">
        <v>535.1</v>
      </c>
      <c r="Q113" s="12"/>
    </row>
    <row r="114" spans="1:17" x14ac:dyDescent="0.2">
      <c r="A114" s="168" t="s">
        <v>42</v>
      </c>
      <c r="B114" s="167"/>
      <c r="C114" s="167"/>
      <c r="D114" s="167"/>
      <c r="E114" s="167"/>
      <c r="F114" s="167"/>
      <c r="G114" s="167"/>
      <c r="H114" s="167"/>
      <c r="I114" s="167"/>
      <c r="J114" s="167"/>
      <c r="K114" s="129"/>
      <c r="L114" s="12"/>
      <c r="M114" s="12"/>
      <c r="N114" s="12"/>
      <c r="O114" s="12"/>
      <c r="P114" s="12"/>
      <c r="Q114" s="12"/>
    </row>
    <row r="115" spans="1:17" x14ac:dyDescent="0.2">
      <c r="A115" s="168" t="s">
        <v>43</v>
      </c>
      <c r="B115" s="167"/>
      <c r="C115" s="167"/>
      <c r="D115" s="167"/>
      <c r="E115" s="167"/>
      <c r="F115" s="167"/>
      <c r="G115" s="167"/>
      <c r="H115" s="167"/>
      <c r="I115" s="167"/>
      <c r="J115" s="167"/>
      <c r="K115" s="130">
        <v>17530</v>
      </c>
      <c r="L115" s="12"/>
      <c r="M115" s="12"/>
      <c r="N115" s="12"/>
      <c r="O115" s="12"/>
      <c r="P115" s="12"/>
      <c r="Q115" s="12"/>
    </row>
    <row r="116" spans="1:17" x14ac:dyDescent="0.2">
      <c r="A116" s="168" t="s">
        <v>44</v>
      </c>
      <c r="B116" s="167"/>
      <c r="C116" s="167"/>
      <c r="D116" s="167"/>
      <c r="E116" s="167"/>
      <c r="F116" s="167"/>
      <c r="G116" s="167"/>
      <c r="H116" s="167"/>
      <c r="I116" s="167"/>
      <c r="J116" s="167"/>
      <c r="K116" s="130">
        <f>1719-N88</f>
        <v>1363</v>
      </c>
      <c r="L116" s="12"/>
      <c r="M116" s="12"/>
      <c r="N116" s="12"/>
      <c r="O116" s="12"/>
      <c r="P116" s="12"/>
      <c r="Q116" s="12"/>
    </row>
    <row r="117" spans="1:17" x14ac:dyDescent="0.2">
      <c r="A117" s="168" t="s">
        <v>45</v>
      </c>
      <c r="B117" s="167"/>
      <c r="C117" s="167"/>
      <c r="D117" s="167"/>
      <c r="E117" s="167"/>
      <c r="F117" s="167"/>
      <c r="G117" s="167"/>
      <c r="H117" s="167"/>
      <c r="I117" s="167"/>
      <c r="J117" s="167"/>
      <c r="K117" s="130">
        <v>8450</v>
      </c>
      <c r="L117" s="12"/>
      <c r="M117" s="12"/>
      <c r="N117" s="12"/>
      <c r="O117" s="12"/>
      <c r="P117" s="12"/>
      <c r="Q117" s="12"/>
    </row>
    <row r="118" spans="1:17" x14ac:dyDescent="0.2">
      <c r="A118" s="168" t="s">
        <v>19</v>
      </c>
      <c r="B118" s="167"/>
      <c r="C118" s="167"/>
      <c r="D118" s="167"/>
      <c r="E118" s="167"/>
      <c r="F118" s="167"/>
      <c r="G118" s="167"/>
      <c r="H118" s="167"/>
      <c r="I118" s="167"/>
      <c r="J118" s="167"/>
      <c r="K118" s="130">
        <v>10421</v>
      </c>
      <c r="L118" s="12"/>
      <c r="M118" s="12"/>
      <c r="N118" s="12"/>
      <c r="O118" s="12"/>
      <c r="P118" s="12"/>
      <c r="Q118" s="12"/>
    </row>
    <row r="119" spans="1:17" x14ac:dyDescent="0.2">
      <c r="A119" s="168" t="s">
        <v>46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30">
        <v>6717</v>
      </c>
      <c r="L119" s="12"/>
      <c r="M119" s="12"/>
      <c r="N119" s="12"/>
      <c r="O119" s="12"/>
      <c r="P119" s="12"/>
      <c r="Q119" s="12"/>
    </row>
    <row r="120" spans="1:17" x14ac:dyDescent="0.2">
      <c r="A120" s="168" t="s">
        <v>47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130">
        <v>4668</v>
      </c>
      <c r="L120" s="12"/>
      <c r="M120" s="12"/>
      <c r="N120" s="12"/>
      <c r="O120" s="12"/>
      <c r="P120" s="12"/>
      <c r="Q120" s="12"/>
    </row>
    <row r="121" spans="1:17" x14ac:dyDescent="0.2">
      <c r="A121" s="173" t="s">
        <v>48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31">
        <f>SUM(K115:K120)</f>
        <v>49149</v>
      </c>
      <c r="L121" s="12"/>
      <c r="M121" s="12"/>
      <c r="N121" s="12"/>
      <c r="O121" s="12"/>
      <c r="P121" s="13">
        <v>535.1</v>
      </c>
      <c r="Q121" s="12"/>
    </row>
    <row r="122" spans="1:17" x14ac:dyDescent="0.2">
      <c r="F122" s="10"/>
      <c r="G122" s="10"/>
      <c r="H122" s="10"/>
      <c r="I122" s="10"/>
      <c r="J122" s="10"/>
      <c r="K122" s="132"/>
      <c r="L122" s="10"/>
      <c r="M122" s="10"/>
      <c r="N122" s="10"/>
      <c r="O122" s="10"/>
      <c r="P122" s="10"/>
      <c r="Q122" s="10"/>
    </row>
  </sheetData>
  <mergeCells count="62">
    <mergeCell ref="A27:Q27"/>
    <mergeCell ref="A80:Q80"/>
    <mergeCell ref="A81:Q81"/>
    <mergeCell ref="A85:Q85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121:J121"/>
    <mergeCell ref="J14:K14"/>
    <mergeCell ref="J18:K18"/>
    <mergeCell ref="J19:K19"/>
    <mergeCell ref="J17:K17"/>
    <mergeCell ref="J16:K16"/>
    <mergeCell ref="A103:J103"/>
    <mergeCell ref="A104:J104"/>
    <mergeCell ref="A105:J105"/>
    <mergeCell ref="A118:J118"/>
    <mergeCell ref="A107:J107"/>
    <mergeCell ref="A108:J108"/>
    <mergeCell ref="A109:J109"/>
    <mergeCell ref="A110:J110"/>
    <mergeCell ref="A111:J111"/>
    <mergeCell ref="A112:J112"/>
    <mergeCell ref="A117:J117"/>
    <mergeCell ref="E1:I1"/>
    <mergeCell ref="E10:J10"/>
    <mergeCell ref="A119:J119"/>
    <mergeCell ref="A120:J120"/>
    <mergeCell ref="A93:J93"/>
    <mergeCell ref="A106:J106"/>
    <mergeCell ref="A95:J95"/>
    <mergeCell ref="A96:J96"/>
    <mergeCell ref="A97:J97"/>
    <mergeCell ref="A98:J98"/>
    <mergeCell ref="A99:J99"/>
    <mergeCell ref="A100:J100"/>
    <mergeCell ref="A101:J101"/>
    <mergeCell ref="A102:J102"/>
    <mergeCell ref="A87:J87"/>
    <mergeCell ref="J15:K15"/>
    <mergeCell ref="A113:J113"/>
    <mergeCell ref="A114:J114"/>
    <mergeCell ref="A115:J115"/>
    <mergeCell ref="A116:J116"/>
    <mergeCell ref="A88:J88"/>
    <mergeCell ref="A89:J89"/>
    <mergeCell ref="A90:J90"/>
    <mergeCell ref="A91:J91"/>
    <mergeCell ref="A92:J92"/>
    <mergeCell ref="A23:A25"/>
    <mergeCell ref="C23:C25"/>
    <mergeCell ref="D23:D25"/>
    <mergeCell ref="E23:E25"/>
    <mergeCell ref="B23:B25"/>
    <mergeCell ref="A94:J94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0"/>
  <sheetViews>
    <sheetView showGridLines="0" topLeftCell="A88" zoomScaleNormal="100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5.28515625" style="1" customWidth="1"/>
    <col min="3" max="3" width="34.28515625" style="8" customWidth="1"/>
    <col min="4" max="4" width="7.7109375" style="7" customWidth="1"/>
    <col min="5" max="5" width="9.570312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8.710937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x14ac:dyDescent="0.2">
      <c r="A6" s="99"/>
      <c r="B6" s="102"/>
      <c r="C6" s="100"/>
      <c r="D6" s="4"/>
      <c r="E6" s="98"/>
      <c r="F6" s="98"/>
      <c r="G6" s="121" t="s">
        <v>799</v>
      </c>
      <c r="H6" s="121"/>
      <c r="I6" s="121"/>
      <c r="J6" s="98"/>
      <c r="K6" s="125"/>
      <c r="L6" s="98"/>
      <c r="M6" s="98"/>
      <c r="N6" s="98"/>
      <c r="O6" s="98"/>
      <c r="P6" s="98"/>
      <c r="R6"/>
    </row>
    <row r="7" spans="1:18" x14ac:dyDescent="0.2">
      <c r="A7" s="99"/>
      <c r="B7" s="102"/>
      <c r="C7" s="100"/>
      <c r="D7" s="4"/>
      <c r="E7" s="98"/>
      <c r="F7" s="98"/>
      <c r="G7" s="120" t="s">
        <v>798</v>
      </c>
      <c r="H7" s="99"/>
      <c r="I7" s="99"/>
      <c r="J7" s="98"/>
      <c r="K7" s="125"/>
      <c r="L7" s="98"/>
      <c r="M7" s="98"/>
      <c r="N7" s="98"/>
      <c r="O7" s="98"/>
      <c r="P7" s="98"/>
      <c r="R7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  <c r="R8"/>
    </row>
    <row r="9" spans="1:18" x14ac:dyDescent="0.2">
      <c r="A9" s="99"/>
      <c r="B9" s="102"/>
      <c r="C9" s="117"/>
      <c r="D9" s="140" t="s">
        <v>797</v>
      </c>
      <c r="E9" s="139"/>
      <c r="F9" s="118"/>
      <c r="G9" s="118"/>
      <c r="H9" s="138"/>
      <c r="I9" s="118"/>
      <c r="J9" s="118"/>
      <c r="K9" s="126"/>
      <c r="L9" s="118"/>
      <c r="M9" s="98"/>
      <c r="N9" s="98"/>
      <c r="O9" s="98"/>
      <c r="P9" s="98"/>
      <c r="Q9" s="98"/>
      <c r="R9"/>
    </row>
    <row r="10" spans="1:18" x14ac:dyDescent="0.2">
      <c r="A10" s="99"/>
      <c r="B10" s="102"/>
      <c r="C10" s="101"/>
      <c r="D10" s="100"/>
      <c r="E10" s="116"/>
      <c r="F10" s="114"/>
      <c r="G10" s="114"/>
      <c r="H10" s="115" t="s">
        <v>149</v>
      </c>
      <c r="I10" s="115"/>
      <c r="J10" s="114"/>
      <c r="K10" s="127"/>
      <c r="L10" s="98"/>
      <c r="M10" s="98"/>
      <c r="N10" s="98"/>
      <c r="O10" s="98"/>
      <c r="P10" s="98"/>
      <c r="Q10" s="98"/>
      <c r="R10"/>
    </row>
    <row r="11" spans="1:18" x14ac:dyDescent="0.2">
      <c r="A11" s="112"/>
      <c r="B11" s="111"/>
      <c r="C11" s="101"/>
      <c r="D11" s="100"/>
      <c r="E11" s="4"/>
      <c r="F11" s="98"/>
      <c r="G11" s="98"/>
      <c r="H11" s="98"/>
      <c r="I11" s="98"/>
      <c r="J11" s="98"/>
      <c r="K11" s="125"/>
      <c r="L11" s="98"/>
      <c r="M11" s="98"/>
      <c r="N11" s="98"/>
      <c r="O11" s="98"/>
      <c r="P11" s="98"/>
      <c r="Q11" s="98"/>
      <c r="R11"/>
    </row>
    <row r="12" spans="1:18" x14ac:dyDescent="0.2">
      <c r="A12" s="99"/>
      <c r="B12" s="102"/>
      <c r="C12" s="100"/>
      <c r="D12" s="95" t="s">
        <v>796</v>
      </c>
      <c r="E12" s="98"/>
      <c r="F12" s="98"/>
      <c r="G12" s="98"/>
      <c r="H12" s="95"/>
      <c r="I12" s="95"/>
      <c r="J12" s="95"/>
      <c r="K12" s="125"/>
      <c r="L12" s="98"/>
      <c r="M12" s="98"/>
      <c r="N12" s="110" t="s">
        <v>147</v>
      </c>
      <c r="O12" s="108"/>
      <c r="P12" s="108"/>
      <c r="Q12" s="98"/>
    </row>
    <row r="13" spans="1:18" x14ac:dyDescent="0.2">
      <c r="A13" s="99"/>
      <c r="B13" s="102"/>
      <c r="C13" s="100"/>
      <c r="D13" s="95" t="s">
        <v>51</v>
      </c>
      <c r="E13" s="98"/>
      <c r="F13" s="98"/>
      <c r="G13" s="98"/>
      <c r="H13" s="95"/>
      <c r="I13" s="95"/>
      <c r="J13" s="175" t="s">
        <v>795</v>
      </c>
      <c r="K13" s="176"/>
      <c r="L13" s="5" t="s">
        <v>139</v>
      </c>
      <c r="M13" s="98"/>
      <c r="N13" s="109" t="s">
        <v>145</v>
      </c>
      <c r="O13" s="108"/>
      <c r="P13" s="107">
        <f>P14+P15+P16+P17</f>
        <v>146.85831999999999</v>
      </c>
    </row>
    <row r="14" spans="1:18" outlineLevel="1" x14ac:dyDescent="0.2">
      <c r="A14" s="99"/>
      <c r="B14" s="102"/>
      <c r="C14" s="100"/>
      <c r="D14" s="95" t="s">
        <v>794</v>
      </c>
      <c r="E14" s="98"/>
      <c r="F14" s="98"/>
      <c r="G14" s="98"/>
      <c r="H14" s="95"/>
      <c r="I14" s="95"/>
      <c r="J14" s="175" t="s">
        <v>793</v>
      </c>
      <c r="K14" s="176"/>
      <c r="L14" s="5" t="s">
        <v>139</v>
      </c>
      <c r="M14" s="98"/>
      <c r="N14" s="109" t="s">
        <v>138</v>
      </c>
      <c r="O14" s="108"/>
      <c r="P14" s="107">
        <f>0.244*5.56</f>
        <v>1.3566399999999998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792</v>
      </c>
      <c r="K15" s="176"/>
      <c r="L15" s="5" t="s">
        <v>139</v>
      </c>
      <c r="M15" s="98"/>
      <c r="N15" s="109" t="s">
        <v>138</v>
      </c>
      <c r="O15" s="108"/>
      <c r="P15" s="107">
        <f>5.56*22.936</f>
        <v>127.52415999999999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791</v>
      </c>
      <c r="K16" s="176"/>
      <c r="L16" s="5" t="s">
        <v>139</v>
      </c>
      <c r="M16" s="98"/>
      <c r="N16" s="109" t="s">
        <v>370</v>
      </c>
      <c r="O16" s="108"/>
      <c r="P16" s="107">
        <f>9.32*1.634</f>
        <v>15.22888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790</v>
      </c>
      <c r="K17" s="176"/>
      <c r="L17" s="5" t="s">
        <v>139</v>
      </c>
      <c r="M17" s="98"/>
      <c r="N17" s="109" t="s">
        <v>142</v>
      </c>
      <c r="O17" s="108"/>
      <c r="P17" s="107">
        <f>4.19*0.656</f>
        <v>2.7486400000000004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789</v>
      </c>
      <c r="K18" s="176"/>
      <c r="L18" s="5" t="s">
        <v>139</v>
      </c>
      <c r="M18" s="98"/>
      <c r="N18" s="109" t="s">
        <v>138</v>
      </c>
      <c r="O18" s="108"/>
      <c r="P18" s="107">
        <f>5.56*4.678</f>
        <v>26.009679999999999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788</v>
      </c>
      <c r="K19" s="176"/>
      <c r="L19" s="5" t="s">
        <v>50</v>
      </c>
      <c r="M19" s="98"/>
      <c r="N19" s="98"/>
      <c r="O19" s="98"/>
      <c r="P19" s="98"/>
    </row>
    <row r="20" spans="1:17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K103/1000</f>
        <v>11.295999999999999</v>
      </c>
      <c r="L20" s="95" t="s">
        <v>365</v>
      </c>
      <c r="M20" s="96"/>
      <c r="N20" s="109" t="s">
        <v>138</v>
      </c>
      <c r="O20" s="136"/>
      <c r="P20" s="107">
        <f>K20*5.56</f>
        <v>62.805759999999992</v>
      </c>
      <c r="Q20" s="135"/>
    </row>
    <row r="21" spans="1:17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  <c r="Q21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x14ac:dyDescent="0.2">
      <c r="A27" s="166" t="s">
        <v>123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24" x14ac:dyDescent="0.2">
      <c r="A28" s="6">
        <v>1</v>
      </c>
      <c r="B28" s="92" t="s">
        <v>106</v>
      </c>
      <c r="C28" s="146" t="s">
        <v>787</v>
      </c>
      <c r="D28" s="91" t="s">
        <v>33</v>
      </c>
      <c r="E28" s="90">
        <v>3</v>
      </c>
      <c r="F28" s="89">
        <v>35.06</v>
      </c>
      <c r="G28" s="12"/>
      <c r="H28" s="12"/>
      <c r="I28" s="12"/>
      <c r="J28" s="12"/>
      <c r="K28" s="129">
        <v>105</v>
      </c>
      <c r="L28" s="12"/>
      <c r="M28" s="12"/>
      <c r="N28" s="12"/>
      <c r="O28" s="12"/>
      <c r="P28" s="12"/>
      <c r="Q28" s="12"/>
    </row>
    <row r="29" spans="1:17" ht="48" x14ac:dyDescent="0.2">
      <c r="A29" s="6">
        <v>2</v>
      </c>
      <c r="B29" s="92" t="s">
        <v>351</v>
      </c>
      <c r="C29" s="146" t="s">
        <v>350</v>
      </c>
      <c r="D29" s="91" t="s">
        <v>29</v>
      </c>
      <c r="E29" s="97">
        <v>2</v>
      </c>
      <c r="F29" s="89">
        <v>28.38</v>
      </c>
      <c r="G29" s="89">
        <v>22.76</v>
      </c>
      <c r="H29" s="89">
        <v>0.46</v>
      </c>
      <c r="I29" s="12"/>
      <c r="J29" s="12"/>
      <c r="K29" s="129">
        <v>57</v>
      </c>
      <c r="L29" s="12">
        <v>46</v>
      </c>
      <c r="M29" s="12">
        <v>1</v>
      </c>
      <c r="N29" s="12"/>
      <c r="O29" s="12">
        <v>1.68</v>
      </c>
      <c r="P29" s="12">
        <v>3.36</v>
      </c>
      <c r="Q29" s="12"/>
    </row>
    <row r="30" spans="1:17" ht="36" x14ac:dyDescent="0.2">
      <c r="A30" s="6">
        <v>3</v>
      </c>
      <c r="B30" s="92" t="s">
        <v>106</v>
      </c>
      <c r="C30" s="146" t="s">
        <v>666</v>
      </c>
      <c r="D30" s="91" t="s">
        <v>33</v>
      </c>
      <c r="E30" s="97">
        <v>2</v>
      </c>
      <c r="F30" s="89">
        <v>739.11</v>
      </c>
      <c r="G30" s="12"/>
      <c r="H30" s="12"/>
      <c r="I30" s="12"/>
      <c r="J30" s="12"/>
      <c r="K30" s="129">
        <v>1478</v>
      </c>
      <c r="L30" s="12"/>
      <c r="M30" s="12"/>
      <c r="N30" s="12"/>
      <c r="O30" s="12"/>
      <c r="P30" s="12"/>
      <c r="Q30" s="12"/>
    </row>
    <row r="31" spans="1:17" ht="24" x14ac:dyDescent="0.2">
      <c r="A31" s="6">
        <v>4</v>
      </c>
      <c r="B31" s="92" t="s">
        <v>333</v>
      </c>
      <c r="C31" s="146" t="s">
        <v>337</v>
      </c>
      <c r="D31" s="91" t="s">
        <v>29</v>
      </c>
      <c r="E31" s="97">
        <v>1</v>
      </c>
      <c r="F31" s="89">
        <v>13.89</v>
      </c>
      <c r="G31" s="89">
        <v>12.78</v>
      </c>
      <c r="H31" s="12"/>
      <c r="I31" s="12"/>
      <c r="J31" s="12"/>
      <c r="K31" s="129">
        <v>14</v>
      </c>
      <c r="L31" s="12">
        <v>13</v>
      </c>
      <c r="M31" s="12"/>
      <c r="N31" s="12"/>
      <c r="O31" s="12">
        <v>1</v>
      </c>
      <c r="P31" s="12">
        <v>1</v>
      </c>
      <c r="Q31" s="12"/>
    </row>
    <row r="32" spans="1:17" ht="24" x14ac:dyDescent="0.2">
      <c r="A32" s="6">
        <v>5</v>
      </c>
      <c r="B32" s="92" t="s">
        <v>106</v>
      </c>
      <c r="C32" s="146" t="s">
        <v>786</v>
      </c>
      <c r="D32" s="91" t="s">
        <v>33</v>
      </c>
      <c r="E32" s="90">
        <v>5</v>
      </c>
      <c r="F32" s="89">
        <v>7.24</v>
      </c>
      <c r="G32" s="12"/>
      <c r="H32" s="12"/>
      <c r="I32" s="12"/>
      <c r="J32" s="12"/>
      <c r="K32" s="129">
        <v>36</v>
      </c>
      <c r="L32" s="12"/>
      <c r="M32" s="12"/>
      <c r="N32" s="12"/>
      <c r="O32" s="12"/>
      <c r="P32" s="12"/>
      <c r="Q32" s="12"/>
    </row>
    <row r="33" spans="1:17" ht="48" x14ac:dyDescent="0.2">
      <c r="A33" s="6">
        <v>6</v>
      </c>
      <c r="B33" s="92" t="s">
        <v>785</v>
      </c>
      <c r="C33" s="146" t="s">
        <v>784</v>
      </c>
      <c r="D33" s="91" t="s">
        <v>29</v>
      </c>
      <c r="E33" s="97">
        <v>4</v>
      </c>
      <c r="F33" s="89">
        <v>13.84</v>
      </c>
      <c r="G33" s="89">
        <v>11.38</v>
      </c>
      <c r="H33" s="89">
        <v>0.17</v>
      </c>
      <c r="I33" s="12"/>
      <c r="J33" s="12"/>
      <c r="K33" s="129">
        <v>55</v>
      </c>
      <c r="L33" s="12">
        <v>46</v>
      </c>
      <c r="M33" s="12">
        <v>1</v>
      </c>
      <c r="N33" s="12"/>
      <c r="O33" s="12">
        <v>0.84</v>
      </c>
      <c r="P33" s="12">
        <v>3.36</v>
      </c>
      <c r="Q33" s="12"/>
    </row>
    <row r="34" spans="1:17" ht="36" x14ac:dyDescent="0.2">
      <c r="A34" s="6">
        <v>7</v>
      </c>
      <c r="B34" s="92" t="s">
        <v>106</v>
      </c>
      <c r="C34" s="146" t="s">
        <v>783</v>
      </c>
      <c r="D34" s="91" t="s">
        <v>33</v>
      </c>
      <c r="E34" s="97">
        <v>2</v>
      </c>
      <c r="F34" s="89">
        <v>515.49</v>
      </c>
      <c r="G34" s="12"/>
      <c r="H34" s="12"/>
      <c r="I34" s="12"/>
      <c r="J34" s="12"/>
      <c r="K34" s="129">
        <v>1031</v>
      </c>
      <c r="L34" s="12"/>
      <c r="M34" s="12"/>
      <c r="N34" s="12"/>
      <c r="O34" s="12"/>
      <c r="P34" s="12"/>
      <c r="Q34" s="12"/>
    </row>
    <row r="35" spans="1:17" ht="36" x14ac:dyDescent="0.2">
      <c r="A35" s="6">
        <v>8</v>
      </c>
      <c r="B35" s="92" t="s">
        <v>106</v>
      </c>
      <c r="C35" s="146" t="s">
        <v>782</v>
      </c>
      <c r="D35" s="91" t="s">
        <v>33</v>
      </c>
      <c r="E35" s="97">
        <v>1</v>
      </c>
      <c r="F35" s="89">
        <v>533.01</v>
      </c>
      <c r="G35" s="12"/>
      <c r="H35" s="12"/>
      <c r="I35" s="12"/>
      <c r="J35" s="12"/>
      <c r="K35" s="129">
        <v>533</v>
      </c>
      <c r="L35" s="12"/>
      <c r="M35" s="12"/>
      <c r="N35" s="12"/>
      <c r="O35" s="12"/>
      <c r="P35" s="12"/>
      <c r="Q35" s="12"/>
    </row>
    <row r="36" spans="1:17" ht="36" x14ac:dyDescent="0.2">
      <c r="A36" s="6">
        <v>9</v>
      </c>
      <c r="B36" s="92" t="s">
        <v>663</v>
      </c>
      <c r="C36" s="146" t="s">
        <v>662</v>
      </c>
      <c r="D36" s="91" t="s">
        <v>29</v>
      </c>
      <c r="E36" s="97">
        <v>2</v>
      </c>
      <c r="F36" s="89">
        <v>34.49</v>
      </c>
      <c r="G36" s="89">
        <v>27.97</v>
      </c>
      <c r="H36" s="89">
        <v>0.54</v>
      </c>
      <c r="I36" s="12"/>
      <c r="J36" s="12"/>
      <c r="K36" s="129">
        <v>69</v>
      </c>
      <c r="L36" s="12">
        <v>56</v>
      </c>
      <c r="M36" s="12">
        <v>1</v>
      </c>
      <c r="N36" s="12"/>
      <c r="O36" s="12">
        <v>1.68</v>
      </c>
      <c r="P36" s="12">
        <v>3.36</v>
      </c>
      <c r="Q36" s="12"/>
    </row>
    <row r="37" spans="1:17" ht="24" x14ac:dyDescent="0.2">
      <c r="A37" s="6">
        <v>10</v>
      </c>
      <c r="B37" s="92" t="s">
        <v>106</v>
      </c>
      <c r="C37" s="146" t="s">
        <v>354</v>
      </c>
      <c r="D37" s="91" t="s">
        <v>33</v>
      </c>
      <c r="E37" s="97">
        <v>1</v>
      </c>
      <c r="F37" s="12"/>
      <c r="G37" s="12"/>
      <c r="H37" s="12"/>
      <c r="I37" s="12"/>
      <c r="J37" s="12">
        <v>233</v>
      </c>
      <c r="K37" s="129">
        <v>233</v>
      </c>
      <c r="L37" s="12"/>
      <c r="M37" s="12"/>
      <c r="N37" s="12"/>
      <c r="O37" s="12"/>
      <c r="P37" s="12"/>
      <c r="Q37" s="12"/>
    </row>
    <row r="38" spans="1:17" ht="24" x14ac:dyDescent="0.2">
      <c r="A38" s="6">
        <v>11</v>
      </c>
      <c r="B38" s="92" t="s">
        <v>106</v>
      </c>
      <c r="C38" s="146" t="s">
        <v>781</v>
      </c>
      <c r="D38" s="91" t="s">
        <v>33</v>
      </c>
      <c r="E38" s="97">
        <v>4</v>
      </c>
      <c r="F38" s="12"/>
      <c r="G38" s="12"/>
      <c r="H38" s="12"/>
      <c r="I38" s="12"/>
      <c r="J38" s="12">
        <v>396</v>
      </c>
      <c r="K38" s="129">
        <v>396</v>
      </c>
      <c r="L38" s="12"/>
      <c r="M38" s="12"/>
      <c r="N38" s="12"/>
      <c r="O38" s="12"/>
      <c r="P38" s="12"/>
      <c r="Q38" s="12"/>
    </row>
    <row r="39" spans="1:17" ht="24" x14ac:dyDescent="0.2">
      <c r="A39" s="6">
        <v>12</v>
      </c>
      <c r="B39" s="92" t="s">
        <v>327</v>
      </c>
      <c r="C39" s="146" t="s">
        <v>353</v>
      </c>
      <c r="D39" s="91" t="s">
        <v>29</v>
      </c>
      <c r="E39" s="90">
        <v>5</v>
      </c>
      <c r="F39" s="89">
        <v>86.32</v>
      </c>
      <c r="G39" s="89">
        <v>78.05</v>
      </c>
      <c r="H39" s="89">
        <v>0.37</v>
      </c>
      <c r="I39" s="12"/>
      <c r="J39" s="12"/>
      <c r="K39" s="129">
        <v>432</v>
      </c>
      <c r="L39" s="12">
        <v>390</v>
      </c>
      <c r="M39" s="12">
        <v>2</v>
      </c>
      <c r="N39" s="12"/>
      <c r="O39" s="12">
        <v>5.76</v>
      </c>
      <c r="P39" s="12">
        <v>28.8</v>
      </c>
      <c r="Q39" s="12"/>
    </row>
    <row r="40" spans="1:17" ht="24" x14ac:dyDescent="0.2">
      <c r="A40" s="6">
        <v>13</v>
      </c>
      <c r="B40" s="92" t="s">
        <v>106</v>
      </c>
      <c r="C40" s="146" t="s">
        <v>780</v>
      </c>
      <c r="D40" s="91" t="s">
        <v>33</v>
      </c>
      <c r="E40" s="97">
        <v>1</v>
      </c>
      <c r="F40" s="89">
        <v>38.11</v>
      </c>
      <c r="G40" s="12"/>
      <c r="H40" s="12"/>
      <c r="I40" s="12"/>
      <c r="J40" s="12"/>
      <c r="K40" s="129">
        <v>38</v>
      </c>
      <c r="L40" s="12"/>
      <c r="M40" s="12"/>
      <c r="N40" s="12"/>
      <c r="O40" s="12"/>
      <c r="P40" s="12"/>
      <c r="Q40" s="12"/>
    </row>
    <row r="41" spans="1:17" ht="24" x14ac:dyDescent="0.2">
      <c r="A41" s="6">
        <v>14</v>
      </c>
      <c r="B41" s="92" t="s">
        <v>330</v>
      </c>
      <c r="C41" s="146" t="s">
        <v>329</v>
      </c>
      <c r="D41" s="91" t="s">
        <v>29</v>
      </c>
      <c r="E41" s="97">
        <v>1</v>
      </c>
      <c r="F41" s="89">
        <v>98.76</v>
      </c>
      <c r="G41" s="89">
        <v>74.88</v>
      </c>
      <c r="H41" s="12"/>
      <c r="I41" s="12"/>
      <c r="J41" s="12"/>
      <c r="K41" s="129">
        <v>99</v>
      </c>
      <c r="L41" s="12">
        <v>75</v>
      </c>
      <c r="M41" s="12"/>
      <c r="N41" s="12"/>
      <c r="O41" s="12">
        <v>6</v>
      </c>
      <c r="P41" s="12">
        <v>6</v>
      </c>
      <c r="Q41" s="12"/>
    </row>
    <row r="42" spans="1:17" ht="36" x14ac:dyDescent="0.2">
      <c r="A42" s="6">
        <v>15</v>
      </c>
      <c r="B42" s="92" t="s">
        <v>106</v>
      </c>
      <c r="C42" s="146" t="s">
        <v>779</v>
      </c>
      <c r="D42" s="91" t="s">
        <v>33</v>
      </c>
      <c r="E42" s="97">
        <v>2</v>
      </c>
      <c r="F42" s="89">
        <v>29.68</v>
      </c>
      <c r="G42" s="12"/>
      <c r="H42" s="12"/>
      <c r="I42" s="12"/>
      <c r="J42" s="12"/>
      <c r="K42" s="129">
        <v>59</v>
      </c>
      <c r="L42" s="12"/>
      <c r="M42" s="12"/>
      <c r="N42" s="12"/>
      <c r="O42" s="12"/>
      <c r="P42" s="12"/>
      <c r="Q42" s="12"/>
    </row>
    <row r="43" spans="1:17" ht="24" x14ac:dyDescent="0.2">
      <c r="A43" s="6">
        <v>16</v>
      </c>
      <c r="B43" s="92" t="s">
        <v>207</v>
      </c>
      <c r="C43" s="146" t="s">
        <v>778</v>
      </c>
      <c r="D43" s="91" t="s">
        <v>29</v>
      </c>
      <c r="E43" s="97">
        <v>2</v>
      </c>
      <c r="F43" s="89">
        <v>24.5</v>
      </c>
      <c r="G43" s="89">
        <v>24.02</v>
      </c>
      <c r="H43" s="12"/>
      <c r="I43" s="12"/>
      <c r="J43" s="12"/>
      <c r="K43" s="129">
        <v>49</v>
      </c>
      <c r="L43" s="12">
        <v>48</v>
      </c>
      <c r="M43" s="12"/>
      <c r="N43" s="12"/>
      <c r="O43" s="12">
        <v>2</v>
      </c>
      <c r="P43" s="12">
        <v>4</v>
      </c>
      <c r="Q43" s="12"/>
    </row>
    <row r="44" spans="1:17" ht="24" x14ac:dyDescent="0.2">
      <c r="A44" s="6">
        <v>17</v>
      </c>
      <c r="B44" s="92" t="s">
        <v>106</v>
      </c>
      <c r="C44" s="146" t="s">
        <v>777</v>
      </c>
      <c r="D44" s="91" t="s">
        <v>33</v>
      </c>
      <c r="E44" s="97">
        <v>3</v>
      </c>
      <c r="F44" s="89">
        <v>3.51</v>
      </c>
      <c r="G44" s="12"/>
      <c r="H44" s="12"/>
      <c r="I44" s="12"/>
      <c r="J44" s="12"/>
      <c r="K44" s="129">
        <v>11</v>
      </c>
      <c r="L44" s="12"/>
      <c r="M44" s="12"/>
      <c r="N44" s="12"/>
      <c r="O44" s="12"/>
      <c r="P44" s="12"/>
      <c r="Q44" s="12"/>
    </row>
    <row r="45" spans="1:17" ht="36" x14ac:dyDescent="0.2">
      <c r="A45" s="6">
        <v>18</v>
      </c>
      <c r="B45" s="92" t="s">
        <v>106</v>
      </c>
      <c r="C45" s="146" t="s">
        <v>776</v>
      </c>
      <c r="D45" s="91" t="s">
        <v>33</v>
      </c>
      <c r="E45" s="97">
        <v>7</v>
      </c>
      <c r="F45" s="89">
        <v>23.02</v>
      </c>
      <c r="G45" s="12"/>
      <c r="H45" s="12"/>
      <c r="I45" s="12"/>
      <c r="J45" s="12"/>
      <c r="K45" s="129">
        <v>161</v>
      </c>
      <c r="L45" s="12"/>
      <c r="M45" s="12"/>
      <c r="N45" s="12"/>
      <c r="O45" s="12"/>
      <c r="P45" s="12"/>
      <c r="Q45" s="12"/>
    </row>
    <row r="46" spans="1:17" ht="24" x14ac:dyDescent="0.2">
      <c r="A46" s="6">
        <v>19</v>
      </c>
      <c r="B46" s="92" t="s">
        <v>399</v>
      </c>
      <c r="C46" s="146" t="s">
        <v>398</v>
      </c>
      <c r="D46" s="91" t="s">
        <v>29</v>
      </c>
      <c r="E46" s="90">
        <v>10</v>
      </c>
      <c r="F46" s="89">
        <v>58.16</v>
      </c>
      <c r="G46" s="89">
        <v>48.04</v>
      </c>
      <c r="H46" s="12"/>
      <c r="I46" s="12"/>
      <c r="J46" s="12"/>
      <c r="K46" s="129">
        <v>582</v>
      </c>
      <c r="L46" s="12">
        <v>480</v>
      </c>
      <c r="M46" s="12"/>
      <c r="N46" s="12"/>
      <c r="O46" s="12">
        <v>4</v>
      </c>
      <c r="P46" s="12">
        <v>40</v>
      </c>
      <c r="Q46" s="12"/>
    </row>
    <row r="47" spans="1:17" ht="24" x14ac:dyDescent="0.2">
      <c r="A47" s="6">
        <v>20</v>
      </c>
      <c r="B47" s="92" t="s">
        <v>106</v>
      </c>
      <c r="C47" s="146" t="s">
        <v>289</v>
      </c>
      <c r="D47" s="91" t="s">
        <v>33</v>
      </c>
      <c r="E47" s="97">
        <v>7</v>
      </c>
      <c r="F47" s="89">
        <v>7.26</v>
      </c>
      <c r="G47" s="12"/>
      <c r="H47" s="12"/>
      <c r="I47" s="12"/>
      <c r="J47" s="12"/>
      <c r="K47" s="129">
        <v>51</v>
      </c>
      <c r="L47" s="12"/>
      <c r="M47" s="12"/>
      <c r="N47" s="12"/>
      <c r="O47" s="12"/>
      <c r="P47" s="12"/>
      <c r="Q47" s="12"/>
    </row>
    <row r="48" spans="1:17" ht="36" x14ac:dyDescent="0.2">
      <c r="A48" s="6">
        <v>21</v>
      </c>
      <c r="B48" s="92" t="s">
        <v>291</v>
      </c>
      <c r="C48" s="146" t="s">
        <v>290</v>
      </c>
      <c r="D48" s="91" t="s">
        <v>29</v>
      </c>
      <c r="E48" s="97">
        <v>7</v>
      </c>
      <c r="F48" s="89">
        <v>27.06</v>
      </c>
      <c r="G48" s="89">
        <v>11.51</v>
      </c>
      <c r="H48" s="12"/>
      <c r="I48" s="12"/>
      <c r="J48" s="12"/>
      <c r="K48" s="129">
        <v>189</v>
      </c>
      <c r="L48" s="12">
        <v>81</v>
      </c>
      <c r="M48" s="12"/>
      <c r="N48" s="12"/>
      <c r="O48" s="12">
        <v>1</v>
      </c>
      <c r="P48" s="12">
        <v>7</v>
      </c>
      <c r="Q48" s="12"/>
    </row>
    <row r="49" spans="1:17" x14ac:dyDescent="0.2">
      <c r="A49" s="6">
        <v>22</v>
      </c>
      <c r="B49" s="92" t="s">
        <v>308</v>
      </c>
      <c r="C49" s="146" t="s">
        <v>307</v>
      </c>
      <c r="D49" s="91" t="s">
        <v>30</v>
      </c>
      <c r="E49" s="90">
        <v>11</v>
      </c>
      <c r="F49" s="89">
        <v>1.19</v>
      </c>
      <c r="G49" s="12"/>
      <c r="H49" s="12"/>
      <c r="I49" s="12"/>
      <c r="J49" s="12"/>
      <c r="K49" s="129">
        <v>13</v>
      </c>
      <c r="L49" s="12"/>
      <c r="M49" s="12"/>
      <c r="N49" s="12"/>
      <c r="O49" s="12"/>
      <c r="P49" s="12"/>
      <c r="Q49" s="12"/>
    </row>
    <row r="50" spans="1:17" ht="24" x14ac:dyDescent="0.2">
      <c r="A50" s="6">
        <v>23</v>
      </c>
      <c r="B50" s="92" t="s">
        <v>306</v>
      </c>
      <c r="C50" s="146" t="s">
        <v>305</v>
      </c>
      <c r="D50" s="91" t="s">
        <v>29</v>
      </c>
      <c r="E50" s="97">
        <v>11</v>
      </c>
      <c r="F50" s="89">
        <v>8.41</v>
      </c>
      <c r="G50" s="89">
        <v>7.26</v>
      </c>
      <c r="H50" s="12"/>
      <c r="I50" s="12"/>
      <c r="J50" s="12"/>
      <c r="K50" s="129">
        <v>93</v>
      </c>
      <c r="L50" s="12">
        <v>80</v>
      </c>
      <c r="M50" s="12"/>
      <c r="N50" s="12"/>
      <c r="O50" s="12">
        <v>0.52</v>
      </c>
      <c r="P50" s="12">
        <v>5.72</v>
      </c>
      <c r="Q50" s="12"/>
    </row>
    <row r="51" spans="1:17" ht="24" x14ac:dyDescent="0.2">
      <c r="A51" s="6">
        <v>24</v>
      </c>
      <c r="B51" s="92" t="s">
        <v>106</v>
      </c>
      <c r="C51" s="146" t="s">
        <v>775</v>
      </c>
      <c r="D51" s="91" t="s">
        <v>35</v>
      </c>
      <c r="E51" s="97">
        <v>15</v>
      </c>
      <c r="F51" s="89">
        <v>2.41</v>
      </c>
      <c r="G51" s="12"/>
      <c r="H51" s="12"/>
      <c r="I51" s="12"/>
      <c r="J51" s="12"/>
      <c r="K51" s="129">
        <v>36</v>
      </c>
      <c r="L51" s="12"/>
      <c r="M51" s="12"/>
      <c r="N51" s="12"/>
      <c r="O51" s="12"/>
      <c r="P51" s="12"/>
      <c r="Q51" s="12"/>
    </row>
    <row r="52" spans="1:17" ht="63" x14ac:dyDescent="0.2">
      <c r="A52" s="6">
        <v>25</v>
      </c>
      <c r="B52" s="92" t="s">
        <v>288</v>
      </c>
      <c r="C52" s="146" t="s">
        <v>287</v>
      </c>
      <c r="D52" s="91" t="s">
        <v>34</v>
      </c>
      <c r="E52" s="90">
        <v>0.15</v>
      </c>
      <c r="F52" s="89">
        <v>311.39999999999998</v>
      </c>
      <c r="G52" s="89">
        <v>218.44</v>
      </c>
      <c r="H52" s="89">
        <v>38.75</v>
      </c>
      <c r="I52" s="89">
        <v>0.17</v>
      </c>
      <c r="J52" s="12"/>
      <c r="K52" s="129">
        <v>47</v>
      </c>
      <c r="L52" s="12">
        <v>33</v>
      </c>
      <c r="M52" s="12">
        <v>6</v>
      </c>
      <c r="N52" s="12"/>
      <c r="O52" s="12">
        <v>16.29</v>
      </c>
      <c r="P52" s="12">
        <v>2.44</v>
      </c>
      <c r="Q52" s="12"/>
    </row>
    <row r="53" spans="1:17" ht="24" x14ac:dyDescent="0.2">
      <c r="A53" s="6">
        <v>26</v>
      </c>
      <c r="B53" s="92" t="s">
        <v>313</v>
      </c>
      <c r="C53" s="146" t="s">
        <v>312</v>
      </c>
      <c r="D53" s="91" t="s">
        <v>34</v>
      </c>
      <c r="E53" s="90">
        <v>0.16</v>
      </c>
      <c r="F53" s="89">
        <v>189.23</v>
      </c>
      <c r="G53" s="89">
        <v>46.64</v>
      </c>
      <c r="H53" s="89">
        <v>56.09</v>
      </c>
      <c r="I53" s="89">
        <v>24.55</v>
      </c>
      <c r="J53" s="12"/>
      <c r="K53" s="129">
        <v>30</v>
      </c>
      <c r="L53" s="12">
        <v>7</v>
      </c>
      <c r="M53" s="12">
        <v>9</v>
      </c>
      <c r="N53" s="12">
        <v>4</v>
      </c>
      <c r="O53" s="12">
        <v>3.52</v>
      </c>
      <c r="P53" s="12">
        <v>0.56000000000000005</v>
      </c>
      <c r="Q53" s="12"/>
    </row>
    <row r="54" spans="1:17" ht="24" x14ac:dyDescent="0.2">
      <c r="A54" s="6">
        <v>27</v>
      </c>
      <c r="B54" s="92" t="s">
        <v>106</v>
      </c>
      <c r="C54" s="146" t="s">
        <v>319</v>
      </c>
      <c r="D54" s="91" t="s">
        <v>31</v>
      </c>
      <c r="E54" s="90">
        <v>0.97</v>
      </c>
      <c r="F54" s="89">
        <v>3703.97</v>
      </c>
      <c r="G54" s="12"/>
      <c r="H54" s="12"/>
      <c r="I54" s="12"/>
      <c r="J54" s="12"/>
      <c r="K54" s="129">
        <v>3593</v>
      </c>
      <c r="L54" s="12"/>
      <c r="M54" s="12"/>
      <c r="N54" s="12"/>
      <c r="O54" s="12"/>
      <c r="P54" s="12"/>
      <c r="Q54" s="12"/>
    </row>
    <row r="55" spans="1:17" ht="24" x14ac:dyDescent="0.2">
      <c r="A55" s="6">
        <v>28</v>
      </c>
      <c r="B55" s="92" t="s">
        <v>106</v>
      </c>
      <c r="C55" s="146" t="s">
        <v>774</v>
      </c>
      <c r="D55" s="91" t="s">
        <v>31</v>
      </c>
      <c r="E55" s="90">
        <v>8.7999999999999995E-2</v>
      </c>
      <c r="F55" s="89">
        <v>269.33</v>
      </c>
      <c r="G55" s="12"/>
      <c r="H55" s="12"/>
      <c r="I55" s="12"/>
      <c r="J55" s="12"/>
      <c r="K55" s="129">
        <v>24</v>
      </c>
      <c r="L55" s="12"/>
      <c r="M55" s="12"/>
      <c r="N55" s="12"/>
      <c r="O55" s="12"/>
      <c r="P55" s="12"/>
      <c r="Q55" s="12"/>
    </row>
    <row r="56" spans="1:17" ht="36" x14ac:dyDescent="0.2">
      <c r="A56" s="6">
        <v>29</v>
      </c>
      <c r="B56" s="92" t="s">
        <v>106</v>
      </c>
      <c r="C56" s="146" t="s">
        <v>321</v>
      </c>
      <c r="D56" s="91" t="s">
        <v>320</v>
      </c>
      <c r="E56" s="97">
        <v>2.9000000000000001E-2</v>
      </c>
      <c r="F56" s="89">
        <v>2667.36</v>
      </c>
      <c r="G56" s="12"/>
      <c r="H56" s="12"/>
      <c r="I56" s="12"/>
      <c r="J56" s="12"/>
      <c r="K56" s="129">
        <v>77</v>
      </c>
      <c r="L56" s="12"/>
      <c r="M56" s="12"/>
      <c r="N56" s="12"/>
      <c r="O56" s="12"/>
      <c r="P56" s="12"/>
      <c r="Q56" s="12"/>
    </row>
    <row r="57" spans="1:17" ht="24" x14ac:dyDescent="0.2">
      <c r="A57" s="6">
        <v>30</v>
      </c>
      <c r="B57" s="92" t="s">
        <v>773</v>
      </c>
      <c r="C57" s="146" t="s">
        <v>772</v>
      </c>
      <c r="D57" s="91" t="s">
        <v>31</v>
      </c>
      <c r="E57" s="90">
        <v>8.9999999999999993E-3</v>
      </c>
      <c r="F57" s="89">
        <v>18467</v>
      </c>
      <c r="G57" s="12"/>
      <c r="H57" s="12"/>
      <c r="I57" s="12"/>
      <c r="J57" s="12"/>
      <c r="K57" s="129">
        <v>166</v>
      </c>
      <c r="L57" s="12"/>
      <c r="M57" s="12"/>
      <c r="N57" s="12"/>
      <c r="O57" s="12"/>
      <c r="P57" s="12"/>
      <c r="Q57" s="12"/>
    </row>
    <row r="58" spans="1:17" ht="24" x14ac:dyDescent="0.2">
      <c r="A58" s="6">
        <v>31</v>
      </c>
      <c r="B58" s="92" t="s">
        <v>343</v>
      </c>
      <c r="C58" s="146" t="s">
        <v>644</v>
      </c>
      <c r="D58" s="91" t="s">
        <v>76</v>
      </c>
      <c r="E58" s="90">
        <v>1.87</v>
      </c>
      <c r="F58" s="89">
        <v>1837.57</v>
      </c>
      <c r="G58" s="89">
        <v>474.14</v>
      </c>
      <c r="H58" s="89">
        <v>129.78</v>
      </c>
      <c r="I58" s="89">
        <v>23.9</v>
      </c>
      <c r="J58" s="12"/>
      <c r="K58" s="129">
        <v>3436</v>
      </c>
      <c r="L58" s="12">
        <v>887</v>
      </c>
      <c r="M58" s="12">
        <v>243</v>
      </c>
      <c r="N58" s="12">
        <v>45</v>
      </c>
      <c r="O58" s="12">
        <v>37.1</v>
      </c>
      <c r="P58" s="12">
        <v>69.38</v>
      </c>
      <c r="Q58" s="12"/>
    </row>
    <row r="59" spans="1:17" ht="24" x14ac:dyDescent="0.2">
      <c r="A59" s="6">
        <v>32</v>
      </c>
      <c r="B59" s="92" t="s">
        <v>771</v>
      </c>
      <c r="C59" s="146" t="s">
        <v>770</v>
      </c>
      <c r="D59" s="91" t="s">
        <v>76</v>
      </c>
      <c r="E59" s="97">
        <v>0.25</v>
      </c>
      <c r="F59" s="89">
        <v>4535.6099999999997</v>
      </c>
      <c r="G59" s="89">
        <v>231.71</v>
      </c>
      <c r="H59" s="89">
        <v>2581.44</v>
      </c>
      <c r="I59" s="89">
        <v>295.76</v>
      </c>
      <c r="J59" s="12"/>
      <c r="K59" s="129">
        <v>1134</v>
      </c>
      <c r="L59" s="12">
        <v>58</v>
      </c>
      <c r="M59" s="12">
        <v>645</v>
      </c>
      <c r="N59" s="12">
        <v>74</v>
      </c>
      <c r="O59" s="12">
        <v>17.100000000000001</v>
      </c>
      <c r="P59" s="12">
        <v>4.28</v>
      </c>
      <c r="Q59" s="12"/>
    </row>
    <row r="60" spans="1:17" ht="46.15" customHeight="1" x14ac:dyDescent="0.2">
      <c r="A60" s="6">
        <v>33</v>
      </c>
      <c r="B60" s="92" t="s">
        <v>769</v>
      </c>
      <c r="C60" s="146" t="s">
        <v>768</v>
      </c>
      <c r="D60" s="91" t="s">
        <v>767</v>
      </c>
      <c r="E60" s="90">
        <v>2.8</v>
      </c>
      <c r="F60" s="89">
        <v>77.28</v>
      </c>
      <c r="G60" s="12"/>
      <c r="H60" s="12"/>
      <c r="I60" s="12"/>
      <c r="J60" s="12"/>
      <c r="K60" s="129">
        <v>216</v>
      </c>
      <c r="L60" s="12"/>
      <c r="M60" s="12"/>
      <c r="N60" s="12"/>
      <c r="O60" s="12"/>
      <c r="P60" s="12"/>
      <c r="Q60" s="12"/>
    </row>
    <row r="61" spans="1:17" ht="60" x14ac:dyDescent="0.2">
      <c r="A61" s="6">
        <v>34</v>
      </c>
      <c r="B61" s="92" t="s">
        <v>99</v>
      </c>
      <c r="C61" s="146" t="s">
        <v>98</v>
      </c>
      <c r="D61" s="91" t="s">
        <v>35</v>
      </c>
      <c r="E61" s="97">
        <v>5</v>
      </c>
      <c r="F61" s="89">
        <v>14.72</v>
      </c>
      <c r="G61" s="12"/>
      <c r="H61" s="12"/>
      <c r="I61" s="12"/>
      <c r="J61" s="12"/>
      <c r="K61" s="129">
        <v>74</v>
      </c>
      <c r="L61" s="12"/>
      <c r="M61" s="12"/>
      <c r="N61" s="12"/>
      <c r="O61" s="12"/>
      <c r="P61" s="12"/>
      <c r="Q61" s="12"/>
    </row>
    <row r="62" spans="1:17" ht="36" x14ac:dyDescent="0.2">
      <c r="A62" s="6">
        <v>35</v>
      </c>
      <c r="B62" s="92" t="s">
        <v>114</v>
      </c>
      <c r="C62" s="146" t="s">
        <v>113</v>
      </c>
      <c r="D62" s="91" t="s">
        <v>34</v>
      </c>
      <c r="E62" s="97">
        <v>0.05</v>
      </c>
      <c r="F62" s="89">
        <v>2527.1999999999998</v>
      </c>
      <c r="G62" s="89">
        <v>408.1</v>
      </c>
      <c r="H62" s="89">
        <v>897.93</v>
      </c>
      <c r="I62" s="89">
        <v>320.97000000000003</v>
      </c>
      <c r="J62" s="12"/>
      <c r="K62" s="129">
        <v>126</v>
      </c>
      <c r="L62" s="12">
        <v>20</v>
      </c>
      <c r="M62" s="12">
        <v>45</v>
      </c>
      <c r="N62" s="12">
        <v>16</v>
      </c>
      <c r="O62" s="12">
        <v>30.8</v>
      </c>
      <c r="P62" s="12">
        <v>1.54</v>
      </c>
      <c r="Q62" s="12"/>
    </row>
    <row r="63" spans="1:17" x14ac:dyDescent="0.2">
      <c r="A63" s="6">
        <v>36</v>
      </c>
      <c r="B63" s="92" t="s">
        <v>766</v>
      </c>
      <c r="C63" s="146" t="s">
        <v>765</v>
      </c>
      <c r="D63" s="91" t="s">
        <v>35</v>
      </c>
      <c r="E63" s="90">
        <v>9</v>
      </c>
      <c r="F63" s="89">
        <v>10.01</v>
      </c>
      <c r="G63" s="12"/>
      <c r="H63" s="12"/>
      <c r="I63" s="12"/>
      <c r="J63" s="12"/>
      <c r="K63" s="129">
        <v>90</v>
      </c>
      <c r="L63" s="12"/>
      <c r="M63" s="12"/>
      <c r="N63" s="12"/>
      <c r="O63" s="12"/>
      <c r="P63" s="12"/>
      <c r="Q63" s="12"/>
    </row>
    <row r="64" spans="1:17" ht="48" x14ac:dyDescent="0.2">
      <c r="A64" s="6">
        <v>37</v>
      </c>
      <c r="B64" s="92" t="s">
        <v>764</v>
      </c>
      <c r="C64" s="146" t="s">
        <v>763</v>
      </c>
      <c r="D64" s="91" t="s">
        <v>34</v>
      </c>
      <c r="E64" s="97">
        <v>0.09</v>
      </c>
      <c r="F64" s="89">
        <v>2435.1999999999998</v>
      </c>
      <c r="G64" s="89">
        <v>315.35000000000002</v>
      </c>
      <c r="H64" s="89">
        <v>611.58000000000004</v>
      </c>
      <c r="I64" s="89">
        <v>248.83</v>
      </c>
      <c r="J64" s="12"/>
      <c r="K64" s="129">
        <v>219</v>
      </c>
      <c r="L64" s="12">
        <v>28</v>
      </c>
      <c r="M64" s="12">
        <v>55</v>
      </c>
      <c r="N64" s="12">
        <v>22</v>
      </c>
      <c r="O64" s="12">
        <v>23.8</v>
      </c>
      <c r="P64" s="12">
        <v>2.14</v>
      </c>
      <c r="Q64" s="12"/>
    </row>
    <row r="65" spans="1:17" ht="36" x14ac:dyDescent="0.2">
      <c r="A65" s="6">
        <v>38</v>
      </c>
      <c r="B65" s="92" t="s">
        <v>762</v>
      </c>
      <c r="C65" s="146" t="s">
        <v>761</v>
      </c>
      <c r="D65" s="91" t="s">
        <v>29</v>
      </c>
      <c r="E65" s="97">
        <v>2</v>
      </c>
      <c r="F65" s="89">
        <v>499.66</v>
      </c>
      <c r="G65" s="89">
        <v>47.48</v>
      </c>
      <c r="H65" s="89">
        <v>437.69</v>
      </c>
      <c r="I65" s="89">
        <v>50.96</v>
      </c>
      <c r="J65" s="12"/>
      <c r="K65" s="129">
        <v>999</v>
      </c>
      <c r="L65" s="12">
        <v>95</v>
      </c>
      <c r="M65" s="12">
        <v>875</v>
      </c>
      <c r="N65" s="12">
        <v>102</v>
      </c>
      <c r="O65" s="12">
        <v>3.21</v>
      </c>
      <c r="P65" s="12">
        <v>6.42</v>
      </c>
      <c r="Q65" s="12"/>
    </row>
    <row r="66" spans="1:17" ht="22.9" customHeight="1" x14ac:dyDescent="0.2">
      <c r="A66" s="6">
        <v>39</v>
      </c>
      <c r="B66" s="92" t="s">
        <v>95</v>
      </c>
      <c r="C66" s="146" t="s">
        <v>760</v>
      </c>
      <c r="D66" s="91" t="s">
        <v>93</v>
      </c>
      <c r="E66" s="97">
        <v>2</v>
      </c>
      <c r="F66" s="89">
        <v>22.58</v>
      </c>
      <c r="G66" s="89">
        <v>6.37</v>
      </c>
      <c r="H66" s="12"/>
      <c r="I66" s="12"/>
      <c r="J66" s="12"/>
      <c r="K66" s="129">
        <v>45</v>
      </c>
      <c r="L66" s="12">
        <v>13</v>
      </c>
      <c r="M66" s="12"/>
      <c r="N66" s="12"/>
      <c r="O66" s="12">
        <v>0.47</v>
      </c>
      <c r="P66" s="12">
        <v>0.94</v>
      </c>
      <c r="Q66" s="12"/>
    </row>
    <row r="67" spans="1:17" ht="36" x14ac:dyDescent="0.2">
      <c r="A67" s="6">
        <v>40</v>
      </c>
      <c r="B67" s="92" t="s">
        <v>759</v>
      </c>
      <c r="C67" s="146" t="s">
        <v>758</v>
      </c>
      <c r="D67" s="91" t="s">
        <v>32</v>
      </c>
      <c r="E67" s="97">
        <v>0.02</v>
      </c>
      <c r="F67" s="89">
        <v>5264.08</v>
      </c>
      <c r="G67" s="89">
        <v>1256.8599999999999</v>
      </c>
      <c r="H67" s="89">
        <v>4007.22</v>
      </c>
      <c r="I67" s="89">
        <v>443.92</v>
      </c>
      <c r="J67" s="12"/>
      <c r="K67" s="129">
        <v>105</v>
      </c>
      <c r="L67" s="12">
        <v>25</v>
      </c>
      <c r="M67" s="12">
        <v>80</v>
      </c>
      <c r="N67" s="12">
        <v>9</v>
      </c>
      <c r="O67" s="12">
        <v>97.13</v>
      </c>
      <c r="P67" s="12">
        <v>1.94</v>
      </c>
      <c r="Q67" s="12"/>
    </row>
    <row r="68" spans="1:17" ht="36" x14ac:dyDescent="0.2">
      <c r="A68" s="6">
        <v>41</v>
      </c>
      <c r="B68" s="92" t="s">
        <v>757</v>
      </c>
      <c r="C68" s="146" t="s">
        <v>756</v>
      </c>
      <c r="D68" s="91" t="s">
        <v>755</v>
      </c>
      <c r="E68" s="97">
        <v>0.02</v>
      </c>
      <c r="F68" s="89">
        <v>2078.3200000000002</v>
      </c>
      <c r="G68" s="89">
        <v>857.51</v>
      </c>
      <c r="H68" s="89">
        <v>44.07</v>
      </c>
      <c r="I68" s="12"/>
      <c r="J68" s="12"/>
      <c r="K68" s="129">
        <v>42</v>
      </c>
      <c r="L68" s="12">
        <v>17</v>
      </c>
      <c r="M68" s="12">
        <v>1</v>
      </c>
      <c r="N68" s="12"/>
      <c r="O68" s="12">
        <v>75.22</v>
      </c>
      <c r="P68" s="12">
        <v>1.5</v>
      </c>
      <c r="Q68" s="12"/>
    </row>
    <row r="69" spans="1:17" x14ac:dyDescent="0.2">
      <c r="A69" s="166" t="s">
        <v>754</v>
      </c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</row>
    <row r="70" spans="1:17" ht="77.25" x14ac:dyDescent="0.2">
      <c r="A70" s="6">
        <v>42</v>
      </c>
      <c r="B70" s="92" t="s">
        <v>273</v>
      </c>
      <c r="C70" s="146" t="s">
        <v>272</v>
      </c>
      <c r="D70" s="91" t="s">
        <v>271</v>
      </c>
      <c r="E70" s="90">
        <v>10</v>
      </c>
      <c r="F70" s="89">
        <v>27.19</v>
      </c>
      <c r="G70" s="89">
        <v>27.19</v>
      </c>
      <c r="H70" s="12"/>
      <c r="I70" s="12"/>
      <c r="J70" s="12"/>
      <c r="K70" s="129">
        <v>272</v>
      </c>
      <c r="L70" s="12">
        <v>272</v>
      </c>
      <c r="M70" s="12"/>
      <c r="N70" s="12"/>
      <c r="O70" s="12">
        <v>1.65</v>
      </c>
      <c r="P70" s="12">
        <v>16.5</v>
      </c>
      <c r="Q70" s="12"/>
    </row>
    <row r="71" spans="1:17" ht="36" x14ac:dyDescent="0.2">
      <c r="A71" s="6">
        <v>43</v>
      </c>
      <c r="B71" s="92" t="s">
        <v>270</v>
      </c>
      <c r="C71" s="146" t="s">
        <v>269</v>
      </c>
      <c r="D71" s="91" t="s">
        <v>268</v>
      </c>
      <c r="E71" s="97">
        <v>2</v>
      </c>
      <c r="F71" s="89">
        <v>95.38</v>
      </c>
      <c r="G71" s="89">
        <v>95.38</v>
      </c>
      <c r="H71" s="12"/>
      <c r="I71" s="12"/>
      <c r="J71" s="12"/>
      <c r="K71" s="129">
        <v>191</v>
      </c>
      <c r="L71" s="12">
        <v>191</v>
      </c>
      <c r="M71" s="12"/>
      <c r="N71" s="12"/>
      <c r="O71" s="12">
        <v>6</v>
      </c>
      <c r="P71" s="12">
        <v>12</v>
      </c>
      <c r="Q71" s="12"/>
    </row>
    <row r="72" spans="1:17" ht="48" x14ac:dyDescent="0.2">
      <c r="A72" s="6">
        <v>44</v>
      </c>
      <c r="B72" s="92" t="s">
        <v>267</v>
      </c>
      <c r="C72" s="146" t="s">
        <v>266</v>
      </c>
      <c r="D72" s="91" t="s">
        <v>265</v>
      </c>
      <c r="E72" s="97">
        <v>1</v>
      </c>
      <c r="F72" s="89">
        <v>366.98</v>
      </c>
      <c r="G72" s="89">
        <v>366.98</v>
      </c>
      <c r="H72" s="12"/>
      <c r="I72" s="12"/>
      <c r="J72" s="12"/>
      <c r="K72" s="129">
        <v>367</v>
      </c>
      <c r="L72" s="12">
        <v>367</v>
      </c>
      <c r="M72" s="12"/>
      <c r="N72" s="12"/>
      <c r="O72" s="12">
        <v>17.600000000000001</v>
      </c>
      <c r="P72" s="12">
        <v>17.600000000000001</v>
      </c>
      <c r="Q72" s="12"/>
    </row>
    <row r="73" spans="1:17" x14ac:dyDescent="0.2">
      <c r="A73" s="168" t="s">
        <v>36</v>
      </c>
      <c r="B73" s="167"/>
      <c r="C73" s="167"/>
      <c r="D73" s="167"/>
      <c r="E73" s="167"/>
      <c r="F73" s="167"/>
      <c r="G73" s="167"/>
      <c r="H73" s="167"/>
      <c r="I73" s="167"/>
      <c r="J73" s="167"/>
      <c r="K73" s="130">
        <v>17073</v>
      </c>
      <c r="L73" s="89">
        <v>3328</v>
      </c>
      <c r="M73" s="89">
        <v>1964</v>
      </c>
      <c r="N73" s="89">
        <v>272</v>
      </c>
      <c r="O73" s="12"/>
      <c r="P73" s="89">
        <v>239.84</v>
      </c>
      <c r="Q73" s="12"/>
    </row>
    <row r="74" spans="1:17" x14ac:dyDescent="0.2">
      <c r="A74" s="168" t="s">
        <v>37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30">
        <v>18890</v>
      </c>
      <c r="L74" s="89">
        <v>4300</v>
      </c>
      <c r="M74" s="89">
        <v>2638</v>
      </c>
      <c r="N74" s="89">
        <v>378</v>
      </c>
      <c r="O74" s="12"/>
      <c r="P74" s="89">
        <v>302.76</v>
      </c>
      <c r="Q74" s="12"/>
    </row>
    <row r="75" spans="1:17" x14ac:dyDescent="0.2">
      <c r="A75" s="168" t="s">
        <v>86</v>
      </c>
      <c r="B75" s="167"/>
      <c r="C75" s="167"/>
      <c r="D75" s="167"/>
      <c r="E75" s="167"/>
      <c r="F75" s="167"/>
      <c r="G75" s="167"/>
      <c r="H75" s="167"/>
      <c r="I75" s="167"/>
      <c r="J75" s="167"/>
      <c r="K75" s="129"/>
      <c r="L75" s="12"/>
      <c r="M75" s="12"/>
      <c r="N75" s="12"/>
      <c r="O75" s="12"/>
      <c r="P75" s="12"/>
      <c r="Q75" s="12"/>
    </row>
    <row r="76" spans="1:17" ht="15" customHeight="1" x14ac:dyDescent="0.2">
      <c r="A76" s="168" t="s">
        <v>753</v>
      </c>
      <c r="B76" s="167"/>
      <c r="C76" s="167"/>
      <c r="D76" s="167"/>
      <c r="E76" s="167"/>
      <c r="F76" s="167"/>
      <c r="G76" s="167"/>
      <c r="H76" s="167"/>
      <c r="I76" s="167"/>
      <c r="J76" s="167"/>
      <c r="K76" s="130">
        <v>155</v>
      </c>
      <c r="L76" s="89">
        <v>143</v>
      </c>
      <c r="M76" s="89">
        <v>12</v>
      </c>
      <c r="N76" s="89">
        <v>12</v>
      </c>
      <c r="O76" s="12"/>
      <c r="P76" s="12"/>
      <c r="Q76" s="12"/>
    </row>
    <row r="77" spans="1:17" ht="15" customHeight="1" x14ac:dyDescent="0.2">
      <c r="A77" s="168" t="s">
        <v>752</v>
      </c>
      <c r="B77" s="167"/>
      <c r="C77" s="167"/>
      <c r="D77" s="167"/>
      <c r="E77" s="167"/>
      <c r="F77" s="167"/>
      <c r="G77" s="167"/>
      <c r="H77" s="167"/>
      <c r="I77" s="167"/>
      <c r="J77" s="167"/>
      <c r="K77" s="130">
        <v>144</v>
      </c>
      <c r="L77" s="12"/>
      <c r="M77" s="12"/>
      <c r="N77" s="12"/>
      <c r="O77" s="12"/>
      <c r="P77" s="12"/>
      <c r="Q77" s="12"/>
    </row>
    <row r="78" spans="1:17" ht="15" customHeight="1" x14ac:dyDescent="0.2">
      <c r="A78" s="168" t="s">
        <v>751</v>
      </c>
      <c r="B78" s="167"/>
      <c r="C78" s="167"/>
      <c r="D78" s="167"/>
      <c r="E78" s="167"/>
      <c r="F78" s="167"/>
      <c r="G78" s="167"/>
      <c r="H78" s="167"/>
      <c r="I78" s="167"/>
      <c r="J78" s="167"/>
      <c r="K78" s="130">
        <v>19</v>
      </c>
      <c r="L78" s="12"/>
      <c r="M78" s="12"/>
      <c r="N78" s="12"/>
      <c r="O78" s="12"/>
      <c r="P78" s="12"/>
      <c r="Q78" s="12"/>
    </row>
    <row r="79" spans="1:17" ht="15" customHeight="1" x14ac:dyDescent="0.2">
      <c r="A79" s="168" t="s">
        <v>750</v>
      </c>
      <c r="B79" s="167"/>
      <c r="C79" s="167"/>
      <c r="D79" s="167"/>
      <c r="E79" s="167"/>
      <c r="F79" s="167"/>
      <c r="G79" s="167"/>
      <c r="H79" s="167"/>
      <c r="I79" s="167"/>
      <c r="J79" s="167"/>
      <c r="K79" s="130">
        <v>8</v>
      </c>
      <c r="L79" s="12"/>
      <c r="M79" s="12"/>
      <c r="N79" s="12"/>
      <c r="O79" s="12"/>
      <c r="P79" s="12"/>
      <c r="Q79" s="12"/>
    </row>
    <row r="80" spans="1:17" ht="30" customHeight="1" x14ac:dyDescent="0.2">
      <c r="A80" s="168" t="s">
        <v>749</v>
      </c>
      <c r="B80" s="167"/>
      <c r="C80" s="167"/>
      <c r="D80" s="167"/>
      <c r="E80" s="167"/>
      <c r="F80" s="167"/>
      <c r="G80" s="167"/>
      <c r="H80" s="167"/>
      <c r="I80" s="167"/>
      <c r="J80" s="167"/>
      <c r="K80" s="130">
        <v>1560</v>
      </c>
      <c r="L80" s="89">
        <v>897</v>
      </c>
      <c r="M80" s="89">
        <v>663</v>
      </c>
      <c r="N80" s="89">
        <v>96</v>
      </c>
      <c r="O80" s="12"/>
      <c r="P80" s="89">
        <v>66.605000000000004</v>
      </c>
      <c r="Q80" s="12"/>
    </row>
    <row r="81" spans="1:17" ht="30" customHeight="1" x14ac:dyDescent="0.2">
      <c r="A81" s="168" t="s">
        <v>748</v>
      </c>
      <c r="B81" s="167"/>
      <c r="C81" s="167"/>
      <c r="D81" s="167"/>
      <c r="E81" s="167"/>
      <c r="F81" s="167"/>
      <c r="G81" s="167"/>
      <c r="H81" s="167"/>
      <c r="I81" s="167"/>
      <c r="J81" s="167"/>
      <c r="K81" s="130">
        <v>130</v>
      </c>
      <c r="L81" s="89">
        <v>130</v>
      </c>
      <c r="M81" s="12"/>
      <c r="N81" s="12"/>
      <c r="O81" s="12"/>
      <c r="P81" s="89">
        <v>6.915</v>
      </c>
      <c r="Q81" s="12"/>
    </row>
    <row r="82" spans="1:17" ht="15" customHeight="1" x14ac:dyDescent="0.2">
      <c r="A82" s="168" t="s">
        <v>747</v>
      </c>
      <c r="B82" s="167"/>
      <c r="C82" s="167"/>
      <c r="D82" s="167"/>
      <c r="E82" s="167"/>
      <c r="F82" s="167"/>
      <c r="G82" s="167"/>
      <c r="H82" s="167"/>
      <c r="I82" s="167"/>
      <c r="J82" s="167"/>
      <c r="K82" s="130">
        <v>-199</v>
      </c>
      <c r="L82" s="89">
        <v>-199</v>
      </c>
      <c r="M82" s="12"/>
      <c r="N82" s="12"/>
      <c r="O82" s="12"/>
      <c r="P82" s="89">
        <v>-10.603999999999999</v>
      </c>
      <c r="Q82" s="12"/>
    </row>
    <row r="83" spans="1:17" x14ac:dyDescent="0.2">
      <c r="A83" s="168" t="s">
        <v>38</v>
      </c>
      <c r="B83" s="167"/>
      <c r="C83" s="167"/>
      <c r="D83" s="167"/>
      <c r="E83" s="167"/>
      <c r="F83" s="167"/>
      <c r="G83" s="167"/>
      <c r="H83" s="167"/>
      <c r="I83" s="167"/>
      <c r="J83" s="167"/>
      <c r="K83" s="130">
        <v>3848</v>
      </c>
      <c r="L83" s="12"/>
      <c r="M83" s="12"/>
      <c r="N83" s="12"/>
      <c r="O83" s="12"/>
      <c r="P83" s="12"/>
      <c r="Q83" s="12"/>
    </row>
    <row r="84" spans="1:17" x14ac:dyDescent="0.2">
      <c r="A84" s="168" t="s">
        <v>86</v>
      </c>
      <c r="B84" s="167"/>
      <c r="C84" s="167"/>
      <c r="D84" s="167"/>
      <c r="E84" s="167"/>
      <c r="F84" s="167"/>
      <c r="G84" s="167"/>
      <c r="H84" s="167"/>
      <c r="I84" s="167"/>
      <c r="J84" s="167"/>
      <c r="K84" s="129"/>
      <c r="L84" s="12"/>
      <c r="M84" s="12"/>
      <c r="N84" s="12"/>
      <c r="O84" s="12"/>
      <c r="P84" s="12"/>
      <c r="Q84" s="12"/>
    </row>
    <row r="85" spans="1:17" x14ac:dyDescent="0.2">
      <c r="A85" s="168" t="s">
        <v>746</v>
      </c>
      <c r="B85" s="167"/>
      <c r="C85" s="167"/>
      <c r="D85" s="167"/>
      <c r="E85" s="167"/>
      <c r="F85" s="167"/>
      <c r="G85" s="167"/>
      <c r="H85" s="167"/>
      <c r="I85" s="167"/>
      <c r="J85" s="167"/>
      <c r="K85" s="130">
        <v>518</v>
      </c>
      <c r="L85" s="12"/>
      <c r="M85" s="12"/>
      <c r="N85" s="12"/>
      <c r="O85" s="12"/>
      <c r="P85" s="12"/>
      <c r="Q85" s="12"/>
    </row>
    <row r="86" spans="1:17" x14ac:dyDescent="0.2">
      <c r="A86" s="168" t="s">
        <v>745</v>
      </c>
      <c r="B86" s="167"/>
      <c r="C86" s="167"/>
      <c r="D86" s="167"/>
      <c r="E86" s="167"/>
      <c r="F86" s="167"/>
      <c r="G86" s="167"/>
      <c r="H86" s="167"/>
      <c r="I86" s="167"/>
      <c r="J86" s="167"/>
      <c r="K86" s="130">
        <v>1800</v>
      </c>
      <c r="L86" s="12"/>
      <c r="M86" s="12"/>
      <c r="N86" s="12"/>
      <c r="O86" s="12"/>
      <c r="P86" s="12"/>
      <c r="Q86" s="12"/>
    </row>
    <row r="87" spans="1:17" x14ac:dyDescent="0.2">
      <c r="A87" s="168" t="s">
        <v>744</v>
      </c>
      <c r="B87" s="167"/>
      <c r="C87" s="167"/>
      <c r="D87" s="167"/>
      <c r="E87" s="167"/>
      <c r="F87" s="167"/>
      <c r="G87" s="167"/>
      <c r="H87" s="167"/>
      <c r="I87" s="167"/>
      <c r="J87" s="167"/>
      <c r="K87" s="130">
        <v>841</v>
      </c>
      <c r="L87" s="12"/>
      <c r="M87" s="12"/>
      <c r="N87" s="12"/>
      <c r="O87" s="12"/>
      <c r="P87" s="12"/>
      <c r="Q87" s="12"/>
    </row>
    <row r="88" spans="1:17" x14ac:dyDescent="0.2">
      <c r="A88" s="168" t="s">
        <v>743</v>
      </c>
      <c r="B88" s="167"/>
      <c r="C88" s="167"/>
      <c r="D88" s="167"/>
      <c r="E88" s="167"/>
      <c r="F88" s="167"/>
      <c r="G88" s="167"/>
      <c r="H88" s="167"/>
      <c r="I88" s="167"/>
      <c r="J88" s="167"/>
      <c r="K88" s="130">
        <v>631</v>
      </c>
      <c r="L88" s="12"/>
      <c r="M88" s="12"/>
      <c r="N88" s="12"/>
      <c r="O88" s="12"/>
      <c r="P88" s="12"/>
      <c r="Q88" s="12"/>
    </row>
    <row r="89" spans="1:17" x14ac:dyDescent="0.2">
      <c r="A89" s="168" t="s">
        <v>742</v>
      </c>
      <c r="B89" s="167"/>
      <c r="C89" s="167"/>
      <c r="D89" s="167"/>
      <c r="E89" s="167"/>
      <c r="F89" s="167"/>
      <c r="G89" s="167"/>
      <c r="H89" s="167"/>
      <c r="I89" s="167"/>
      <c r="J89" s="167"/>
      <c r="K89" s="130">
        <v>58</v>
      </c>
      <c r="L89" s="12"/>
      <c r="M89" s="12"/>
      <c r="N89" s="12"/>
      <c r="O89" s="12"/>
      <c r="P89" s="12"/>
      <c r="Q89" s="12"/>
    </row>
    <row r="90" spans="1:17" x14ac:dyDescent="0.2">
      <c r="A90" s="168" t="s">
        <v>39</v>
      </c>
      <c r="B90" s="167"/>
      <c r="C90" s="167"/>
      <c r="D90" s="167"/>
      <c r="E90" s="167"/>
      <c r="F90" s="167"/>
      <c r="G90" s="167"/>
      <c r="H90" s="167"/>
      <c r="I90" s="167"/>
      <c r="J90" s="167"/>
      <c r="K90" s="130">
        <v>2732</v>
      </c>
      <c r="L90" s="12"/>
      <c r="M90" s="12"/>
      <c r="N90" s="12"/>
      <c r="O90" s="12"/>
      <c r="P90" s="12"/>
      <c r="Q90" s="12"/>
    </row>
    <row r="91" spans="1:17" x14ac:dyDescent="0.2">
      <c r="A91" s="168" t="s">
        <v>86</v>
      </c>
      <c r="B91" s="167"/>
      <c r="C91" s="167"/>
      <c r="D91" s="167"/>
      <c r="E91" s="167"/>
      <c r="F91" s="167"/>
      <c r="G91" s="167"/>
      <c r="H91" s="167"/>
      <c r="I91" s="167"/>
      <c r="J91" s="167"/>
      <c r="K91" s="129"/>
      <c r="L91" s="12"/>
      <c r="M91" s="12"/>
      <c r="N91" s="12"/>
      <c r="O91" s="12"/>
      <c r="P91" s="12"/>
      <c r="Q91" s="12"/>
    </row>
    <row r="92" spans="1:17" x14ac:dyDescent="0.2">
      <c r="A92" s="168" t="s">
        <v>741</v>
      </c>
      <c r="B92" s="167"/>
      <c r="C92" s="167"/>
      <c r="D92" s="167"/>
      <c r="E92" s="167"/>
      <c r="F92" s="167"/>
      <c r="G92" s="167"/>
      <c r="H92" s="167"/>
      <c r="I92" s="167"/>
      <c r="J92" s="167"/>
      <c r="K92" s="130">
        <v>319</v>
      </c>
      <c r="L92" s="12"/>
      <c r="M92" s="12"/>
      <c r="N92" s="12"/>
      <c r="O92" s="12"/>
      <c r="P92" s="12"/>
      <c r="Q92" s="12"/>
    </row>
    <row r="93" spans="1:17" x14ac:dyDescent="0.2">
      <c r="A93" s="168" t="s">
        <v>740</v>
      </c>
      <c r="B93" s="167"/>
      <c r="C93" s="167"/>
      <c r="D93" s="167"/>
      <c r="E93" s="167"/>
      <c r="F93" s="167"/>
      <c r="G93" s="167"/>
      <c r="H93" s="167"/>
      <c r="I93" s="167"/>
      <c r="J93" s="167"/>
      <c r="K93" s="130">
        <v>1350</v>
      </c>
      <c r="L93" s="12"/>
      <c r="M93" s="12"/>
      <c r="N93" s="12"/>
      <c r="O93" s="12"/>
      <c r="P93" s="12"/>
      <c r="Q93" s="12"/>
    </row>
    <row r="94" spans="1:17" x14ac:dyDescent="0.2">
      <c r="A94" s="168" t="s">
        <v>739</v>
      </c>
      <c r="B94" s="167"/>
      <c r="C94" s="167"/>
      <c r="D94" s="167"/>
      <c r="E94" s="167"/>
      <c r="F94" s="167"/>
      <c r="G94" s="167"/>
      <c r="H94" s="167"/>
      <c r="I94" s="167"/>
      <c r="J94" s="167"/>
      <c r="K94" s="130">
        <v>1026</v>
      </c>
      <c r="L94" s="12"/>
      <c r="M94" s="12"/>
      <c r="N94" s="12"/>
      <c r="O94" s="12"/>
      <c r="P94" s="12"/>
      <c r="Q94" s="12"/>
    </row>
    <row r="95" spans="1:17" x14ac:dyDescent="0.2">
      <c r="A95" s="168" t="s">
        <v>738</v>
      </c>
      <c r="B95" s="167"/>
      <c r="C95" s="167"/>
      <c r="D95" s="167"/>
      <c r="E95" s="167"/>
      <c r="F95" s="167"/>
      <c r="G95" s="167"/>
      <c r="H95" s="167"/>
      <c r="I95" s="167"/>
      <c r="J95" s="167"/>
      <c r="K95" s="130">
        <v>37</v>
      </c>
      <c r="L95" s="12"/>
      <c r="M95" s="12"/>
      <c r="N95" s="12"/>
      <c r="O95" s="12"/>
      <c r="P95" s="12"/>
      <c r="Q95" s="12"/>
    </row>
    <row r="96" spans="1:17" x14ac:dyDescent="0.2">
      <c r="A96" s="173" t="s">
        <v>40</v>
      </c>
      <c r="B96" s="167"/>
      <c r="C96" s="167"/>
      <c r="D96" s="167"/>
      <c r="E96" s="167"/>
      <c r="F96" s="167"/>
      <c r="G96" s="167"/>
      <c r="H96" s="167"/>
      <c r="I96" s="167"/>
      <c r="J96" s="167"/>
      <c r="K96" s="129"/>
      <c r="L96" s="12"/>
      <c r="M96" s="12"/>
      <c r="N96" s="12"/>
      <c r="O96" s="12"/>
      <c r="P96" s="12"/>
      <c r="Q96" s="12"/>
    </row>
    <row r="97" spans="1:17" x14ac:dyDescent="0.2">
      <c r="A97" s="168" t="s">
        <v>737</v>
      </c>
      <c r="B97" s="167"/>
      <c r="C97" s="167"/>
      <c r="D97" s="167"/>
      <c r="E97" s="167"/>
      <c r="F97" s="167"/>
      <c r="G97" s="167"/>
      <c r="H97" s="167"/>
      <c r="I97" s="167"/>
      <c r="J97" s="167"/>
      <c r="K97" s="130">
        <v>244</v>
      </c>
      <c r="L97" s="12"/>
      <c r="M97" s="12"/>
      <c r="N97" s="12"/>
      <c r="O97" s="12"/>
      <c r="P97" s="89">
        <v>3.44</v>
      </c>
      <c r="Q97" s="12"/>
    </row>
    <row r="98" spans="1:17" x14ac:dyDescent="0.2">
      <c r="A98" s="168" t="s">
        <v>83</v>
      </c>
      <c r="B98" s="167"/>
      <c r="C98" s="167"/>
      <c r="D98" s="167"/>
      <c r="E98" s="167"/>
      <c r="F98" s="167"/>
      <c r="G98" s="167"/>
      <c r="H98" s="167"/>
      <c r="I98" s="167"/>
      <c r="J98" s="167"/>
      <c r="K98" s="130">
        <v>22936</v>
      </c>
      <c r="L98" s="12"/>
      <c r="M98" s="12"/>
      <c r="N98" s="12"/>
      <c r="O98" s="12"/>
      <c r="P98" s="89">
        <v>256.89999999999998</v>
      </c>
      <c r="Q98" s="12"/>
    </row>
    <row r="99" spans="1:17" x14ac:dyDescent="0.2">
      <c r="A99" s="168" t="s">
        <v>82</v>
      </c>
      <c r="B99" s="167"/>
      <c r="C99" s="167"/>
      <c r="D99" s="167"/>
      <c r="E99" s="167"/>
      <c r="F99" s="167"/>
      <c r="G99" s="167"/>
      <c r="H99" s="167"/>
      <c r="I99" s="167"/>
      <c r="J99" s="167"/>
      <c r="K99" s="130">
        <v>656</v>
      </c>
      <c r="L99" s="12"/>
      <c r="M99" s="12"/>
      <c r="N99" s="12"/>
      <c r="O99" s="12"/>
      <c r="P99" s="12"/>
      <c r="Q99" s="12"/>
    </row>
    <row r="100" spans="1:17" x14ac:dyDescent="0.2">
      <c r="A100" s="168" t="s">
        <v>247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30">
        <v>1634</v>
      </c>
      <c r="L100" s="12"/>
      <c r="M100" s="12"/>
      <c r="N100" s="12"/>
      <c r="O100" s="12"/>
      <c r="P100" s="89">
        <v>42.42</v>
      </c>
      <c r="Q100" s="12"/>
    </row>
    <row r="101" spans="1:17" x14ac:dyDescent="0.2">
      <c r="A101" s="168" t="s">
        <v>41</v>
      </c>
      <c r="B101" s="167"/>
      <c r="C101" s="167"/>
      <c r="D101" s="167"/>
      <c r="E101" s="167"/>
      <c r="F101" s="167"/>
      <c r="G101" s="167"/>
      <c r="H101" s="167"/>
      <c r="I101" s="167"/>
      <c r="J101" s="167"/>
      <c r="K101" s="130">
        <v>25470</v>
      </c>
      <c r="L101" s="12"/>
      <c r="M101" s="12"/>
      <c r="N101" s="12"/>
      <c r="O101" s="12"/>
      <c r="P101" s="89">
        <v>302.76</v>
      </c>
      <c r="Q101" s="12"/>
    </row>
    <row r="102" spans="1:17" x14ac:dyDescent="0.2">
      <c r="A102" s="168" t="s">
        <v>42</v>
      </c>
      <c r="B102" s="167"/>
      <c r="C102" s="167"/>
      <c r="D102" s="167"/>
      <c r="E102" s="167"/>
      <c r="F102" s="167"/>
      <c r="G102" s="167"/>
      <c r="H102" s="167"/>
      <c r="I102" s="167"/>
      <c r="J102" s="167"/>
      <c r="K102" s="129"/>
      <c r="L102" s="12"/>
      <c r="M102" s="12"/>
      <c r="N102" s="12"/>
      <c r="O102" s="12"/>
      <c r="P102" s="12"/>
      <c r="Q102" s="12"/>
    </row>
    <row r="103" spans="1:17" x14ac:dyDescent="0.2">
      <c r="A103" s="168" t="s">
        <v>43</v>
      </c>
      <c r="B103" s="167"/>
      <c r="C103" s="167"/>
      <c r="D103" s="167"/>
      <c r="E103" s="167"/>
      <c r="F103" s="167"/>
      <c r="G103" s="167"/>
      <c r="H103" s="167"/>
      <c r="I103" s="167"/>
      <c r="J103" s="167"/>
      <c r="K103" s="130">
        <v>11296</v>
      </c>
      <c r="L103" s="12"/>
      <c r="M103" s="12"/>
      <c r="N103" s="12"/>
      <c r="O103" s="12"/>
      <c r="P103" s="12"/>
      <c r="Q103" s="12"/>
    </row>
    <row r="104" spans="1:17" x14ac:dyDescent="0.2">
      <c r="A104" s="168" t="s">
        <v>44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30">
        <f>2638-N74</f>
        <v>2260</v>
      </c>
      <c r="L104" s="12"/>
      <c r="M104" s="12"/>
      <c r="N104" s="12"/>
      <c r="O104" s="12"/>
      <c r="P104" s="12"/>
      <c r="Q104" s="12"/>
    </row>
    <row r="105" spans="1:17" x14ac:dyDescent="0.2">
      <c r="A105" s="168" t="s">
        <v>45</v>
      </c>
      <c r="B105" s="167"/>
      <c r="C105" s="167"/>
      <c r="D105" s="167"/>
      <c r="E105" s="167"/>
      <c r="F105" s="167"/>
      <c r="G105" s="167"/>
      <c r="H105" s="167"/>
      <c r="I105" s="167"/>
      <c r="J105" s="167"/>
      <c r="K105" s="130">
        <v>4678</v>
      </c>
      <c r="L105" s="12"/>
      <c r="M105" s="12"/>
      <c r="N105" s="12"/>
      <c r="O105" s="12"/>
      <c r="P105" s="12"/>
      <c r="Q105" s="12"/>
    </row>
    <row r="106" spans="1:17" x14ac:dyDescent="0.2">
      <c r="A106" s="168" t="s">
        <v>19</v>
      </c>
      <c r="B106" s="167"/>
      <c r="C106" s="167"/>
      <c r="D106" s="167"/>
      <c r="E106" s="167"/>
      <c r="F106" s="167"/>
      <c r="G106" s="167"/>
      <c r="H106" s="167"/>
      <c r="I106" s="167"/>
      <c r="J106" s="167"/>
      <c r="K106" s="130">
        <v>656</v>
      </c>
      <c r="L106" s="12"/>
      <c r="M106" s="12"/>
      <c r="N106" s="12"/>
      <c r="O106" s="12"/>
      <c r="P106" s="12"/>
      <c r="Q106" s="12"/>
    </row>
    <row r="107" spans="1:17" x14ac:dyDescent="0.2">
      <c r="A107" s="168" t="s">
        <v>46</v>
      </c>
      <c r="B107" s="167"/>
      <c r="C107" s="167"/>
      <c r="D107" s="167"/>
      <c r="E107" s="167"/>
      <c r="F107" s="167"/>
      <c r="G107" s="167"/>
      <c r="H107" s="167"/>
      <c r="I107" s="167"/>
      <c r="J107" s="167"/>
      <c r="K107" s="130">
        <v>3848</v>
      </c>
      <c r="L107" s="12"/>
      <c r="M107" s="12"/>
      <c r="N107" s="12"/>
      <c r="O107" s="12"/>
      <c r="P107" s="12"/>
      <c r="Q107" s="12"/>
    </row>
    <row r="108" spans="1:17" x14ac:dyDescent="0.2">
      <c r="A108" s="168" t="s">
        <v>47</v>
      </c>
      <c r="B108" s="167"/>
      <c r="C108" s="167"/>
      <c r="D108" s="167"/>
      <c r="E108" s="167"/>
      <c r="F108" s="167"/>
      <c r="G108" s="167"/>
      <c r="H108" s="167"/>
      <c r="I108" s="167"/>
      <c r="J108" s="167"/>
      <c r="K108" s="130">
        <v>2732</v>
      </c>
      <c r="L108" s="12"/>
      <c r="M108" s="12"/>
      <c r="N108" s="12"/>
      <c r="O108" s="12"/>
      <c r="P108" s="12"/>
      <c r="Q108" s="12"/>
    </row>
    <row r="109" spans="1:17" x14ac:dyDescent="0.2">
      <c r="A109" s="173" t="s">
        <v>48</v>
      </c>
      <c r="B109" s="167"/>
      <c r="C109" s="167"/>
      <c r="D109" s="167"/>
      <c r="E109" s="167"/>
      <c r="F109" s="167"/>
      <c r="G109" s="167"/>
      <c r="H109" s="167"/>
      <c r="I109" s="167"/>
      <c r="J109" s="167"/>
      <c r="K109" s="131">
        <f>SUM(K103:K108)</f>
        <v>25470</v>
      </c>
      <c r="L109" s="12"/>
      <c r="M109" s="12"/>
      <c r="N109" s="12"/>
      <c r="O109" s="12"/>
      <c r="P109" s="13">
        <v>302.76</v>
      </c>
      <c r="Q109" s="12"/>
    </row>
    <row r="110" spans="1:17" x14ac:dyDescent="0.2">
      <c r="F110" s="10"/>
      <c r="G110" s="10"/>
      <c r="H110" s="10"/>
      <c r="I110" s="10"/>
      <c r="J110" s="10"/>
      <c r="K110" s="132"/>
      <c r="L110" s="10"/>
      <c r="M110" s="10"/>
      <c r="N110" s="10"/>
      <c r="O110" s="10"/>
      <c r="P110" s="10"/>
      <c r="Q110" s="10"/>
    </row>
  </sheetData>
  <mergeCells count="62">
    <mergeCell ref="A76:J76"/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  <mergeCell ref="D23:D25"/>
    <mergeCell ref="E23:E25"/>
    <mergeCell ref="B23:B25"/>
    <mergeCell ref="A109:J109"/>
    <mergeCell ref="J13:K13"/>
    <mergeCell ref="J18:K18"/>
    <mergeCell ref="J19:K19"/>
    <mergeCell ref="J17:K17"/>
    <mergeCell ref="J16:K16"/>
    <mergeCell ref="J15:K15"/>
    <mergeCell ref="A100:J100"/>
    <mergeCell ref="A101:J101"/>
    <mergeCell ref="A102:J102"/>
    <mergeCell ref="A84:J84"/>
    <mergeCell ref="A85:J85"/>
    <mergeCell ref="A86:J86"/>
    <mergeCell ref="A87:J87"/>
    <mergeCell ref="A81:J81"/>
    <mergeCell ref="A108:J108"/>
    <mergeCell ref="A106:J106"/>
    <mergeCell ref="A107:J107"/>
    <mergeCell ref="A96:J96"/>
    <mergeCell ref="A97:J97"/>
    <mergeCell ref="A98:J98"/>
    <mergeCell ref="A99:J99"/>
    <mergeCell ref="A103:J103"/>
    <mergeCell ref="A104:J104"/>
    <mergeCell ref="A105:J105"/>
    <mergeCell ref="A82:J82"/>
    <mergeCell ref="A83:J83"/>
    <mergeCell ref="A95:J95"/>
    <mergeCell ref="J14:K14"/>
    <mergeCell ref="E1:I1"/>
    <mergeCell ref="A88:J88"/>
    <mergeCell ref="A94:J94"/>
    <mergeCell ref="A77:J77"/>
    <mergeCell ref="A78:J78"/>
    <mergeCell ref="A79:J79"/>
    <mergeCell ref="A80:J80"/>
    <mergeCell ref="A27:Q27"/>
    <mergeCell ref="A69:Q69"/>
    <mergeCell ref="A73:J73"/>
    <mergeCell ref="A74:J74"/>
    <mergeCell ref="A75:J75"/>
    <mergeCell ref="A89:J89"/>
    <mergeCell ref="A90:J90"/>
    <mergeCell ref="A91:J91"/>
    <mergeCell ref="A92:J92"/>
    <mergeCell ref="A93:J93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54"/>
  <sheetViews>
    <sheetView showGridLines="0" topLeftCell="A118" zoomScaleNormal="100" zoomScaleSheetLayoutView="75" workbookViewId="0">
      <selection activeCell="E10" sqref="E10"/>
    </sheetView>
  </sheetViews>
  <sheetFormatPr defaultColWidth="9.140625" defaultRowHeight="12.75" outlineLevelRow="2" x14ac:dyDescent="0.2"/>
  <cols>
    <col min="1" max="1" width="3.28515625" style="11" customWidth="1"/>
    <col min="2" max="2" width="15.85546875" style="1" customWidth="1"/>
    <col min="3" max="3" width="34.28515625" style="8" customWidth="1"/>
    <col min="4" max="4" width="7.7109375" style="7" customWidth="1"/>
    <col min="5" max="5" width="10.28515625" style="94" customWidth="1"/>
    <col min="6" max="6" width="7.28515625" style="3" customWidth="1"/>
    <col min="7" max="10" width="6.7109375" style="3" customWidth="1"/>
    <col min="11" max="11" width="7.28515625" style="133" customWidth="1"/>
    <col min="12" max="15" width="6.7109375" style="3" customWidth="1"/>
    <col min="16" max="16" width="10.4257812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02"/>
      <c r="C1" s="101"/>
      <c r="D1" s="123"/>
      <c r="E1" s="174" t="s">
        <v>53</v>
      </c>
      <c r="F1" s="174"/>
      <c r="G1" s="174"/>
      <c r="H1" s="174"/>
      <c r="I1" s="174"/>
      <c r="J1" s="98"/>
      <c r="K1" s="125"/>
      <c r="L1" s="98"/>
      <c r="M1" s="2" t="s">
        <v>28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0"/>
      <c r="E2" s="100"/>
      <c r="F2" s="98"/>
      <c r="G2" s="122" t="s">
        <v>21</v>
      </c>
      <c r="H2" s="98"/>
      <c r="I2" s="98"/>
      <c r="J2" s="98"/>
      <c r="K2" s="125"/>
      <c r="L2" s="98"/>
      <c r="M2" s="5" t="s">
        <v>158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0"/>
      <c r="E3" s="100"/>
      <c r="F3" s="98"/>
      <c r="G3" s="122"/>
      <c r="H3" s="98"/>
      <c r="I3" s="98"/>
      <c r="J3" s="98"/>
      <c r="K3" s="125"/>
      <c r="L3" s="5"/>
      <c r="M3" s="5" t="s">
        <v>157</v>
      </c>
      <c r="N3" s="98"/>
      <c r="O3" s="98"/>
      <c r="P3" s="98"/>
      <c r="Q3"/>
      <c r="R3"/>
    </row>
    <row r="4" spans="1:18" outlineLevel="1" x14ac:dyDescent="0.2">
      <c r="A4" s="5" t="s">
        <v>156</v>
      </c>
      <c r="B4" s="102"/>
      <c r="C4" s="101"/>
      <c r="D4" s="100"/>
      <c r="E4" s="100"/>
      <c r="F4" s="98"/>
      <c r="G4" s="98"/>
      <c r="H4" s="98"/>
      <c r="I4" s="98"/>
      <c r="J4" s="98"/>
      <c r="K4" s="125"/>
      <c r="L4" s="98"/>
      <c r="M4" s="5" t="s">
        <v>156</v>
      </c>
      <c r="N4" s="98"/>
      <c r="O4" s="98"/>
      <c r="P4" s="98"/>
      <c r="Q4"/>
      <c r="R4"/>
    </row>
    <row r="5" spans="1:18" outlineLevel="1" x14ac:dyDescent="0.2">
      <c r="A5" s="5" t="s">
        <v>155</v>
      </c>
      <c r="B5" s="102"/>
      <c r="C5" s="101"/>
      <c r="D5" s="100"/>
      <c r="E5" s="100"/>
      <c r="F5" s="98"/>
      <c r="G5" s="98"/>
      <c r="H5" s="98"/>
      <c r="I5" s="98"/>
      <c r="J5" s="98"/>
      <c r="K5" s="125"/>
      <c r="L5" s="98"/>
      <c r="M5" s="5" t="s">
        <v>154</v>
      </c>
      <c r="N5" s="98"/>
      <c r="O5" s="98"/>
      <c r="P5" s="98"/>
      <c r="Q5"/>
      <c r="R5"/>
    </row>
    <row r="6" spans="1:18" outlineLevel="1" x14ac:dyDescent="0.2">
      <c r="A6" s="99"/>
      <c r="B6" s="102"/>
      <c r="C6" s="100"/>
      <c r="D6" s="4"/>
      <c r="E6" s="98"/>
      <c r="F6" s="98"/>
      <c r="G6" s="121" t="s">
        <v>934</v>
      </c>
      <c r="H6" s="121"/>
      <c r="I6" s="121"/>
      <c r="J6" s="98"/>
      <c r="K6" s="125"/>
      <c r="L6" s="98"/>
      <c r="M6" s="98"/>
      <c r="N6" s="98"/>
      <c r="O6" s="98"/>
      <c r="P6" s="98"/>
    </row>
    <row r="7" spans="1:18" x14ac:dyDescent="0.2">
      <c r="A7" s="99"/>
      <c r="B7" s="102"/>
      <c r="C7" s="100"/>
      <c r="D7" s="4"/>
      <c r="E7" s="98"/>
      <c r="F7" s="98"/>
      <c r="G7" s="99" t="s">
        <v>376</v>
      </c>
      <c r="H7" s="99"/>
      <c r="I7" s="99"/>
      <c r="J7" s="98"/>
      <c r="K7" s="125"/>
      <c r="L7" s="98"/>
      <c r="M7" s="98"/>
      <c r="N7" s="98"/>
      <c r="O7" s="98"/>
      <c r="P7" s="98"/>
    </row>
    <row r="8" spans="1:18" x14ac:dyDescent="0.2">
      <c r="A8" s="99"/>
      <c r="B8" s="102"/>
      <c r="C8" s="100"/>
      <c r="D8" s="4"/>
      <c r="E8" s="98"/>
      <c r="F8" s="98"/>
      <c r="G8" s="99"/>
      <c r="H8" s="99"/>
      <c r="I8" s="99"/>
      <c r="J8" s="98"/>
      <c r="K8" s="125"/>
      <c r="L8" s="98"/>
      <c r="M8" s="98"/>
      <c r="N8" s="98"/>
      <c r="O8" s="98"/>
      <c r="P8" s="98"/>
    </row>
    <row r="9" spans="1:18" x14ac:dyDescent="0.2">
      <c r="A9" s="99"/>
      <c r="B9" s="102"/>
      <c r="C9" s="117" t="s">
        <v>22</v>
      </c>
      <c r="D9" s="140" t="s">
        <v>933</v>
      </c>
      <c r="E9" s="139"/>
      <c r="F9" s="118"/>
      <c r="G9" s="118"/>
      <c r="H9" s="138"/>
      <c r="I9" s="118"/>
      <c r="J9" s="118"/>
      <c r="K9" s="126"/>
      <c r="L9" s="118"/>
      <c r="M9" s="118"/>
      <c r="N9" s="118"/>
      <c r="O9" s="98"/>
      <c r="P9" s="98"/>
      <c r="Q9" s="98"/>
    </row>
    <row r="10" spans="1:18" x14ac:dyDescent="0.2">
      <c r="A10" s="99"/>
      <c r="B10" s="102"/>
      <c r="C10" s="117"/>
      <c r="D10" s="137"/>
      <c r="E10" s="142" t="s">
        <v>932</v>
      </c>
      <c r="F10" s="142"/>
      <c r="G10" s="142"/>
      <c r="H10" s="142"/>
      <c r="I10" s="142"/>
      <c r="J10" s="142"/>
      <c r="K10" s="159"/>
      <c r="L10" s="113"/>
      <c r="M10" s="98"/>
      <c r="N10" s="98"/>
      <c r="O10" s="98"/>
      <c r="P10" s="98"/>
      <c r="Q10" s="98"/>
    </row>
    <row r="11" spans="1:18" x14ac:dyDescent="0.2">
      <c r="A11" s="99"/>
      <c r="B11" s="102"/>
      <c r="C11" s="101"/>
      <c r="D11" s="100"/>
      <c r="E11" s="116"/>
      <c r="F11" s="114"/>
      <c r="G11" s="114"/>
      <c r="H11" s="115" t="s">
        <v>149</v>
      </c>
      <c r="I11" s="115"/>
      <c r="J11" s="114"/>
      <c r="K11" s="127"/>
      <c r="L11" s="98"/>
      <c r="M11" s="98"/>
      <c r="N11" s="98"/>
      <c r="O11" s="98"/>
      <c r="P11" s="98"/>
      <c r="Q11" s="98"/>
    </row>
    <row r="12" spans="1:18" x14ac:dyDescent="0.2">
      <c r="A12" s="112"/>
      <c r="B12" s="111"/>
      <c r="C12" s="100"/>
      <c r="D12" s="4"/>
      <c r="E12" s="98"/>
      <c r="F12" s="98"/>
      <c r="G12" s="98"/>
      <c r="H12" s="98"/>
      <c r="I12" s="98"/>
      <c r="J12" s="98"/>
      <c r="K12" s="125"/>
      <c r="L12" s="98"/>
      <c r="M12" s="98"/>
      <c r="N12" s="98"/>
      <c r="O12" s="98"/>
      <c r="P12" s="98"/>
    </row>
    <row r="13" spans="1:18" x14ac:dyDescent="0.2">
      <c r="A13" s="99"/>
      <c r="B13" s="102"/>
      <c r="C13" s="100"/>
      <c r="D13" s="95" t="s">
        <v>931</v>
      </c>
      <c r="E13" s="98"/>
      <c r="F13" s="98"/>
      <c r="G13" s="98"/>
      <c r="H13" s="95"/>
      <c r="I13" s="95"/>
      <c r="J13" s="95"/>
      <c r="K13" s="125"/>
      <c r="L13" s="98"/>
      <c r="M13" s="98"/>
      <c r="N13" s="110" t="s">
        <v>147</v>
      </c>
      <c r="O13" s="108"/>
      <c r="P13" s="108"/>
      <c r="Q13" s="98"/>
    </row>
    <row r="14" spans="1:18" x14ac:dyDescent="0.2">
      <c r="A14" s="99"/>
      <c r="B14" s="102"/>
      <c r="C14" s="100"/>
      <c r="D14" s="95" t="s">
        <v>51</v>
      </c>
      <c r="E14" s="98"/>
      <c r="F14" s="98"/>
      <c r="G14" s="98"/>
      <c r="H14" s="95"/>
      <c r="I14" s="95"/>
      <c r="J14" s="175" t="s">
        <v>930</v>
      </c>
      <c r="K14" s="176"/>
      <c r="L14" s="5" t="s">
        <v>139</v>
      </c>
      <c r="M14" s="98"/>
      <c r="N14" s="109" t="s">
        <v>145</v>
      </c>
      <c r="O14" s="108"/>
      <c r="P14" s="107">
        <f>P15+P16+P17</f>
        <v>3365.6775200000002</v>
      </c>
    </row>
    <row r="15" spans="1:18" outlineLevel="1" x14ac:dyDescent="0.2">
      <c r="A15" s="99"/>
      <c r="B15" s="102"/>
      <c r="C15" s="100"/>
      <c r="D15" s="95" t="s">
        <v>52</v>
      </c>
      <c r="E15" s="98"/>
      <c r="F15" s="98"/>
      <c r="G15" s="98"/>
      <c r="H15" s="95"/>
      <c r="I15" s="95"/>
      <c r="J15" s="175" t="s">
        <v>929</v>
      </c>
      <c r="K15" s="176"/>
      <c r="L15" s="5" t="s">
        <v>139</v>
      </c>
      <c r="M15" s="98"/>
      <c r="N15" s="109" t="s">
        <v>138</v>
      </c>
      <c r="O15" s="108"/>
      <c r="P15" s="107">
        <f>382.158*5.56</f>
        <v>2124.7984799999999</v>
      </c>
    </row>
    <row r="16" spans="1:18" outlineLevel="1" x14ac:dyDescent="0.2">
      <c r="A16" s="99"/>
      <c r="B16" s="102"/>
      <c r="C16" s="100"/>
      <c r="D16" s="95" t="s">
        <v>372</v>
      </c>
      <c r="E16" s="98"/>
      <c r="F16" s="98"/>
      <c r="G16" s="98"/>
      <c r="H16" s="95"/>
      <c r="I16" s="95"/>
      <c r="J16" s="175" t="s">
        <v>928</v>
      </c>
      <c r="K16" s="176"/>
      <c r="L16" s="5" t="s">
        <v>139</v>
      </c>
      <c r="M16" s="98"/>
      <c r="N16" s="109" t="s">
        <v>370</v>
      </c>
      <c r="O16" s="108"/>
      <c r="P16" s="107">
        <f>9.32*12.394</f>
        <v>115.51208000000001</v>
      </c>
    </row>
    <row r="17" spans="1:17" outlineLevel="1" x14ac:dyDescent="0.2">
      <c r="A17" s="99"/>
      <c r="B17" s="102"/>
      <c r="C17" s="100"/>
      <c r="D17" s="95" t="s">
        <v>20</v>
      </c>
      <c r="E17" s="98"/>
      <c r="F17" s="98"/>
      <c r="G17" s="98"/>
      <c r="H17" s="95"/>
      <c r="I17" s="95"/>
      <c r="J17" s="175" t="s">
        <v>927</v>
      </c>
      <c r="K17" s="176"/>
      <c r="L17" s="5" t="s">
        <v>139</v>
      </c>
      <c r="M17" s="98"/>
      <c r="N17" s="109" t="s">
        <v>142</v>
      </c>
      <c r="O17" s="108"/>
      <c r="P17" s="107">
        <f>4.19*268.584</f>
        <v>1125.3669600000001</v>
      </c>
    </row>
    <row r="18" spans="1:17" x14ac:dyDescent="0.2">
      <c r="A18" s="99"/>
      <c r="B18" s="102"/>
      <c r="C18" s="100"/>
      <c r="D18" s="95" t="s">
        <v>141</v>
      </c>
      <c r="E18" s="98"/>
      <c r="F18" s="98"/>
      <c r="G18" s="98"/>
      <c r="H18" s="95"/>
      <c r="I18" s="95"/>
      <c r="J18" s="175" t="s">
        <v>926</v>
      </c>
      <c r="K18" s="176"/>
      <c r="L18" s="5" t="s">
        <v>139</v>
      </c>
      <c r="M18" s="98"/>
      <c r="N18" s="109" t="s">
        <v>138</v>
      </c>
      <c r="O18" s="108"/>
      <c r="P18" s="107">
        <f>5.56*49.459</f>
        <v>274.99203999999997</v>
      </c>
    </row>
    <row r="19" spans="1:17" outlineLevel="1" x14ac:dyDescent="0.2">
      <c r="A19" s="99"/>
      <c r="B19" s="102"/>
      <c r="C19" s="100"/>
      <c r="D19" s="95" t="s">
        <v>49</v>
      </c>
      <c r="E19" s="98"/>
      <c r="F19" s="98"/>
      <c r="G19" s="98"/>
      <c r="H19" s="95"/>
      <c r="I19" s="95"/>
      <c r="J19" s="175" t="s">
        <v>925</v>
      </c>
      <c r="K19" s="176"/>
      <c r="L19" s="5" t="s">
        <v>50</v>
      </c>
      <c r="M19" s="98"/>
      <c r="N19" s="109"/>
      <c r="O19" s="108"/>
      <c r="P19" s="107"/>
    </row>
    <row r="20" spans="1:17" s="135" customFormat="1" outlineLevel="1" x14ac:dyDescent="0.2">
      <c r="A20" s="106"/>
      <c r="B20" s="105"/>
      <c r="C20" s="104"/>
      <c r="D20" s="95" t="s">
        <v>366</v>
      </c>
      <c r="E20" s="95"/>
      <c r="F20" s="95"/>
      <c r="G20" s="95"/>
      <c r="H20" s="95"/>
      <c r="I20" s="95"/>
      <c r="J20" s="95"/>
      <c r="K20" s="141">
        <f>K147/1000</f>
        <v>271.20100000000002</v>
      </c>
      <c r="L20" s="95" t="s">
        <v>365</v>
      </c>
      <c r="M20" s="96"/>
      <c r="N20" s="109" t="s">
        <v>138</v>
      </c>
      <c r="O20" s="136"/>
      <c r="P20" s="107">
        <f>K20*5.56</f>
        <v>1507.8775599999999</v>
      </c>
    </row>
    <row r="21" spans="1:17" customFormat="1" x14ac:dyDescent="0.2">
      <c r="A21" s="106"/>
      <c r="B21" s="105"/>
      <c r="C21" s="104"/>
      <c r="D21" s="103" t="s">
        <v>136</v>
      </c>
      <c r="E21" s="95"/>
      <c r="F21" s="95"/>
      <c r="G21" s="95"/>
      <c r="H21" s="95"/>
      <c r="I21" s="95"/>
      <c r="J21" s="95"/>
      <c r="K21" s="128"/>
      <c r="L21" s="95"/>
      <c r="M21" s="96"/>
      <c r="N21" s="96"/>
      <c r="O21" s="96"/>
      <c r="P21" s="96"/>
    </row>
    <row r="22" spans="1:17" x14ac:dyDescent="0.2">
      <c r="A22" s="99"/>
      <c r="B22" s="102"/>
      <c r="C22" s="101"/>
      <c r="D22" s="100"/>
      <c r="E22" s="99"/>
      <c r="F22" s="98"/>
      <c r="G22" s="98"/>
      <c r="H22" s="98"/>
      <c r="I22" s="98"/>
      <c r="J22" s="98"/>
      <c r="K22" s="125"/>
      <c r="L22" s="98"/>
      <c r="M22" s="98"/>
      <c r="N22" s="98"/>
      <c r="O22" s="98"/>
      <c r="P22" s="98"/>
    </row>
    <row r="23" spans="1:17" ht="19.5" customHeight="1" x14ac:dyDescent="0.2">
      <c r="A23" s="161" t="s">
        <v>23</v>
      </c>
      <c r="B23" s="171" t="s">
        <v>135</v>
      </c>
      <c r="C23" s="161" t="s">
        <v>134</v>
      </c>
      <c r="D23" s="161" t="s">
        <v>24</v>
      </c>
      <c r="E23" s="161" t="s">
        <v>25</v>
      </c>
      <c r="F23" s="161" t="s">
        <v>133</v>
      </c>
      <c r="G23" s="165"/>
      <c r="H23" s="165"/>
      <c r="I23" s="165"/>
      <c r="J23" s="161" t="s">
        <v>132</v>
      </c>
      <c r="K23" s="162"/>
      <c r="L23" s="162"/>
      <c r="M23" s="162"/>
      <c r="N23" s="162"/>
      <c r="O23" s="161" t="s">
        <v>131</v>
      </c>
      <c r="P23" s="161" t="s">
        <v>130</v>
      </c>
      <c r="Q23" s="169" t="s">
        <v>129</v>
      </c>
    </row>
    <row r="24" spans="1:17" ht="18.75" customHeight="1" x14ac:dyDescent="0.2">
      <c r="A24" s="165"/>
      <c r="B24" s="172"/>
      <c r="C24" s="170"/>
      <c r="D24" s="161"/>
      <c r="E24" s="161"/>
      <c r="F24" s="161" t="s">
        <v>26</v>
      </c>
      <c r="G24" s="161" t="s">
        <v>127</v>
      </c>
      <c r="H24" s="165"/>
      <c r="I24" s="165"/>
      <c r="J24" s="161" t="s">
        <v>128</v>
      </c>
      <c r="K24" s="163" t="s">
        <v>26</v>
      </c>
      <c r="L24" s="161" t="s">
        <v>127</v>
      </c>
      <c r="M24" s="165"/>
      <c r="N24" s="165"/>
      <c r="O24" s="161"/>
      <c r="P24" s="161"/>
      <c r="Q24" s="169"/>
    </row>
    <row r="25" spans="1:17" ht="22.5" customHeight="1" x14ac:dyDescent="0.2">
      <c r="A25" s="165"/>
      <c r="B25" s="172"/>
      <c r="C25" s="170"/>
      <c r="D25" s="161"/>
      <c r="E25" s="161"/>
      <c r="F25" s="165"/>
      <c r="G25" s="147" t="s">
        <v>126</v>
      </c>
      <c r="H25" s="147" t="s">
        <v>125</v>
      </c>
      <c r="I25" s="147" t="s">
        <v>124</v>
      </c>
      <c r="J25" s="170"/>
      <c r="K25" s="164"/>
      <c r="L25" s="147" t="s">
        <v>126</v>
      </c>
      <c r="M25" s="147" t="s">
        <v>125</v>
      </c>
      <c r="N25" s="147" t="s">
        <v>124</v>
      </c>
      <c r="O25" s="161"/>
      <c r="P25" s="161"/>
      <c r="Q25" s="169"/>
    </row>
    <row r="26" spans="1:17" x14ac:dyDescent="0.2">
      <c r="A26" s="6">
        <v>1</v>
      </c>
      <c r="B26" s="148">
        <v>2</v>
      </c>
      <c r="C26" s="147">
        <v>3</v>
      </c>
      <c r="D26" s="147">
        <v>4</v>
      </c>
      <c r="E26" s="91">
        <v>5</v>
      </c>
      <c r="F26" s="149">
        <v>6</v>
      </c>
      <c r="G26" s="149">
        <v>7</v>
      </c>
      <c r="H26" s="149">
        <v>8</v>
      </c>
      <c r="I26" s="149">
        <v>9</v>
      </c>
      <c r="J26" s="149">
        <v>10</v>
      </c>
      <c r="K26" s="150">
        <v>11</v>
      </c>
      <c r="L26" s="149">
        <v>12</v>
      </c>
      <c r="M26" s="149">
        <v>13</v>
      </c>
      <c r="N26" s="149">
        <v>14</v>
      </c>
      <c r="O26" s="149">
        <v>15</v>
      </c>
      <c r="P26" s="149">
        <v>16</v>
      </c>
      <c r="Q26" s="149">
        <v>17</v>
      </c>
    </row>
    <row r="27" spans="1:17" x14ac:dyDescent="0.2">
      <c r="A27" s="166" t="s">
        <v>123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</row>
    <row r="28" spans="1:17" ht="24" x14ac:dyDescent="0.2">
      <c r="A28" s="6">
        <v>1</v>
      </c>
      <c r="B28" s="92" t="s">
        <v>106</v>
      </c>
      <c r="C28" s="146" t="s">
        <v>481</v>
      </c>
      <c r="D28" s="91" t="s">
        <v>29</v>
      </c>
      <c r="E28" s="97">
        <v>2</v>
      </c>
      <c r="F28" s="12"/>
      <c r="G28" s="12"/>
      <c r="H28" s="12"/>
      <c r="I28" s="12"/>
      <c r="J28" s="12">
        <v>877</v>
      </c>
      <c r="K28" s="129">
        <v>877</v>
      </c>
      <c r="L28" s="12"/>
      <c r="M28" s="12"/>
      <c r="N28" s="12"/>
      <c r="O28" s="12"/>
      <c r="P28" s="12"/>
      <c r="Q28" s="12"/>
    </row>
    <row r="29" spans="1:17" ht="24" x14ac:dyDescent="0.2">
      <c r="A29" s="6">
        <v>2</v>
      </c>
      <c r="B29" s="92" t="s">
        <v>470</v>
      </c>
      <c r="C29" s="146" t="s">
        <v>480</v>
      </c>
      <c r="D29" s="91" t="s">
        <v>29</v>
      </c>
      <c r="E29" s="97">
        <v>2</v>
      </c>
      <c r="F29" s="89">
        <v>64.92</v>
      </c>
      <c r="G29" s="89">
        <v>57.52</v>
      </c>
      <c r="H29" s="89">
        <v>0.37</v>
      </c>
      <c r="I29" s="12"/>
      <c r="J29" s="12"/>
      <c r="K29" s="129">
        <v>130</v>
      </c>
      <c r="L29" s="12">
        <v>115</v>
      </c>
      <c r="M29" s="12">
        <v>1</v>
      </c>
      <c r="N29" s="12"/>
      <c r="O29" s="12">
        <v>4</v>
      </c>
      <c r="P29" s="12">
        <v>8</v>
      </c>
      <c r="Q29" s="12"/>
    </row>
    <row r="30" spans="1:17" ht="24" x14ac:dyDescent="0.2">
      <c r="A30" s="6">
        <v>3</v>
      </c>
      <c r="B30" s="92" t="s">
        <v>106</v>
      </c>
      <c r="C30" s="146" t="s">
        <v>837</v>
      </c>
      <c r="D30" s="91" t="s">
        <v>29</v>
      </c>
      <c r="E30" s="97">
        <v>1</v>
      </c>
      <c r="F30" s="12"/>
      <c r="G30" s="12"/>
      <c r="H30" s="12"/>
      <c r="I30" s="12"/>
      <c r="J30" s="12">
        <v>5058</v>
      </c>
      <c r="K30" s="129">
        <v>5058</v>
      </c>
      <c r="L30" s="12"/>
      <c r="M30" s="12"/>
      <c r="N30" s="12"/>
      <c r="O30" s="12"/>
      <c r="P30" s="12"/>
      <c r="Q30" s="12"/>
    </row>
    <row r="31" spans="1:17" ht="24" x14ac:dyDescent="0.2">
      <c r="A31" s="6">
        <v>4</v>
      </c>
      <c r="B31" s="92" t="s">
        <v>360</v>
      </c>
      <c r="C31" s="146" t="s">
        <v>359</v>
      </c>
      <c r="D31" s="91" t="s">
        <v>29</v>
      </c>
      <c r="E31" s="97">
        <v>1</v>
      </c>
      <c r="F31" s="89">
        <v>256.7</v>
      </c>
      <c r="G31" s="89">
        <v>157.76</v>
      </c>
      <c r="H31" s="89">
        <v>33.83</v>
      </c>
      <c r="I31" s="89">
        <v>6.87</v>
      </c>
      <c r="J31" s="12"/>
      <c r="K31" s="129">
        <v>257</v>
      </c>
      <c r="L31" s="12">
        <v>158</v>
      </c>
      <c r="M31" s="12">
        <v>34</v>
      </c>
      <c r="N31" s="12">
        <v>7</v>
      </c>
      <c r="O31" s="12">
        <v>10.1</v>
      </c>
      <c r="P31" s="12">
        <v>10.1</v>
      </c>
      <c r="Q31" s="12"/>
    </row>
    <row r="32" spans="1:17" x14ac:dyDescent="0.2">
      <c r="A32" s="6">
        <v>5</v>
      </c>
      <c r="B32" s="92" t="s">
        <v>106</v>
      </c>
      <c r="C32" s="146" t="s">
        <v>924</v>
      </c>
      <c r="D32" s="91" t="s">
        <v>33</v>
      </c>
      <c r="E32" s="97">
        <v>2</v>
      </c>
      <c r="F32" s="89">
        <v>307.13</v>
      </c>
      <c r="G32" s="12"/>
      <c r="H32" s="12"/>
      <c r="I32" s="12"/>
      <c r="J32" s="12"/>
      <c r="K32" s="129">
        <v>614</v>
      </c>
      <c r="L32" s="12"/>
      <c r="M32" s="12"/>
      <c r="N32" s="12"/>
      <c r="O32" s="12"/>
      <c r="P32" s="12"/>
      <c r="Q32" s="12"/>
    </row>
    <row r="33" spans="1:17" ht="24" x14ac:dyDescent="0.2">
      <c r="A33" s="6">
        <v>6</v>
      </c>
      <c r="B33" s="92" t="s">
        <v>106</v>
      </c>
      <c r="C33" s="146" t="s">
        <v>923</v>
      </c>
      <c r="D33" s="91" t="s">
        <v>29</v>
      </c>
      <c r="E33" s="90">
        <v>2</v>
      </c>
      <c r="F33" s="12"/>
      <c r="G33" s="12"/>
      <c r="H33" s="12"/>
      <c r="I33" s="12"/>
      <c r="J33" s="12">
        <v>194</v>
      </c>
      <c r="K33" s="129">
        <v>194</v>
      </c>
      <c r="L33" s="12"/>
      <c r="M33" s="12"/>
      <c r="N33" s="12"/>
      <c r="O33" s="12"/>
      <c r="P33" s="12"/>
      <c r="Q33" s="12"/>
    </row>
    <row r="34" spans="1:17" ht="24" x14ac:dyDescent="0.2">
      <c r="A34" s="6">
        <v>7</v>
      </c>
      <c r="B34" s="92" t="s">
        <v>106</v>
      </c>
      <c r="C34" s="146" t="s">
        <v>922</v>
      </c>
      <c r="D34" s="91" t="s">
        <v>29</v>
      </c>
      <c r="E34" s="90">
        <v>9</v>
      </c>
      <c r="F34" s="12"/>
      <c r="G34" s="12"/>
      <c r="H34" s="12"/>
      <c r="I34" s="12"/>
      <c r="J34" s="12">
        <v>2915</v>
      </c>
      <c r="K34" s="129">
        <v>2915</v>
      </c>
      <c r="L34" s="12"/>
      <c r="M34" s="12"/>
      <c r="N34" s="12"/>
      <c r="O34" s="12"/>
      <c r="P34" s="12"/>
      <c r="Q34" s="12"/>
    </row>
    <row r="35" spans="1:17" ht="15" customHeight="1" x14ac:dyDescent="0.2">
      <c r="A35" s="6">
        <v>8</v>
      </c>
      <c r="B35" s="92" t="s">
        <v>470</v>
      </c>
      <c r="C35" s="146" t="s">
        <v>921</v>
      </c>
      <c r="D35" s="91" t="s">
        <v>29</v>
      </c>
      <c r="E35" s="90">
        <v>10</v>
      </c>
      <c r="F35" s="89">
        <v>64.92</v>
      </c>
      <c r="G35" s="89">
        <v>57.52</v>
      </c>
      <c r="H35" s="89">
        <v>0.37</v>
      </c>
      <c r="I35" s="12"/>
      <c r="J35" s="12"/>
      <c r="K35" s="129">
        <v>649</v>
      </c>
      <c r="L35" s="12">
        <v>575</v>
      </c>
      <c r="M35" s="12">
        <v>4</v>
      </c>
      <c r="N35" s="12"/>
      <c r="O35" s="12">
        <v>4</v>
      </c>
      <c r="P35" s="12">
        <v>40</v>
      </c>
      <c r="Q35" s="12"/>
    </row>
    <row r="36" spans="1:17" ht="24" x14ac:dyDescent="0.2">
      <c r="A36" s="6">
        <v>9</v>
      </c>
      <c r="B36" s="92" t="s">
        <v>106</v>
      </c>
      <c r="C36" s="146" t="s">
        <v>483</v>
      </c>
      <c r="D36" s="91" t="s">
        <v>29</v>
      </c>
      <c r="E36" s="90">
        <v>2</v>
      </c>
      <c r="F36" s="12"/>
      <c r="G36" s="12"/>
      <c r="H36" s="12"/>
      <c r="I36" s="12"/>
      <c r="J36" s="12">
        <v>2631</v>
      </c>
      <c r="K36" s="129">
        <v>2631</v>
      </c>
      <c r="L36" s="12"/>
      <c r="M36" s="12"/>
      <c r="N36" s="12"/>
      <c r="O36" s="12"/>
      <c r="P36" s="12"/>
      <c r="Q36" s="12"/>
    </row>
    <row r="37" spans="1:17" ht="24" x14ac:dyDescent="0.2">
      <c r="A37" s="6">
        <v>10</v>
      </c>
      <c r="B37" s="92" t="s">
        <v>470</v>
      </c>
      <c r="C37" s="146" t="s">
        <v>482</v>
      </c>
      <c r="D37" s="91" t="s">
        <v>29</v>
      </c>
      <c r="E37" s="97">
        <v>1</v>
      </c>
      <c r="F37" s="89">
        <v>64.92</v>
      </c>
      <c r="G37" s="89">
        <v>57.52</v>
      </c>
      <c r="H37" s="89">
        <v>0.37</v>
      </c>
      <c r="I37" s="12"/>
      <c r="J37" s="12"/>
      <c r="K37" s="129">
        <v>65</v>
      </c>
      <c r="L37" s="12">
        <v>58</v>
      </c>
      <c r="M37" s="12"/>
      <c r="N37" s="12"/>
      <c r="O37" s="12">
        <v>4</v>
      </c>
      <c r="P37" s="12">
        <v>4</v>
      </c>
      <c r="Q37" s="12"/>
    </row>
    <row r="38" spans="1:17" ht="24" x14ac:dyDescent="0.2">
      <c r="A38" s="6">
        <v>11</v>
      </c>
      <c r="B38" s="92" t="s">
        <v>106</v>
      </c>
      <c r="C38" s="146" t="s">
        <v>838</v>
      </c>
      <c r="D38" s="91" t="s">
        <v>29</v>
      </c>
      <c r="E38" s="90">
        <v>9</v>
      </c>
      <c r="F38" s="12"/>
      <c r="G38" s="12"/>
      <c r="H38" s="12"/>
      <c r="I38" s="12"/>
      <c r="J38" s="12">
        <v>1974</v>
      </c>
      <c r="K38" s="129">
        <v>1974</v>
      </c>
      <c r="L38" s="12"/>
      <c r="M38" s="12"/>
      <c r="N38" s="12"/>
      <c r="O38" s="12"/>
      <c r="P38" s="12"/>
      <c r="Q38" s="12"/>
    </row>
    <row r="39" spans="1:17" ht="24" x14ac:dyDescent="0.2">
      <c r="A39" s="6">
        <v>12</v>
      </c>
      <c r="B39" s="92" t="s">
        <v>470</v>
      </c>
      <c r="C39" s="146" t="s">
        <v>920</v>
      </c>
      <c r="D39" s="91" t="s">
        <v>29</v>
      </c>
      <c r="E39" s="97">
        <v>8</v>
      </c>
      <c r="F39" s="89">
        <v>64.92</v>
      </c>
      <c r="G39" s="89">
        <v>57.52</v>
      </c>
      <c r="H39" s="89">
        <v>0.37</v>
      </c>
      <c r="I39" s="12"/>
      <c r="J39" s="12"/>
      <c r="K39" s="129">
        <v>519</v>
      </c>
      <c r="L39" s="12">
        <v>460</v>
      </c>
      <c r="M39" s="12">
        <v>3</v>
      </c>
      <c r="N39" s="12"/>
      <c r="O39" s="12">
        <v>4</v>
      </c>
      <c r="P39" s="12">
        <v>32</v>
      </c>
      <c r="Q39" s="12"/>
    </row>
    <row r="40" spans="1:17" ht="25.9" customHeight="1" x14ac:dyDescent="0.2">
      <c r="A40" s="6">
        <v>13</v>
      </c>
      <c r="B40" s="92" t="s">
        <v>106</v>
      </c>
      <c r="C40" s="146" t="s">
        <v>919</v>
      </c>
      <c r="D40" s="91" t="s">
        <v>33</v>
      </c>
      <c r="E40" s="90">
        <v>48</v>
      </c>
      <c r="F40" s="89">
        <v>99.07</v>
      </c>
      <c r="G40" s="12"/>
      <c r="H40" s="12"/>
      <c r="I40" s="12"/>
      <c r="J40" s="12"/>
      <c r="K40" s="129">
        <v>4755</v>
      </c>
      <c r="L40" s="12"/>
      <c r="M40" s="12"/>
      <c r="N40" s="12"/>
      <c r="O40" s="12"/>
      <c r="P40" s="12"/>
      <c r="Q40" s="12"/>
    </row>
    <row r="41" spans="1:17" ht="24" x14ac:dyDescent="0.2">
      <c r="A41" s="6">
        <v>14</v>
      </c>
      <c r="B41" s="92" t="s">
        <v>868</v>
      </c>
      <c r="C41" s="146" t="s">
        <v>918</v>
      </c>
      <c r="D41" s="91" t="s">
        <v>29</v>
      </c>
      <c r="E41" s="97">
        <v>44</v>
      </c>
      <c r="F41" s="89">
        <v>118.78</v>
      </c>
      <c r="G41" s="89">
        <v>108.98</v>
      </c>
      <c r="H41" s="89">
        <v>0.37</v>
      </c>
      <c r="I41" s="12"/>
      <c r="J41" s="12"/>
      <c r="K41" s="129">
        <v>5226</v>
      </c>
      <c r="L41" s="12">
        <v>4795</v>
      </c>
      <c r="M41" s="12">
        <v>16</v>
      </c>
      <c r="N41" s="12"/>
      <c r="O41" s="12">
        <v>7.92</v>
      </c>
      <c r="P41" s="12">
        <v>348.48</v>
      </c>
      <c r="Q41" s="12"/>
    </row>
    <row r="42" spans="1:17" ht="24" x14ac:dyDescent="0.2">
      <c r="A42" s="6">
        <v>15</v>
      </c>
      <c r="B42" s="92" t="s">
        <v>106</v>
      </c>
      <c r="C42" s="146" t="s">
        <v>917</v>
      </c>
      <c r="D42" s="91" t="s">
        <v>35</v>
      </c>
      <c r="E42" s="90">
        <v>1880</v>
      </c>
      <c r="F42" s="89">
        <v>54.87</v>
      </c>
      <c r="G42" s="12"/>
      <c r="H42" s="12"/>
      <c r="I42" s="12"/>
      <c r="J42" s="12"/>
      <c r="K42" s="129">
        <v>103156</v>
      </c>
      <c r="L42" s="12"/>
      <c r="M42" s="12"/>
      <c r="N42" s="12"/>
      <c r="O42" s="12"/>
      <c r="P42" s="12"/>
      <c r="Q42" s="12"/>
    </row>
    <row r="43" spans="1:17" ht="24.6" customHeight="1" x14ac:dyDescent="0.2">
      <c r="A43" s="6">
        <v>16</v>
      </c>
      <c r="B43" s="92" t="s">
        <v>916</v>
      </c>
      <c r="C43" s="146" t="s">
        <v>915</v>
      </c>
      <c r="D43" s="91" t="s">
        <v>34</v>
      </c>
      <c r="E43" s="90">
        <v>17.100000000000001</v>
      </c>
      <c r="F43" s="89">
        <v>896.52</v>
      </c>
      <c r="G43" s="89">
        <v>201.77</v>
      </c>
      <c r="H43" s="89">
        <v>64.430000000000007</v>
      </c>
      <c r="I43" s="89">
        <v>10.62</v>
      </c>
      <c r="J43" s="12"/>
      <c r="K43" s="129">
        <v>15330</v>
      </c>
      <c r="L43" s="12">
        <v>3450</v>
      </c>
      <c r="M43" s="12">
        <v>1102</v>
      </c>
      <c r="N43" s="12">
        <v>182</v>
      </c>
      <c r="O43" s="12">
        <v>16.8</v>
      </c>
      <c r="P43" s="12">
        <v>287.27999999999997</v>
      </c>
      <c r="Q43" s="12"/>
    </row>
    <row r="44" spans="1:17" ht="36" x14ac:dyDescent="0.2">
      <c r="A44" s="6">
        <v>17</v>
      </c>
      <c r="B44" s="92" t="s">
        <v>106</v>
      </c>
      <c r="C44" s="146" t="s">
        <v>914</v>
      </c>
      <c r="D44" s="91" t="s">
        <v>33</v>
      </c>
      <c r="E44" s="97">
        <v>650</v>
      </c>
      <c r="F44" s="89">
        <v>0.14000000000000001</v>
      </c>
      <c r="G44" s="12"/>
      <c r="H44" s="12"/>
      <c r="I44" s="12"/>
      <c r="J44" s="12"/>
      <c r="K44" s="129">
        <v>91</v>
      </c>
      <c r="L44" s="12"/>
      <c r="M44" s="12"/>
      <c r="N44" s="12"/>
      <c r="O44" s="12"/>
      <c r="P44" s="12"/>
      <c r="Q44" s="12"/>
    </row>
    <row r="45" spans="1:17" ht="24" x14ac:dyDescent="0.2">
      <c r="A45" s="6">
        <v>18</v>
      </c>
      <c r="B45" s="92" t="s">
        <v>106</v>
      </c>
      <c r="C45" s="146" t="s">
        <v>913</v>
      </c>
      <c r="D45" s="91" t="s">
        <v>33</v>
      </c>
      <c r="E45" s="90">
        <v>14</v>
      </c>
      <c r="F45" s="89">
        <v>99.07</v>
      </c>
      <c r="G45" s="12"/>
      <c r="H45" s="12"/>
      <c r="I45" s="12"/>
      <c r="J45" s="12"/>
      <c r="K45" s="129">
        <v>1387</v>
      </c>
      <c r="L45" s="12"/>
      <c r="M45" s="12"/>
      <c r="N45" s="12"/>
      <c r="O45" s="12"/>
      <c r="P45" s="12"/>
      <c r="Q45" s="12"/>
    </row>
    <row r="46" spans="1:17" ht="24" x14ac:dyDescent="0.2">
      <c r="A46" s="6">
        <v>19</v>
      </c>
      <c r="B46" s="92" t="s">
        <v>333</v>
      </c>
      <c r="C46" s="146" t="s">
        <v>337</v>
      </c>
      <c r="D46" s="91" t="s">
        <v>29</v>
      </c>
      <c r="E46" s="97">
        <v>13</v>
      </c>
      <c r="F46" s="89">
        <v>13.89</v>
      </c>
      <c r="G46" s="89">
        <v>12.78</v>
      </c>
      <c r="H46" s="12"/>
      <c r="I46" s="12"/>
      <c r="J46" s="12"/>
      <c r="K46" s="129">
        <v>181</v>
      </c>
      <c r="L46" s="12">
        <v>166</v>
      </c>
      <c r="M46" s="12"/>
      <c r="N46" s="12"/>
      <c r="O46" s="12">
        <v>1</v>
      </c>
      <c r="P46" s="12">
        <v>13</v>
      </c>
      <c r="Q46" s="12"/>
    </row>
    <row r="47" spans="1:17" ht="24" x14ac:dyDescent="0.2">
      <c r="A47" s="6">
        <v>20</v>
      </c>
      <c r="B47" s="92" t="s">
        <v>106</v>
      </c>
      <c r="C47" s="146" t="s">
        <v>336</v>
      </c>
      <c r="D47" s="91" t="s">
        <v>33</v>
      </c>
      <c r="E47" s="90">
        <v>12</v>
      </c>
      <c r="F47" s="89">
        <v>25.15</v>
      </c>
      <c r="G47" s="12"/>
      <c r="H47" s="12"/>
      <c r="I47" s="12"/>
      <c r="J47" s="12"/>
      <c r="K47" s="129">
        <v>302</v>
      </c>
      <c r="L47" s="12"/>
      <c r="M47" s="12"/>
      <c r="N47" s="12"/>
      <c r="O47" s="12"/>
      <c r="P47" s="12"/>
      <c r="Q47" s="12"/>
    </row>
    <row r="48" spans="1:17" ht="24" x14ac:dyDescent="0.2">
      <c r="A48" s="6">
        <v>21</v>
      </c>
      <c r="B48" s="92" t="s">
        <v>330</v>
      </c>
      <c r="C48" s="146" t="s">
        <v>335</v>
      </c>
      <c r="D48" s="91" t="s">
        <v>29</v>
      </c>
      <c r="E48" s="97">
        <v>11</v>
      </c>
      <c r="F48" s="89">
        <v>98.76</v>
      </c>
      <c r="G48" s="89">
        <v>74.88</v>
      </c>
      <c r="H48" s="12"/>
      <c r="I48" s="12"/>
      <c r="J48" s="12"/>
      <c r="K48" s="129">
        <v>1086</v>
      </c>
      <c r="L48" s="12">
        <v>824</v>
      </c>
      <c r="M48" s="12"/>
      <c r="N48" s="12"/>
      <c r="O48" s="12">
        <v>6</v>
      </c>
      <c r="P48" s="12">
        <v>66</v>
      </c>
      <c r="Q48" s="12"/>
    </row>
    <row r="49" spans="1:17" ht="24" x14ac:dyDescent="0.2">
      <c r="A49" s="6">
        <v>22</v>
      </c>
      <c r="B49" s="92" t="s">
        <v>106</v>
      </c>
      <c r="C49" s="146" t="s">
        <v>334</v>
      </c>
      <c r="D49" s="91" t="s">
        <v>33</v>
      </c>
      <c r="E49" s="90">
        <v>17</v>
      </c>
      <c r="F49" s="89">
        <v>22.86</v>
      </c>
      <c r="G49" s="12"/>
      <c r="H49" s="12"/>
      <c r="I49" s="12"/>
      <c r="J49" s="12"/>
      <c r="K49" s="129">
        <v>389</v>
      </c>
      <c r="L49" s="12"/>
      <c r="M49" s="12"/>
      <c r="N49" s="12"/>
      <c r="O49" s="12"/>
      <c r="P49" s="12"/>
      <c r="Q49" s="12"/>
    </row>
    <row r="50" spans="1:17" ht="24" x14ac:dyDescent="0.2">
      <c r="A50" s="6">
        <v>23</v>
      </c>
      <c r="B50" s="92" t="s">
        <v>333</v>
      </c>
      <c r="C50" s="146" t="s">
        <v>332</v>
      </c>
      <c r="D50" s="91" t="s">
        <v>29</v>
      </c>
      <c r="E50" s="97">
        <v>15</v>
      </c>
      <c r="F50" s="89">
        <v>13.89</v>
      </c>
      <c r="G50" s="89">
        <v>12.78</v>
      </c>
      <c r="H50" s="12"/>
      <c r="I50" s="12"/>
      <c r="J50" s="12"/>
      <c r="K50" s="129">
        <v>208</v>
      </c>
      <c r="L50" s="12">
        <v>192</v>
      </c>
      <c r="M50" s="12"/>
      <c r="N50" s="12"/>
      <c r="O50" s="12">
        <v>1</v>
      </c>
      <c r="P50" s="12">
        <v>15</v>
      </c>
      <c r="Q50" s="12"/>
    </row>
    <row r="51" spans="1:17" ht="24" x14ac:dyDescent="0.2">
      <c r="A51" s="6">
        <v>24</v>
      </c>
      <c r="B51" s="92" t="s">
        <v>106</v>
      </c>
      <c r="C51" s="146" t="s">
        <v>325</v>
      </c>
      <c r="D51" s="91" t="s">
        <v>33</v>
      </c>
      <c r="E51" s="97">
        <v>1</v>
      </c>
      <c r="F51" s="12"/>
      <c r="G51" s="12"/>
      <c r="H51" s="12"/>
      <c r="I51" s="12"/>
      <c r="J51" s="12">
        <v>107</v>
      </c>
      <c r="K51" s="129">
        <v>107</v>
      </c>
      <c r="L51" s="12"/>
      <c r="M51" s="12"/>
      <c r="N51" s="12"/>
      <c r="O51" s="12"/>
      <c r="P51" s="12"/>
      <c r="Q51" s="12"/>
    </row>
    <row r="52" spans="1:17" ht="24" x14ac:dyDescent="0.2">
      <c r="A52" s="6">
        <v>25</v>
      </c>
      <c r="B52" s="92" t="s">
        <v>324</v>
      </c>
      <c r="C52" s="146" t="s">
        <v>323</v>
      </c>
      <c r="D52" s="91" t="s">
        <v>29</v>
      </c>
      <c r="E52" s="97">
        <v>1</v>
      </c>
      <c r="F52" s="89">
        <v>59.97</v>
      </c>
      <c r="G52" s="89">
        <v>51.77</v>
      </c>
      <c r="H52" s="89">
        <v>0.37</v>
      </c>
      <c r="I52" s="12"/>
      <c r="J52" s="12"/>
      <c r="K52" s="129">
        <v>60</v>
      </c>
      <c r="L52" s="12">
        <v>52</v>
      </c>
      <c r="M52" s="12"/>
      <c r="N52" s="12"/>
      <c r="O52" s="12">
        <v>3.6</v>
      </c>
      <c r="P52" s="12">
        <v>3.6</v>
      </c>
      <c r="Q52" s="12"/>
    </row>
    <row r="53" spans="1:17" ht="63" x14ac:dyDescent="0.2">
      <c r="A53" s="6">
        <v>26</v>
      </c>
      <c r="B53" s="92" t="s">
        <v>288</v>
      </c>
      <c r="C53" s="146" t="s">
        <v>287</v>
      </c>
      <c r="D53" s="91" t="s">
        <v>34</v>
      </c>
      <c r="E53" s="90">
        <v>9</v>
      </c>
      <c r="F53" s="89">
        <v>311.39999999999998</v>
      </c>
      <c r="G53" s="89">
        <v>218.44</v>
      </c>
      <c r="H53" s="89">
        <v>38.75</v>
      </c>
      <c r="I53" s="89">
        <v>0.17</v>
      </c>
      <c r="J53" s="12"/>
      <c r="K53" s="129">
        <v>2803</v>
      </c>
      <c r="L53" s="12">
        <v>1966</v>
      </c>
      <c r="M53" s="12">
        <v>349</v>
      </c>
      <c r="N53" s="12">
        <v>2</v>
      </c>
      <c r="O53" s="12">
        <v>16.29</v>
      </c>
      <c r="P53" s="12">
        <v>146.61000000000001</v>
      </c>
      <c r="Q53" s="12"/>
    </row>
    <row r="54" spans="1:17" ht="63" x14ac:dyDescent="0.2">
      <c r="A54" s="6">
        <v>27</v>
      </c>
      <c r="B54" s="92" t="s">
        <v>912</v>
      </c>
      <c r="C54" s="146" t="s">
        <v>911</v>
      </c>
      <c r="D54" s="91" t="s">
        <v>35</v>
      </c>
      <c r="E54" s="97">
        <v>50</v>
      </c>
      <c r="F54" s="89">
        <v>30.1</v>
      </c>
      <c r="G54" s="12"/>
      <c r="H54" s="12"/>
      <c r="I54" s="12"/>
      <c r="J54" s="12"/>
      <c r="K54" s="129">
        <v>1505</v>
      </c>
      <c r="L54" s="12"/>
      <c r="M54" s="12"/>
      <c r="N54" s="12"/>
      <c r="O54" s="12"/>
      <c r="P54" s="12"/>
      <c r="Q54" s="12"/>
    </row>
    <row r="55" spans="1:17" ht="63" x14ac:dyDescent="0.2">
      <c r="A55" s="6">
        <v>28</v>
      </c>
      <c r="B55" s="92" t="s">
        <v>589</v>
      </c>
      <c r="C55" s="146" t="s">
        <v>910</v>
      </c>
      <c r="D55" s="91" t="s">
        <v>35</v>
      </c>
      <c r="E55" s="97">
        <v>850</v>
      </c>
      <c r="F55" s="89">
        <v>15.04</v>
      </c>
      <c r="G55" s="12"/>
      <c r="H55" s="12"/>
      <c r="I55" s="12"/>
      <c r="J55" s="12"/>
      <c r="K55" s="129">
        <v>12784</v>
      </c>
      <c r="L55" s="12"/>
      <c r="M55" s="12"/>
      <c r="N55" s="12"/>
      <c r="O55" s="12"/>
      <c r="P55" s="12"/>
      <c r="Q55" s="12"/>
    </row>
    <row r="56" spans="1:17" ht="24" x14ac:dyDescent="0.2">
      <c r="A56" s="6">
        <v>29</v>
      </c>
      <c r="B56" s="92" t="s">
        <v>106</v>
      </c>
      <c r="C56" s="146" t="s">
        <v>909</v>
      </c>
      <c r="D56" s="91" t="s">
        <v>320</v>
      </c>
      <c r="E56" s="90">
        <v>0.11</v>
      </c>
      <c r="F56" s="89">
        <v>4575.3599999999997</v>
      </c>
      <c r="G56" s="12"/>
      <c r="H56" s="12"/>
      <c r="I56" s="12"/>
      <c r="J56" s="12"/>
      <c r="K56" s="129">
        <v>503</v>
      </c>
      <c r="L56" s="12"/>
      <c r="M56" s="12"/>
      <c r="N56" s="12"/>
      <c r="O56" s="12"/>
      <c r="P56" s="12"/>
      <c r="Q56" s="12"/>
    </row>
    <row r="57" spans="1:17" ht="24" x14ac:dyDescent="0.2">
      <c r="A57" s="6">
        <v>30</v>
      </c>
      <c r="B57" s="92" t="s">
        <v>106</v>
      </c>
      <c r="C57" s="146" t="s">
        <v>908</v>
      </c>
      <c r="D57" s="91" t="s">
        <v>320</v>
      </c>
      <c r="E57" s="90">
        <v>1.21</v>
      </c>
      <c r="F57" s="89">
        <v>5908.43</v>
      </c>
      <c r="G57" s="12"/>
      <c r="H57" s="12"/>
      <c r="I57" s="12"/>
      <c r="J57" s="12"/>
      <c r="K57" s="129">
        <v>7149</v>
      </c>
      <c r="L57" s="12"/>
      <c r="M57" s="12"/>
      <c r="N57" s="12"/>
      <c r="O57" s="12"/>
      <c r="P57" s="12"/>
      <c r="Q57" s="12"/>
    </row>
    <row r="58" spans="1:17" ht="48" x14ac:dyDescent="0.2">
      <c r="A58" s="6">
        <v>31</v>
      </c>
      <c r="B58" s="92" t="s">
        <v>907</v>
      </c>
      <c r="C58" s="146" t="s">
        <v>906</v>
      </c>
      <c r="D58" s="91" t="s">
        <v>31</v>
      </c>
      <c r="E58" s="90">
        <v>0.33</v>
      </c>
      <c r="F58" s="89">
        <v>5913.99</v>
      </c>
      <c r="G58" s="12"/>
      <c r="H58" s="12"/>
      <c r="I58" s="12"/>
      <c r="J58" s="12"/>
      <c r="K58" s="129">
        <v>1952</v>
      </c>
      <c r="L58" s="12"/>
      <c r="M58" s="12"/>
      <c r="N58" s="12"/>
      <c r="O58" s="12"/>
      <c r="P58" s="12"/>
      <c r="Q58" s="12"/>
    </row>
    <row r="59" spans="1:17" ht="24" x14ac:dyDescent="0.2">
      <c r="A59" s="6">
        <v>32</v>
      </c>
      <c r="B59" s="92" t="s">
        <v>106</v>
      </c>
      <c r="C59" s="146" t="s">
        <v>462</v>
      </c>
      <c r="D59" s="91" t="s">
        <v>31</v>
      </c>
      <c r="E59" s="90">
        <v>0.11</v>
      </c>
      <c r="F59" s="89">
        <v>8322.16</v>
      </c>
      <c r="G59" s="12"/>
      <c r="H59" s="12"/>
      <c r="I59" s="12"/>
      <c r="J59" s="12"/>
      <c r="K59" s="129">
        <v>915</v>
      </c>
      <c r="L59" s="12"/>
      <c r="M59" s="12"/>
      <c r="N59" s="12"/>
      <c r="O59" s="12"/>
      <c r="P59" s="12"/>
      <c r="Q59" s="12"/>
    </row>
    <row r="60" spans="1:17" ht="111" x14ac:dyDescent="0.2">
      <c r="A60" s="6">
        <v>33</v>
      </c>
      <c r="B60" s="92" t="s">
        <v>521</v>
      </c>
      <c r="C60" s="146" t="s">
        <v>520</v>
      </c>
      <c r="D60" s="91" t="s">
        <v>31</v>
      </c>
      <c r="E60" s="90">
        <v>1.155</v>
      </c>
      <c r="F60" s="89">
        <v>2414.37</v>
      </c>
      <c r="G60" s="12"/>
      <c r="H60" s="12"/>
      <c r="I60" s="12"/>
      <c r="J60" s="12"/>
      <c r="K60" s="129">
        <v>2789</v>
      </c>
      <c r="L60" s="12"/>
      <c r="M60" s="12"/>
      <c r="N60" s="12"/>
      <c r="O60" s="12"/>
      <c r="P60" s="12"/>
      <c r="Q60" s="12"/>
    </row>
    <row r="61" spans="1:17" ht="111" x14ac:dyDescent="0.2">
      <c r="A61" s="6">
        <v>34</v>
      </c>
      <c r="B61" s="92" t="s">
        <v>523</v>
      </c>
      <c r="C61" s="146" t="s">
        <v>522</v>
      </c>
      <c r="D61" s="91" t="s">
        <v>31</v>
      </c>
      <c r="E61" s="90">
        <v>2.1999999999999999E-2</v>
      </c>
      <c r="F61" s="89">
        <v>3194.61</v>
      </c>
      <c r="G61" s="12"/>
      <c r="H61" s="12"/>
      <c r="I61" s="12"/>
      <c r="J61" s="12"/>
      <c r="K61" s="129">
        <v>70</v>
      </c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92" t="s">
        <v>313</v>
      </c>
      <c r="C62" s="146" t="s">
        <v>312</v>
      </c>
      <c r="D62" s="91" t="s">
        <v>34</v>
      </c>
      <c r="E62" s="90">
        <v>26.7</v>
      </c>
      <c r="F62" s="89">
        <v>189.23</v>
      </c>
      <c r="G62" s="89">
        <v>46.64</v>
      </c>
      <c r="H62" s="89">
        <v>56.09</v>
      </c>
      <c r="I62" s="89">
        <v>24.55</v>
      </c>
      <c r="J62" s="12"/>
      <c r="K62" s="129">
        <v>5052</v>
      </c>
      <c r="L62" s="12">
        <v>1245</v>
      </c>
      <c r="M62" s="12">
        <v>1498</v>
      </c>
      <c r="N62" s="12">
        <v>655</v>
      </c>
      <c r="O62" s="12">
        <v>3.52</v>
      </c>
      <c r="P62" s="12">
        <v>93.98</v>
      </c>
      <c r="Q62" s="12"/>
    </row>
    <row r="63" spans="1:17" x14ac:dyDescent="0.2">
      <c r="A63" s="6">
        <v>36</v>
      </c>
      <c r="B63" s="92" t="s">
        <v>308</v>
      </c>
      <c r="C63" s="146" t="s">
        <v>307</v>
      </c>
      <c r="D63" s="91" t="s">
        <v>30</v>
      </c>
      <c r="E63" s="90">
        <v>174</v>
      </c>
      <c r="F63" s="89">
        <v>1.19</v>
      </c>
      <c r="G63" s="12"/>
      <c r="H63" s="12"/>
      <c r="I63" s="12"/>
      <c r="J63" s="12"/>
      <c r="K63" s="129">
        <v>207</v>
      </c>
      <c r="L63" s="12"/>
      <c r="M63" s="12"/>
      <c r="N63" s="12"/>
      <c r="O63" s="12"/>
      <c r="P63" s="12"/>
      <c r="Q63" s="12"/>
    </row>
    <row r="64" spans="1:17" ht="24" x14ac:dyDescent="0.2">
      <c r="A64" s="6">
        <v>37</v>
      </c>
      <c r="B64" s="92" t="s">
        <v>306</v>
      </c>
      <c r="C64" s="146" t="s">
        <v>305</v>
      </c>
      <c r="D64" s="91" t="s">
        <v>29</v>
      </c>
      <c r="E64" s="90">
        <v>158</v>
      </c>
      <c r="F64" s="89">
        <v>8.41</v>
      </c>
      <c r="G64" s="89">
        <v>7.26</v>
      </c>
      <c r="H64" s="12"/>
      <c r="I64" s="12"/>
      <c r="J64" s="12"/>
      <c r="K64" s="129">
        <v>1329</v>
      </c>
      <c r="L64" s="12">
        <v>1147</v>
      </c>
      <c r="M64" s="12"/>
      <c r="N64" s="12"/>
      <c r="O64" s="12">
        <v>0.52</v>
      </c>
      <c r="P64" s="12">
        <v>82.16</v>
      </c>
      <c r="Q64" s="12"/>
    </row>
    <row r="65" spans="1:17" ht="24" x14ac:dyDescent="0.2">
      <c r="A65" s="6">
        <v>38</v>
      </c>
      <c r="B65" s="92" t="s">
        <v>457</v>
      </c>
      <c r="C65" s="146" t="s">
        <v>905</v>
      </c>
      <c r="D65" s="91" t="s">
        <v>29</v>
      </c>
      <c r="E65" s="97">
        <v>1</v>
      </c>
      <c r="F65" s="89">
        <v>140.74</v>
      </c>
      <c r="G65" s="89">
        <v>27.86</v>
      </c>
      <c r="H65" s="89">
        <v>3.58</v>
      </c>
      <c r="I65" s="12"/>
      <c r="J65" s="12"/>
      <c r="K65" s="129">
        <v>141</v>
      </c>
      <c r="L65" s="12">
        <v>28</v>
      </c>
      <c r="M65" s="12">
        <v>4</v>
      </c>
      <c r="N65" s="12"/>
      <c r="O65" s="12">
        <v>2.1800000000000002</v>
      </c>
      <c r="P65" s="12">
        <v>2.1800000000000002</v>
      </c>
      <c r="Q65" s="12"/>
    </row>
    <row r="66" spans="1:17" ht="36" x14ac:dyDescent="0.2">
      <c r="A66" s="6">
        <v>39</v>
      </c>
      <c r="B66" s="92" t="s">
        <v>106</v>
      </c>
      <c r="C66" s="146" t="s">
        <v>904</v>
      </c>
      <c r="D66" s="91" t="s">
        <v>33</v>
      </c>
      <c r="E66" s="97">
        <v>1</v>
      </c>
      <c r="F66" s="89">
        <v>2255.2399999999998</v>
      </c>
      <c r="G66" s="12"/>
      <c r="H66" s="12"/>
      <c r="I66" s="12"/>
      <c r="J66" s="12"/>
      <c r="K66" s="129">
        <v>2255</v>
      </c>
      <c r="L66" s="12"/>
      <c r="M66" s="12"/>
      <c r="N66" s="12"/>
      <c r="O66" s="12"/>
      <c r="P66" s="12"/>
      <c r="Q66" s="12"/>
    </row>
    <row r="67" spans="1:17" ht="24" x14ac:dyDescent="0.2">
      <c r="A67" s="6">
        <v>40</v>
      </c>
      <c r="B67" s="92" t="s">
        <v>106</v>
      </c>
      <c r="C67" s="146" t="s">
        <v>903</v>
      </c>
      <c r="D67" s="91" t="s">
        <v>33</v>
      </c>
      <c r="E67" s="97">
        <v>1</v>
      </c>
      <c r="F67" s="89">
        <v>429.51</v>
      </c>
      <c r="G67" s="12"/>
      <c r="H67" s="12"/>
      <c r="I67" s="12"/>
      <c r="J67" s="12"/>
      <c r="K67" s="129">
        <v>430</v>
      </c>
      <c r="L67" s="12"/>
      <c r="M67" s="12"/>
      <c r="N67" s="12"/>
      <c r="O67" s="12"/>
      <c r="P67" s="12"/>
      <c r="Q67" s="12"/>
    </row>
    <row r="68" spans="1:17" ht="24" x14ac:dyDescent="0.2">
      <c r="A68" s="6">
        <v>41</v>
      </c>
      <c r="B68" s="92" t="s">
        <v>106</v>
      </c>
      <c r="C68" s="146" t="s">
        <v>300</v>
      </c>
      <c r="D68" s="91" t="s">
        <v>299</v>
      </c>
      <c r="E68" s="97">
        <v>1</v>
      </c>
      <c r="F68" s="89">
        <v>53.52</v>
      </c>
      <c r="G68" s="12"/>
      <c r="H68" s="12"/>
      <c r="I68" s="12"/>
      <c r="J68" s="12"/>
      <c r="K68" s="129">
        <v>54</v>
      </c>
      <c r="L68" s="12"/>
      <c r="M68" s="12"/>
      <c r="N68" s="12"/>
      <c r="O68" s="12"/>
      <c r="P68" s="12"/>
      <c r="Q68" s="12"/>
    </row>
    <row r="69" spans="1:17" ht="24" x14ac:dyDescent="0.2">
      <c r="A69" s="6">
        <v>42</v>
      </c>
      <c r="B69" s="92" t="s">
        <v>106</v>
      </c>
      <c r="C69" s="146" t="s">
        <v>298</v>
      </c>
      <c r="D69" s="91" t="s">
        <v>33</v>
      </c>
      <c r="E69" s="97">
        <v>1</v>
      </c>
      <c r="F69" s="89">
        <v>127.92</v>
      </c>
      <c r="G69" s="12"/>
      <c r="H69" s="12"/>
      <c r="I69" s="12"/>
      <c r="J69" s="12"/>
      <c r="K69" s="129">
        <v>128</v>
      </c>
      <c r="L69" s="12"/>
      <c r="M69" s="12"/>
      <c r="N69" s="12"/>
      <c r="O69" s="12"/>
      <c r="P69" s="12"/>
      <c r="Q69" s="12"/>
    </row>
    <row r="70" spans="1:17" x14ac:dyDescent="0.2">
      <c r="A70" s="6">
        <v>43</v>
      </c>
      <c r="B70" s="92" t="s">
        <v>397</v>
      </c>
      <c r="C70" s="146" t="s">
        <v>902</v>
      </c>
      <c r="D70" s="91" t="s">
        <v>30</v>
      </c>
      <c r="E70" s="90">
        <v>5</v>
      </c>
      <c r="F70" s="89">
        <v>20.82</v>
      </c>
      <c r="G70" s="12"/>
      <c r="H70" s="12"/>
      <c r="I70" s="12"/>
      <c r="J70" s="12"/>
      <c r="K70" s="129">
        <v>104</v>
      </c>
      <c r="L70" s="12"/>
      <c r="M70" s="12"/>
      <c r="N70" s="12"/>
      <c r="O70" s="12"/>
      <c r="P70" s="12"/>
      <c r="Q70" s="12"/>
    </row>
    <row r="71" spans="1:17" ht="24" x14ac:dyDescent="0.2">
      <c r="A71" s="6">
        <v>44</v>
      </c>
      <c r="B71" s="92" t="s">
        <v>399</v>
      </c>
      <c r="C71" s="146" t="s">
        <v>408</v>
      </c>
      <c r="D71" s="91" t="s">
        <v>29</v>
      </c>
      <c r="E71" s="97">
        <v>4</v>
      </c>
      <c r="F71" s="89">
        <v>58.16</v>
      </c>
      <c r="G71" s="89">
        <v>48.04</v>
      </c>
      <c r="H71" s="12"/>
      <c r="I71" s="12"/>
      <c r="J71" s="12"/>
      <c r="K71" s="129">
        <v>233</v>
      </c>
      <c r="L71" s="12">
        <v>192</v>
      </c>
      <c r="M71" s="12"/>
      <c r="N71" s="12"/>
      <c r="O71" s="12">
        <v>4</v>
      </c>
      <c r="P71" s="12">
        <v>16</v>
      </c>
      <c r="Q71" s="12"/>
    </row>
    <row r="72" spans="1:17" ht="24" x14ac:dyDescent="0.2">
      <c r="A72" s="6">
        <v>45</v>
      </c>
      <c r="B72" s="92" t="s">
        <v>901</v>
      </c>
      <c r="C72" s="146" t="s">
        <v>406</v>
      </c>
      <c r="D72" s="91" t="s">
        <v>30</v>
      </c>
      <c r="E72" s="97">
        <v>88</v>
      </c>
      <c r="F72" s="89">
        <v>16.64</v>
      </c>
      <c r="G72" s="12"/>
      <c r="H72" s="12"/>
      <c r="I72" s="12"/>
      <c r="J72" s="12"/>
      <c r="K72" s="129">
        <v>1464</v>
      </c>
      <c r="L72" s="12"/>
      <c r="M72" s="12"/>
      <c r="N72" s="12"/>
      <c r="O72" s="12"/>
      <c r="P72" s="12"/>
      <c r="Q72" s="12"/>
    </row>
    <row r="73" spans="1:17" ht="36" x14ac:dyDescent="0.2">
      <c r="A73" s="6">
        <v>46</v>
      </c>
      <c r="B73" s="92" t="s">
        <v>291</v>
      </c>
      <c r="C73" s="146" t="s">
        <v>290</v>
      </c>
      <c r="D73" s="91" t="s">
        <v>29</v>
      </c>
      <c r="E73" s="97">
        <v>80</v>
      </c>
      <c r="F73" s="89">
        <v>27.06</v>
      </c>
      <c r="G73" s="89">
        <v>11.51</v>
      </c>
      <c r="H73" s="12"/>
      <c r="I73" s="12"/>
      <c r="J73" s="12"/>
      <c r="K73" s="129">
        <v>2165</v>
      </c>
      <c r="L73" s="12">
        <v>921</v>
      </c>
      <c r="M73" s="12"/>
      <c r="N73" s="12"/>
      <c r="O73" s="12">
        <v>1</v>
      </c>
      <c r="P73" s="12">
        <v>80</v>
      </c>
      <c r="Q73" s="12"/>
    </row>
    <row r="74" spans="1:17" x14ac:dyDescent="0.2">
      <c r="A74" s="6">
        <v>47</v>
      </c>
      <c r="B74" s="92" t="s">
        <v>405</v>
      </c>
      <c r="C74" s="146" t="s">
        <v>830</v>
      </c>
      <c r="D74" s="91" t="s">
        <v>30</v>
      </c>
      <c r="E74" s="97">
        <v>2</v>
      </c>
      <c r="F74" s="89">
        <v>33.29</v>
      </c>
      <c r="G74" s="12"/>
      <c r="H74" s="12"/>
      <c r="I74" s="12"/>
      <c r="J74" s="12"/>
      <c r="K74" s="129">
        <v>67</v>
      </c>
      <c r="L74" s="12"/>
      <c r="M74" s="12"/>
      <c r="N74" s="12"/>
      <c r="O74" s="12"/>
      <c r="P74" s="12"/>
      <c r="Q74" s="12"/>
    </row>
    <row r="75" spans="1:17" ht="36" x14ac:dyDescent="0.2">
      <c r="A75" s="6">
        <v>48</v>
      </c>
      <c r="B75" s="92" t="s">
        <v>295</v>
      </c>
      <c r="C75" s="146" t="s">
        <v>294</v>
      </c>
      <c r="D75" s="91" t="s">
        <v>29</v>
      </c>
      <c r="E75" s="97">
        <v>2</v>
      </c>
      <c r="F75" s="89">
        <v>174.77</v>
      </c>
      <c r="G75" s="89">
        <v>20.9</v>
      </c>
      <c r="H75" s="89">
        <v>1.28</v>
      </c>
      <c r="I75" s="12"/>
      <c r="J75" s="12"/>
      <c r="K75" s="129">
        <v>350</v>
      </c>
      <c r="L75" s="12">
        <v>42</v>
      </c>
      <c r="M75" s="12">
        <v>3</v>
      </c>
      <c r="N75" s="12"/>
      <c r="O75" s="12">
        <v>1.56</v>
      </c>
      <c r="P75" s="12">
        <v>3.12</v>
      </c>
      <c r="Q75" s="12"/>
    </row>
    <row r="76" spans="1:17" ht="36" x14ac:dyDescent="0.2">
      <c r="A76" s="6">
        <v>49</v>
      </c>
      <c r="B76" s="92" t="s">
        <v>106</v>
      </c>
      <c r="C76" s="146" t="s">
        <v>404</v>
      </c>
      <c r="D76" s="91" t="s">
        <v>33</v>
      </c>
      <c r="E76" s="97">
        <v>1</v>
      </c>
      <c r="F76" s="89">
        <v>3.89</v>
      </c>
      <c r="G76" s="12"/>
      <c r="H76" s="12"/>
      <c r="I76" s="12"/>
      <c r="J76" s="12"/>
      <c r="K76" s="129">
        <v>4</v>
      </c>
      <c r="L76" s="12"/>
      <c r="M76" s="12"/>
      <c r="N76" s="12"/>
      <c r="O76" s="12"/>
      <c r="P76" s="12"/>
      <c r="Q76" s="12"/>
    </row>
    <row r="77" spans="1:17" ht="24" x14ac:dyDescent="0.2">
      <c r="A77" s="6">
        <v>50</v>
      </c>
      <c r="B77" s="92" t="s">
        <v>403</v>
      </c>
      <c r="C77" s="146" t="s">
        <v>402</v>
      </c>
      <c r="D77" s="91" t="s">
        <v>29</v>
      </c>
      <c r="E77" s="97">
        <v>1</v>
      </c>
      <c r="F77" s="89">
        <v>32.229999999999997</v>
      </c>
      <c r="G77" s="89">
        <v>26.18</v>
      </c>
      <c r="H77" s="89">
        <v>1.91</v>
      </c>
      <c r="I77" s="12"/>
      <c r="J77" s="12"/>
      <c r="K77" s="129">
        <v>32</v>
      </c>
      <c r="L77" s="12">
        <v>26</v>
      </c>
      <c r="M77" s="12">
        <v>2</v>
      </c>
      <c r="N77" s="12"/>
      <c r="O77" s="12">
        <v>2.1800000000000002</v>
      </c>
      <c r="P77" s="12">
        <v>2.1800000000000002</v>
      </c>
      <c r="Q77" s="12"/>
    </row>
    <row r="78" spans="1:17" ht="23.45" customHeight="1" x14ac:dyDescent="0.2">
      <c r="A78" s="6">
        <v>51</v>
      </c>
      <c r="B78" s="92" t="s">
        <v>106</v>
      </c>
      <c r="C78" s="146" t="s">
        <v>900</v>
      </c>
      <c r="D78" s="91" t="s">
        <v>33</v>
      </c>
      <c r="E78" s="90">
        <v>83</v>
      </c>
      <c r="F78" s="89">
        <v>5.18</v>
      </c>
      <c r="G78" s="12"/>
      <c r="H78" s="12"/>
      <c r="I78" s="12"/>
      <c r="J78" s="12"/>
      <c r="K78" s="129">
        <v>430</v>
      </c>
      <c r="L78" s="12"/>
      <c r="M78" s="12"/>
      <c r="N78" s="12"/>
      <c r="O78" s="12"/>
      <c r="P78" s="12"/>
      <c r="Q78" s="12"/>
    </row>
    <row r="79" spans="1:17" ht="24" x14ac:dyDescent="0.2">
      <c r="A79" s="6">
        <v>52</v>
      </c>
      <c r="B79" s="92" t="s">
        <v>399</v>
      </c>
      <c r="C79" s="146" t="s">
        <v>899</v>
      </c>
      <c r="D79" s="91" t="s">
        <v>29</v>
      </c>
      <c r="E79" s="97">
        <v>75</v>
      </c>
      <c r="F79" s="89">
        <v>58.16</v>
      </c>
      <c r="G79" s="89">
        <v>48.04</v>
      </c>
      <c r="H79" s="12"/>
      <c r="I79" s="12"/>
      <c r="J79" s="12"/>
      <c r="K79" s="129">
        <v>4362</v>
      </c>
      <c r="L79" s="12">
        <v>3603</v>
      </c>
      <c r="M79" s="12"/>
      <c r="N79" s="12"/>
      <c r="O79" s="12">
        <v>4</v>
      </c>
      <c r="P79" s="12">
        <v>300</v>
      </c>
      <c r="Q79" s="12"/>
    </row>
    <row r="80" spans="1:17" ht="24" x14ac:dyDescent="0.2">
      <c r="A80" s="6">
        <v>53</v>
      </c>
      <c r="B80" s="92" t="s">
        <v>537</v>
      </c>
      <c r="C80" s="146" t="s">
        <v>898</v>
      </c>
      <c r="D80" s="91" t="s">
        <v>33</v>
      </c>
      <c r="E80" s="97">
        <v>1</v>
      </c>
      <c r="F80" s="12"/>
      <c r="G80" s="12"/>
      <c r="H80" s="12"/>
      <c r="I80" s="12"/>
      <c r="J80" s="12">
        <v>248</v>
      </c>
      <c r="K80" s="129">
        <v>248</v>
      </c>
      <c r="L80" s="12"/>
      <c r="M80" s="12"/>
      <c r="N80" s="12"/>
      <c r="O80" s="12"/>
      <c r="P80" s="12"/>
      <c r="Q80" s="12"/>
    </row>
    <row r="81" spans="1:17" ht="24" x14ac:dyDescent="0.2">
      <c r="A81" s="6">
        <v>54</v>
      </c>
      <c r="B81" s="92" t="s">
        <v>897</v>
      </c>
      <c r="C81" s="146" t="s">
        <v>896</v>
      </c>
      <c r="D81" s="91" t="s">
        <v>29</v>
      </c>
      <c r="E81" s="97">
        <v>1</v>
      </c>
      <c r="F81" s="89">
        <v>572.97</v>
      </c>
      <c r="G81" s="89">
        <v>383.47</v>
      </c>
      <c r="H81" s="89">
        <v>109.17</v>
      </c>
      <c r="I81" s="89">
        <v>22.18</v>
      </c>
      <c r="J81" s="12"/>
      <c r="K81" s="129">
        <v>573</v>
      </c>
      <c r="L81" s="12">
        <v>383</v>
      </c>
      <c r="M81" s="12">
        <v>109</v>
      </c>
      <c r="N81" s="12">
        <v>22</v>
      </c>
      <c r="O81" s="12">
        <v>28.3</v>
      </c>
      <c r="P81" s="12">
        <v>28.3</v>
      </c>
      <c r="Q81" s="12"/>
    </row>
    <row r="82" spans="1:17" ht="24" x14ac:dyDescent="0.2">
      <c r="A82" s="6">
        <v>55</v>
      </c>
      <c r="B82" s="92" t="s">
        <v>304</v>
      </c>
      <c r="C82" s="146" t="s">
        <v>669</v>
      </c>
      <c r="D82" s="91" t="s">
        <v>29</v>
      </c>
      <c r="E82" s="97">
        <v>1</v>
      </c>
      <c r="F82" s="89">
        <v>121.87</v>
      </c>
      <c r="G82" s="89">
        <v>26.33</v>
      </c>
      <c r="H82" s="89">
        <v>2.39</v>
      </c>
      <c r="I82" s="12"/>
      <c r="J82" s="12"/>
      <c r="K82" s="129">
        <v>122</v>
      </c>
      <c r="L82" s="12">
        <v>26</v>
      </c>
      <c r="M82" s="12">
        <v>2</v>
      </c>
      <c r="N82" s="12"/>
      <c r="O82" s="12">
        <v>2.06</v>
      </c>
      <c r="P82" s="12">
        <v>2.06</v>
      </c>
      <c r="Q82" s="12"/>
    </row>
    <row r="83" spans="1:17" ht="36" x14ac:dyDescent="0.2">
      <c r="A83" s="6">
        <v>56</v>
      </c>
      <c r="B83" s="92" t="s">
        <v>106</v>
      </c>
      <c r="C83" s="146" t="s">
        <v>895</v>
      </c>
      <c r="D83" s="91" t="s">
        <v>33</v>
      </c>
      <c r="E83" s="97">
        <v>1</v>
      </c>
      <c r="F83" s="89">
        <v>642.80999999999995</v>
      </c>
      <c r="G83" s="12"/>
      <c r="H83" s="12"/>
      <c r="I83" s="12"/>
      <c r="J83" s="12"/>
      <c r="K83" s="129">
        <v>643</v>
      </c>
      <c r="L83" s="12"/>
      <c r="M83" s="12"/>
      <c r="N83" s="12"/>
      <c r="O83" s="12"/>
      <c r="P83" s="12"/>
      <c r="Q83" s="12"/>
    </row>
    <row r="84" spans="1:17" ht="24" x14ac:dyDescent="0.2">
      <c r="A84" s="6">
        <v>57</v>
      </c>
      <c r="B84" s="92" t="s">
        <v>106</v>
      </c>
      <c r="C84" s="146" t="s">
        <v>894</v>
      </c>
      <c r="D84" s="91" t="s">
        <v>33</v>
      </c>
      <c r="E84" s="97">
        <v>1</v>
      </c>
      <c r="F84" s="89">
        <v>160.02000000000001</v>
      </c>
      <c r="G84" s="12"/>
      <c r="H84" s="12"/>
      <c r="I84" s="12"/>
      <c r="J84" s="12"/>
      <c r="K84" s="129">
        <v>160</v>
      </c>
      <c r="L84" s="12"/>
      <c r="M84" s="12"/>
      <c r="N84" s="12"/>
      <c r="O84" s="12"/>
      <c r="P84" s="12"/>
      <c r="Q84" s="12"/>
    </row>
    <row r="85" spans="1:17" ht="24" x14ac:dyDescent="0.2">
      <c r="A85" s="6">
        <v>58</v>
      </c>
      <c r="B85" s="92" t="s">
        <v>106</v>
      </c>
      <c r="C85" s="146" t="s">
        <v>893</v>
      </c>
      <c r="D85" s="91" t="s">
        <v>223</v>
      </c>
      <c r="E85" s="97">
        <v>2</v>
      </c>
      <c r="F85" s="89">
        <v>12.84</v>
      </c>
      <c r="G85" s="12"/>
      <c r="H85" s="12"/>
      <c r="I85" s="12"/>
      <c r="J85" s="12"/>
      <c r="K85" s="129">
        <v>26</v>
      </c>
      <c r="L85" s="12"/>
      <c r="M85" s="12"/>
      <c r="N85" s="12"/>
      <c r="O85" s="12"/>
      <c r="P85" s="12"/>
      <c r="Q85" s="12"/>
    </row>
    <row r="86" spans="1:17" ht="24" x14ac:dyDescent="0.2">
      <c r="A86" s="6">
        <v>59</v>
      </c>
      <c r="B86" s="92" t="s">
        <v>106</v>
      </c>
      <c r="C86" s="146" t="s">
        <v>892</v>
      </c>
      <c r="D86" s="91" t="s">
        <v>223</v>
      </c>
      <c r="E86" s="97">
        <v>1</v>
      </c>
      <c r="F86" s="89">
        <v>56.56</v>
      </c>
      <c r="G86" s="12"/>
      <c r="H86" s="12"/>
      <c r="I86" s="12"/>
      <c r="J86" s="12"/>
      <c r="K86" s="129">
        <v>57</v>
      </c>
      <c r="L86" s="12"/>
      <c r="M86" s="12"/>
      <c r="N86" s="12"/>
      <c r="O86" s="12"/>
      <c r="P86" s="12"/>
      <c r="Q86" s="12"/>
    </row>
    <row r="87" spans="1:17" ht="24" x14ac:dyDescent="0.2">
      <c r="A87" s="6">
        <v>60</v>
      </c>
      <c r="B87" s="92" t="s">
        <v>106</v>
      </c>
      <c r="C87" s="146" t="s">
        <v>891</v>
      </c>
      <c r="D87" s="91" t="s">
        <v>29</v>
      </c>
      <c r="E87" s="97">
        <v>1</v>
      </c>
      <c r="F87" s="12"/>
      <c r="G87" s="12"/>
      <c r="H87" s="12"/>
      <c r="I87" s="12"/>
      <c r="J87" s="12">
        <v>713</v>
      </c>
      <c r="K87" s="129">
        <v>713</v>
      </c>
      <c r="L87" s="12"/>
      <c r="M87" s="12"/>
      <c r="N87" s="12"/>
      <c r="O87" s="12"/>
      <c r="P87" s="12"/>
      <c r="Q87" s="12"/>
    </row>
    <row r="88" spans="1:17" ht="14.45" customHeight="1" x14ac:dyDescent="0.2">
      <c r="A88" s="6">
        <v>61</v>
      </c>
      <c r="B88" s="92" t="s">
        <v>360</v>
      </c>
      <c r="C88" s="146" t="s">
        <v>359</v>
      </c>
      <c r="D88" s="91" t="s">
        <v>29</v>
      </c>
      <c r="E88" s="97">
        <v>1</v>
      </c>
      <c r="F88" s="89">
        <v>256.7</v>
      </c>
      <c r="G88" s="89">
        <v>157.76</v>
      </c>
      <c r="H88" s="89">
        <v>33.83</v>
      </c>
      <c r="I88" s="89">
        <v>6.87</v>
      </c>
      <c r="J88" s="12"/>
      <c r="K88" s="129">
        <v>257</v>
      </c>
      <c r="L88" s="12">
        <v>158</v>
      </c>
      <c r="M88" s="12">
        <v>34</v>
      </c>
      <c r="N88" s="12">
        <v>7</v>
      </c>
      <c r="O88" s="12">
        <v>10.1</v>
      </c>
      <c r="P88" s="12">
        <v>10.1</v>
      </c>
      <c r="Q88" s="12"/>
    </row>
    <row r="89" spans="1:17" ht="24" x14ac:dyDescent="0.2">
      <c r="A89" s="6">
        <v>62</v>
      </c>
      <c r="B89" s="92" t="s">
        <v>106</v>
      </c>
      <c r="C89" s="146" t="s">
        <v>836</v>
      </c>
      <c r="D89" s="91" t="s">
        <v>33</v>
      </c>
      <c r="E89" s="97">
        <v>1</v>
      </c>
      <c r="F89" s="89">
        <v>267.58999999999997</v>
      </c>
      <c r="G89" s="12"/>
      <c r="H89" s="12"/>
      <c r="I89" s="12"/>
      <c r="J89" s="12"/>
      <c r="K89" s="129">
        <v>268</v>
      </c>
      <c r="L89" s="12"/>
      <c r="M89" s="12"/>
      <c r="N89" s="12"/>
      <c r="O89" s="12"/>
      <c r="P89" s="12"/>
      <c r="Q89" s="12"/>
    </row>
    <row r="90" spans="1:17" ht="24" x14ac:dyDescent="0.2">
      <c r="A90" s="6">
        <v>63</v>
      </c>
      <c r="B90" s="92" t="s">
        <v>106</v>
      </c>
      <c r="C90" s="146" t="s">
        <v>890</v>
      </c>
      <c r="D90" s="91" t="s">
        <v>33</v>
      </c>
      <c r="E90" s="97">
        <v>1</v>
      </c>
      <c r="F90" s="89">
        <v>69.02</v>
      </c>
      <c r="G90" s="12"/>
      <c r="H90" s="12"/>
      <c r="I90" s="12"/>
      <c r="J90" s="12"/>
      <c r="K90" s="129">
        <v>69</v>
      </c>
      <c r="L90" s="12"/>
      <c r="M90" s="12"/>
      <c r="N90" s="12"/>
      <c r="O90" s="12"/>
      <c r="P90" s="12"/>
      <c r="Q90" s="12"/>
    </row>
    <row r="91" spans="1:17" ht="24" x14ac:dyDescent="0.2">
      <c r="A91" s="6">
        <v>64</v>
      </c>
      <c r="B91" s="92" t="s">
        <v>889</v>
      </c>
      <c r="C91" s="146" t="s">
        <v>888</v>
      </c>
      <c r="D91" s="91" t="s">
        <v>29</v>
      </c>
      <c r="E91" s="97">
        <v>1</v>
      </c>
      <c r="F91" s="89">
        <v>13.88</v>
      </c>
      <c r="G91" s="89">
        <v>12.54</v>
      </c>
      <c r="H91" s="89">
        <v>1.0900000000000001</v>
      </c>
      <c r="I91" s="12"/>
      <c r="J91" s="12"/>
      <c r="K91" s="129">
        <v>14</v>
      </c>
      <c r="L91" s="12">
        <v>13</v>
      </c>
      <c r="M91" s="12">
        <v>1</v>
      </c>
      <c r="N91" s="12"/>
      <c r="O91" s="12">
        <v>1.03</v>
      </c>
      <c r="P91" s="12">
        <v>1.03</v>
      </c>
      <c r="Q91" s="12"/>
    </row>
    <row r="92" spans="1:17" ht="24" x14ac:dyDescent="0.2">
      <c r="A92" s="6">
        <v>65</v>
      </c>
      <c r="B92" s="92" t="s">
        <v>106</v>
      </c>
      <c r="C92" s="146" t="s">
        <v>887</v>
      </c>
      <c r="D92" s="91" t="s">
        <v>31</v>
      </c>
      <c r="E92" s="90">
        <v>2E-3</v>
      </c>
      <c r="F92" s="89">
        <v>16334.07</v>
      </c>
      <c r="G92" s="12"/>
      <c r="H92" s="12"/>
      <c r="I92" s="12"/>
      <c r="J92" s="12"/>
      <c r="K92" s="129">
        <v>33</v>
      </c>
      <c r="L92" s="12"/>
      <c r="M92" s="12"/>
      <c r="N92" s="12"/>
      <c r="O92" s="12"/>
      <c r="P92" s="12"/>
      <c r="Q92" s="12"/>
    </row>
    <row r="93" spans="1:17" ht="24" x14ac:dyDescent="0.2">
      <c r="A93" s="6">
        <v>66</v>
      </c>
      <c r="B93" s="92" t="s">
        <v>886</v>
      </c>
      <c r="C93" s="146" t="s">
        <v>885</v>
      </c>
      <c r="D93" s="91" t="s">
        <v>34</v>
      </c>
      <c r="E93" s="97">
        <v>0.02</v>
      </c>
      <c r="F93" s="89">
        <v>138.47</v>
      </c>
      <c r="G93" s="89">
        <v>22.26</v>
      </c>
      <c r="H93" s="89">
        <v>30.19</v>
      </c>
      <c r="I93" s="89">
        <v>12.68</v>
      </c>
      <c r="J93" s="12"/>
      <c r="K93" s="129">
        <v>3</v>
      </c>
      <c r="L93" s="12"/>
      <c r="M93" s="12">
        <v>1</v>
      </c>
      <c r="N93" s="12"/>
      <c r="O93" s="12">
        <v>1.68</v>
      </c>
      <c r="P93" s="12">
        <v>0.03</v>
      </c>
      <c r="Q93" s="12"/>
    </row>
    <row r="94" spans="1:17" ht="36" x14ac:dyDescent="0.2">
      <c r="A94" s="6">
        <v>67</v>
      </c>
      <c r="B94" s="92" t="s">
        <v>884</v>
      </c>
      <c r="C94" s="146" t="s">
        <v>883</v>
      </c>
      <c r="D94" s="91" t="s">
        <v>879</v>
      </c>
      <c r="E94" s="90">
        <v>0.8</v>
      </c>
      <c r="F94" s="89">
        <v>69.11</v>
      </c>
      <c r="G94" s="89">
        <v>67.75</v>
      </c>
      <c r="H94" s="12"/>
      <c r="I94" s="12"/>
      <c r="J94" s="12"/>
      <c r="K94" s="129">
        <v>55</v>
      </c>
      <c r="L94" s="12">
        <v>54</v>
      </c>
      <c r="M94" s="12"/>
      <c r="N94" s="12"/>
      <c r="O94" s="12">
        <v>5</v>
      </c>
      <c r="P94" s="12">
        <v>4</v>
      </c>
      <c r="Q94" s="12"/>
    </row>
    <row r="95" spans="1:17" ht="36" x14ac:dyDescent="0.2">
      <c r="A95" s="6">
        <v>68</v>
      </c>
      <c r="B95" s="92" t="s">
        <v>106</v>
      </c>
      <c r="C95" s="146" t="s">
        <v>882</v>
      </c>
      <c r="D95" s="91" t="s">
        <v>35</v>
      </c>
      <c r="E95" s="97">
        <v>20</v>
      </c>
      <c r="F95" s="89">
        <v>39.479999999999997</v>
      </c>
      <c r="G95" s="12"/>
      <c r="H95" s="12"/>
      <c r="I95" s="12"/>
      <c r="J95" s="12"/>
      <c r="K95" s="129">
        <v>790</v>
      </c>
      <c r="L95" s="12"/>
      <c r="M95" s="12"/>
      <c r="N95" s="12"/>
      <c r="O95" s="12"/>
      <c r="P95" s="12"/>
      <c r="Q95" s="12"/>
    </row>
    <row r="96" spans="1:17" ht="24" x14ac:dyDescent="0.2">
      <c r="A96" s="6">
        <v>69</v>
      </c>
      <c r="B96" s="92" t="s">
        <v>343</v>
      </c>
      <c r="C96" s="146" t="s">
        <v>644</v>
      </c>
      <c r="D96" s="91" t="s">
        <v>76</v>
      </c>
      <c r="E96" s="97">
        <v>0.02</v>
      </c>
      <c r="F96" s="89">
        <v>1837.57</v>
      </c>
      <c r="G96" s="89">
        <v>474.14</v>
      </c>
      <c r="H96" s="89">
        <v>129.78</v>
      </c>
      <c r="I96" s="89">
        <v>23.9</v>
      </c>
      <c r="J96" s="12"/>
      <c r="K96" s="129">
        <v>37</v>
      </c>
      <c r="L96" s="12">
        <v>9</v>
      </c>
      <c r="M96" s="12">
        <v>3</v>
      </c>
      <c r="N96" s="12"/>
      <c r="O96" s="12">
        <v>37.1</v>
      </c>
      <c r="P96" s="12">
        <v>0.74</v>
      </c>
      <c r="Q96" s="12"/>
    </row>
    <row r="97" spans="1:17" ht="36" x14ac:dyDescent="0.2">
      <c r="A97" s="6">
        <v>70</v>
      </c>
      <c r="B97" s="92" t="s">
        <v>881</v>
      </c>
      <c r="C97" s="146" t="s">
        <v>880</v>
      </c>
      <c r="D97" s="91" t="s">
        <v>879</v>
      </c>
      <c r="E97" s="90">
        <v>0.2</v>
      </c>
      <c r="F97" s="89">
        <v>70.489999999999995</v>
      </c>
      <c r="G97" s="89">
        <v>69.11</v>
      </c>
      <c r="H97" s="12"/>
      <c r="I97" s="12"/>
      <c r="J97" s="12"/>
      <c r="K97" s="129">
        <v>14</v>
      </c>
      <c r="L97" s="12">
        <v>14</v>
      </c>
      <c r="M97" s="12"/>
      <c r="N97" s="12"/>
      <c r="O97" s="12">
        <v>5.0999999999999996</v>
      </c>
      <c r="P97" s="12">
        <v>1.02</v>
      </c>
      <c r="Q97" s="12"/>
    </row>
    <row r="98" spans="1:17" ht="24" x14ac:dyDescent="0.2">
      <c r="A98" s="6">
        <v>71</v>
      </c>
      <c r="B98" s="92" t="s">
        <v>106</v>
      </c>
      <c r="C98" s="146" t="s">
        <v>878</v>
      </c>
      <c r="D98" s="91" t="s">
        <v>33</v>
      </c>
      <c r="E98" s="97">
        <v>1</v>
      </c>
      <c r="F98" s="89">
        <v>19.170000000000002</v>
      </c>
      <c r="G98" s="12"/>
      <c r="H98" s="12"/>
      <c r="I98" s="12"/>
      <c r="J98" s="12"/>
      <c r="K98" s="129">
        <v>19</v>
      </c>
      <c r="L98" s="12"/>
      <c r="M98" s="12"/>
      <c r="N98" s="12"/>
      <c r="O98" s="12"/>
      <c r="P98" s="12"/>
      <c r="Q98" s="12"/>
    </row>
    <row r="99" spans="1:17" ht="24" x14ac:dyDescent="0.2">
      <c r="A99" s="6">
        <v>72</v>
      </c>
      <c r="B99" s="92" t="s">
        <v>106</v>
      </c>
      <c r="C99" s="146" t="s">
        <v>877</v>
      </c>
      <c r="D99" s="91" t="s">
        <v>33</v>
      </c>
      <c r="E99" s="97">
        <v>1</v>
      </c>
      <c r="F99" s="89">
        <v>23.39</v>
      </c>
      <c r="G99" s="12"/>
      <c r="H99" s="12"/>
      <c r="I99" s="12"/>
      <c r="J99" s="12"/>
      <c r="K99" s="129">
        <v>23</v>
      </c>
      <c r="L99" s="12"/>
      <c r="M99" s="12"/>
      <c r="N99" s="12"/>
      <c r="O99" s="12"/>
      <c r="P99" s="12"/>
      <c r="Q99" s="12"/>
    </row>
    <row r="100" spans="1:17" ht="24" x14ac:dyDescent="0.2">
      <c r="A100" s="6">
        <v>73</v>
      </c>
      <c r="B100" s="92" t="s">
        <v>106</v>
      </c>
      <c r="C100" s="146" t="s">
        <v>876</v>
      </c>
      <c r="D100" s="91" t="s">
        <v>33</v>
      </c>
      <c r="E100" s="97">
        <v>1</v>
      </c>
      <c r="F100" s="12"/>
      <c r="G100" s="12"/>
      <c r="H100" s="12"/>
      <c r="I100" s="12"/>
      <c r="J100" s="12">
        <v>1170</v>
      </c>
      <c r="K100" s="129">
        <v>1170</v>
      </c>
      <c r="L100" s="12"/>
      <c r="M100" s="12"/>
      <c r="N100" s="12"/>
      <c r="O100" s="12"/>
      <c r="P100" s="12"/>
      <c r="Q100" s="12"/>
    </row>
    <row r="101" spans="1:17" ht="24" x14ac:dyDescent="0.2">
      <c r="A101" s="6">
        <v>74</v>
      </c>
      <c r="B101" s="92" t="s">
        <v>875</v>
      </c>
      <c r="C101" s="146" t="s">
        <v>874</v>
      </c>
      <c r="D101" s="91" t="s">
        <v>346</v>
      </c>
      <c r="E101" s="97">
        <v>1</v>
      </c>
      <c r="F101" s="89">
        <v>213.25</v>
      </c>
      <c r="G101" s="89">
        <v>135.5</v>
      </c>
      <c r="H101" s="12"/>
      <c r="I101" s="12"/>
      <c r="J101" s="12"/>
      <c r="K101" s="129">
        <v>213</v>
      </c>
      <c r="L101" s="12">
        <v>136</v>
      </c>
      <c r="M101" s="12"/>
      <c r="N101" s="12"/>
      <c r="O101" s="12">
        <v>10</v>
      </c>
      <c r="P101" s="12">
        <v>10</v>
      </c>
      <c r="Q101" s="12"/>
    </row>
    <row r="102" spans="1:17" ht="24" x14ac:dyDescent="0.2">
      <c r="A102" s="6">
        <v>75</v>
      </c>
      <c r="B102" s="92" t="s">
        <v>106</v>
      </c>
      <c r="C102" s="146" t="s">
        <v>873</v>
      </c>
      <c r="D102" s="91" t="s">
        <v>33</v>
      </c>
      <c r="E102" s="97">
        <v>4</v>
      </c>
      <c r="F102" s="12"/>
      <c r="G102" s="12"/>
      <c r="H102" s="12"/>
      <c r="I102" s="12"/>
      <c r="J102" s="12">
        <v>14785</v>
      </c>
      <c r="K102" s="129">
        <v>14785</v>
      </c>
      <c r="L102" s="12"/>
      <c r="M102" s="12"/>
      <c r="N102" s="12"/>
      <c r="O102" s="12"/>
      <c r="P102" s="12"/>
      <c r="Q102" s="12"/>
    </row>
    <row r="103" spans="1:17" ht="15" customHeight="1" x14ac:dyDescent="0.2">
      <c r="A103" s="6">
        <v>76</v>
      </c>
      <c r="B103" s="92" t="s">
        <v>872</v>
      </c>
      <c r="C103" s="146" t="s">
        <v>871</v>
      </c>
      <c r="D103" s="91" t="s">
        <v>29</v>
      </c>
      <c r="E103" s="97">
        <v>3</v>
      </c>
      <c r="F103" s="89">
        <v>98.91</v>
      </c>
      <c r="G103" s="89">
        <v>76.83</v>
      </c>
      <c r="H103" s="89">
        <v>16.91</v>
      </c>
      <c r="I103" s="89">
        <v>3.44</v>
      </c>
      <c r="J103" s="12"/>
      <c r="K103" s="129">
        <v>297</v>
      </c>
      <c r="L103" s="12">
        <v>230</v>
      </c>
      <c r="M103" s="12">
        <v>51</v>
      </c>
      <c r="N103" s="12">
        <v>10</v>
      </c>
      <c r="O103" s="12">
        <v>5.67</v>
      </c>
      <c r="P103" s="12">
        <v>17.010000000000002</v>
      </c>
      <c r="Q103" s="12"/>
    </row>
    <row r="104" spans="1:17" ht="27.6" customHeight="1" x14ac:dyDescent="0.2">
      <c r="A104" s="6">
        <v>77</v>
      </c>
      <c r="B104" s="92" t="s">
        <v>106</v>
      </c>
      <c r="C104" s="146" t="s">
        <v>870</v>
      </c>
      <c r="D104" s="91" t="s">
        <v>33</v>
      </c>
      <c r="E104" s="97">
        <v>1</v>
      </c>
      <c r="F104" s="12"/>
      <c r="G104" s="12"/>
      <c r="H104" s="12"/>
      <c r="I104" s="12"/>
      <c r="J104" s="12">
        <v>6472</v>
      </c>
      <c r="K104" s="129">
        <v>6472</v>
      </c>
      <c r="L104" s="12"/>
      <c r="M104" s="12"/>
      <c r="N104" s="12"/>
      <c r="O104" s="12"/>
      <c r="P104" s="12"/>
      <c r="Q104" s="12"/>
    </row>
    <row r="105" spans="1:17" ht="24" x14ac:dyDescent="0.2">
      <c r="A105" s="6">
        <v>78</v>
      </c>
      <c r="B105" s="92" t="s">
        <v>106</v>
      </c>
      <c r="C105" s="146" t="s">
        <v>869</v>
      </c>
      <c r="D105" s="91" t="s">
        <v>33</v>
      </c>
      <c r="E105" s="90">
        <v>7</v>
      </c>
      <c r="F105" s="89">
        <v>48.87</v>
      </c>
      <c r="G105" s="12"/>
      <c r="H105" s="12"/>
      <c r="I105" s="12"/>
      <c r="J105" s="12"/>
      <c r="K105" s="129">
        <v>342</v>
      </c>
      <c r="L105" s="12"/>
      <c r="M105" s="12"/>
      <c r="N105" s="12"/>
      <c r="O105" s="12"/>
      <c r="P105" s="12"/>
      <c r="Q105" s="12"/>
    </row>
    <row r="106" spans="1:17" ht="24" x14ac:dyDescent="0.2">
      <c r="A106" s="6">
        <v>79</v>
      </c>
      <c r="B106" s="92" t="s">
        <v>868</v>
      </c>
      <c r="C106" s="146" t="s">
        <v>867</v>
      </c>
      <c r="D106" s="91" t="s">
        <v>29</v>
      </c>
      <c r="E106" s="97">
        <v>6</v>
      </c>
      <c r="F106" s="89">
        <v>118.78</v>
      </c>
      <c r="G106" s="89">
        <v>108.98</v>
      </c>
      <c r="H106" s="89">
        <v>0.37</v>
      </c>
      <c r="I106" s="12"/>
      <c r="J106" s="12"/>
      <c r="K106" s="129">
        <v>713</v>
      </c>
      <c r="L106" s="12">
        <v>654</v>
      </c>
      <c r="M106" s="12">
        <v>2</v>
      </c>
      <c r="N106" s="12"/>
      <c r="O106" s="12">
        <v>7.92</v>
      </c>
      <c r="P106" s="12">
        <v>47.52</v>
      </c>
      <c r="Q106" s="12"/>
    </row>
    <row r="107" spans="1:17" ht="24" x14ac:dyDescent="0.2">
      <c r="A107" s="6">
        <v>80</v>
      </c>
      <c r="B107" s="92" t="s">
        <v>106</v>
      </c>
      <c r="C107" s="146" t="s">
        <v>866</v>
      </c>
      <c r="D107" s="91" t="s">
        <v>29</v>
      </c>
      <c r="E107" s="90">
        <v>66</v>
      </c>
      <c r="F107" s="12"/>
      <c r="G107" s="12"/>
      <c r="H107" s="12"/>
      <c r="I107" s="12"/>
      <c r="J107" s="12">
        <v>220525</v>
      </c>
      <c r="K107" s="129">
        <v>220525</v>
      </c>
      <c r="L107" s="12"/>
      <c r="M107" s="12"/>
      <c r="N107" s="12"/>
      <c r="O107" s="12"/>
      <c r="P107" s="12"/>
      <c r="Q107" s="12"/>
    </row>
    <row r="108" spans="1:17" ht="24" x14ac:dyDescent="0.2">
      <c r="A108" s="6">
        <v>81</v>
      </c>
      <c r="B108" s="92" t="s">
        <v>348</v>
      </c>
      <c r="C108" s="146" t="s">
        <v>347</v>
      </c>
      <c r="D108" s="91" t="s">
        <v>346</v>
      </c>
      <c r="E108" s="97">
        <v>60</v>
      </c>
      <c r="F108" s="89">
        <v>104.48</v>
      </c>
      <c r="G108" s="89">
        <v>87.8</v>
      </c>
      <c r="H108" s="89">
        <v>1</v>
      </c>
      <c r="I108" s="12"/>
      <c r="J108" s="12"/>
      <c r="K108" s="129">
        <v>6269</v>
      </c>
      <c r="L108" s="12">
        <v>5268</v>
      </c>
      <c r="M108" s="12">
        <v>60</v>
      </c>
      <c r="N108" s="12"/>
      <c r="O108" s="12">
        <v>6.48</v>
      </c>
      <c r="P108" s="12">
        <v>388.8</v>
      </c>
      <c r="Q108" s="12"/>
    </row>
    <row r="109" spans="1:17" ht="48" x14ac:dyDescent="0.2">
      <c r="A109" s="6">
        <v>82</v>
      </c>
      <c r="B109" s="92" t="s">
        <v>106</v>
      </c>
      <c r="C109" s="146" t="s">
        <v>345</v>
      </c>
      <c r="D109" s="91" t="s">
        <v>35</v>
      </c>
      <c r="E109" s="90">
        <v>660</v>
      </c>
      <c r="F109" s="89">
        <v>143.88</v>
      </c>
      <c r="G109" s="12"/>
      <c r="H109" s="12"/>
      <c r="I109" s="12"/>
      <c r="J109" s="12"/>
      <c r="K109" s="129">
        <v>94961</v>
      </c>
      <c r="L109" s="12"/>
      <c r="M109" s="12"/>
      <c r="N109" s="12"/>
      <c r="O109" s="12"/>
      <c r="P109" s="12"/>
      <c r="Q109" s="12"/>
    </row>
    <row r="110" spans="1:17" ht="24" x14ac:dyDescent="0.2">
      <c r="A110" s="6">
        <v>83</v>
      </c>
      <c r="B110" s="92" t="s">
        <v>343</v>
      </c>
      <c r="C110" s="146" t="s">
        <v>342</v>
      </c>
      <c r="D110" s="91" t="s">
        <v>76</v>
      </c>
      <c r="E110" s="90">
        <v>6</v>
      </c>
      <c r="F110" s="89">
        <v>1837.57</v>
      </c>
      <c r="G110" s="89">
        <v>474.14</v>
      </c>
      <c r="H110" s="89">
        <v>129.78</v>
      </c>
      <c r="I110" s="89">
        <v>23.9</v>
      </c>
      <c r="J110" s="12"/>
      <c r="K110" s="129">
        <v>11025</v>
      </c>
      <c r="L110" s="12">
        <v>2845</v>
      </c>
      <c r="M110" s="12">
        <v>779</v>
      </c>
      <c r="N110" s="12">
        <v>143</v>
      </c>
      <c r="O110" s="12">
        <v>37.1</v>
      </c>
      <c r="P110" s="12">
        <v>222.6</v>
      </c>
      <c r="Q110" s="12"/>
    </row>
    <row r="111" spans="1:17" x14ac:dyDescent="0.2">
      <c r="A111" s="166" t="s">
        <v>275</v>
      </c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</row>
    <row r="112" spans="1:17" x14ac:dyDescent="0.2">
      <c r="A112" s="177" t="s">
        <v>274</v>
      </c>
      <c r="B112" s="178"/>
      <c r="C112" s="178"/>
      <c r="D112" s="178"/>
      <c r="E112" s="178"/>
      <c r="F112" s="178"/>
      <c r="G112" s="178"/>
      <c r="H112" s="178"/>
      <c r="I112" s="178"/>
      <c r="J112" s="178"/>
      <c r="K112" s="178"/>
      <c r="L112" s="178"/>
      <c r="M112" s="178"/>
      <c r="N112" s="178"/>
      <c r="O112" s="178"/>
      <c r="P112" s="178"/>
      <c r="Q112" s="178"/>
    </row>
    <row r="113" spans="1:17" ht="77.25" x14ac:dyDescent="0.2">
      <c r="A113" s="6">
        <v>84</v>
      </c>
      <c r="B113" s="92" t="s">
        <v>273</v>
      </c>
      <c r="C113" s="146" t="s">
        <v>272</v>
      </c>
      <c r="D113" s="91" t="s">
        <v>271</v>
      </c>
      <c r="E113" s="90">
        <v>144</v>
      </c>
      <c r="F113" s="89">
        <v>27.19</v>
      </c>
      <c r="G113" s="89">
        <v>27.19</v>
      </c>
      <c r="H113" s="12"/>
      <c r="I113" s="12"/>
      <c r="J113" s="12"/>
      <c r="K113" s="129">
        <v>3915</v>
      </c>
      <c r="L113" s="12">
        <v>3915</v>
      </c>
      <c r="M113" s="12"/>
      <c r="N113" s="12"/>
      <c r="O113" s="12">
        <v>1.65</v>
      </c>
      <c r="P113" s="12">
        <v>237.6</v>
      </c>
      <c r="Q113" s="12"/>
    </row>
    <row r="114" spans="1:17" ht="36" x14ac:dyDescent="0.2">
      <c r="A114" s="6">
        <v>85</v>
      </c>
      <c r="B114" s="92" t="s">
        <v>270</v>
      </c>
      <c r="C114" s="146" t="s">
        <v>269</v>
      </c>
      <c r="D114" s="91" t="s">
        <v>268</v>
      </c>
      <c r="E114" s="97">
        <v>2</v>
      </c>
      <c r="F114" s="89">
        <v>95.38</v>
      </c>
      <c r="G114" s="89">
        <v>95.38</v>
      </c>
      <c r="H114" s="12"/>
      <c r="I114" s="12"/>
      <c r="J114" s="12"/>
      <c r="K114" s="129">
        <v>191</v>
      </c>
      <c r="L114" s="12">
        <v>191</v>
      </c>
      <c r="M114" s="12"/>
      <c r="N114" s="12"/>
      <c r="O114" s="12">
        <v>6</v>
      </c>
      <c r="P114" s="12">
        <v>12</v>
      </c>
      <c r="Q114" s="12"/>
    </row>
    <row r="115" spans="1:17" ht="48" x14ac:dyDescent="0.2">
      <c r="A115" s="6">
        <v>86</v>
      </c>
      <c r="B115" s="92" t="s">
        <v>267</v>
      </c>
      <c r="C115" s="146" t="s">
        <v>266</v>
      </c>
      <c r="D115" s="91" t="s">
        <v>265</v>
      </c>
      <c r="E115" s="97">
        <v>1</v>
      </c>
      <c r="F115" s="89">
        <v>366.98</v>
      </c>
      <c r="G115" s="89">
        <v>366.98</v>
      </c>
      <c r="H115" s="12"/>
      <c r="I115" s="12"/>
      <c r="J115" s="12"/>
      <c r="K115" s="129">
        <v>367</v>
      </c>
      <c r="L115" s="12">
        <v>367</v>
      </c>
      <c r="M115" s="12"/>
      <c r="N115" s="12"/>
      <c r="O115" s="12">
        <v>17.600000000000001</v>
      </c>
      <c r="P115" s="12">
        <v>17.600000000000001</v>
      </c>
      <c r="Q115" s="12"/>
    </row>
    <row r="116" spans="1:17" ht="48" x14ac:dyDescent="0.2">
      <c r="A116" s="6">
        <v>87</v>
      </c>
      <c r="B116" s="92" t="s">
        <v>865</v>
      </c>
      <c r="C116" s="146" t="s">
        <v>864</v>
      </c>
      <c r="D116" s="91" t="s">
        <v>863</v>
      </c>
      <c r="E116" s="97">
        <v>1</v>
      </c>
      <c r="F116" s="89">
        <v>1461.28</v>
      </c>
      <c r="G116" s="89">
        <v>1461.28</v>
      </c>
      <c r="H116" s="12"/>
      <c r="I116" s="12"/>
      <c r="J116" s="12"/>
      <c r="K116" s="129">
        <v>1461</v>
      </c>
      <c r="L116" s="12">
        <v>1461</v>
      </c>
      <c r="M116" s="12"/>
      <c r="N116" s="12"/>
      <c r="O116" s="12">
        <v>80</v>
      </c>
      <c r="P116" s="12">
        <v>80</v>
      </c>
      <c r="Q116" s="12"/>
    </row>
    <row r="117" spans="1:17" x14ac:dyDescent="0.2">
      <c r="A117" s="177" t="s">
        <v>264</v>
      </c>
      <c r="B117" s="178"/>
      <c r="C117" s="178"/>
      <c r="D117" s="178"/>
      <c r="E117" s="178"/>
      <c r="F117" s="178"/>
      <c r="G117" s="178"/>
      <c r="H117" s="178"/>
      <c r="I117" s="178"/>
      <c r="J117" s="178"/>
      <c r="K117" s="178"/>
      <c r="L117" s="178"/>
      <c r="M117" s="178"/>
      <c r="N117" s="178"/>
      <c r="O117" s="178"/>
      <c r="P117" s="178"/>
      <c r="Q117" s="178"/>
    </row>
    <row r="118" spans="1:17" ht="36" x14ac:dyDescent="0.2">
      <c r="A118" s="6">
        <v>88</v>
      </c>
      <c r="B118" s="92" t="s">
        <v>263</v>
      </c>
      <c r="C118" s="146" t="s">
        <v>262</v>
      </c>
      <c r="D118" s="91" t="s">
        <v>29</v>
      </c>
      <c r="E118" s="97">
        <v>1</v>
      </c>
      <c r="F118" s="89">
        <v>367.07</v>
      </c>
      <c r="G118" s="89">
        <v>367.07</v>
      </c>
      <c r="H118" s="12"/>
      <c r="I118" s="12"/>
      <c r="J118" s="12"/>
      <c r="K118" s="129">
        <v>367</v>
      </c>
      <c r="L118" s="12">
        <v>367</v>
      </c>
      <c r="M118" s="12"/>
      <c r="N118" s="12"/>
      <c r="O118" s="12">
        <v>22</v>
      </c>
      <c r="P118" s="12">
        <v>22</v>
      </c>
      <c r="Q118" s="12"/>
    </row>
    <row r="119" spans="1:17" x14ac:dyDescent="0.2">
      <c r="A119" s="168" t="s">
        <v>36</v>
      </c>
      <c r="B119" s="167"/>
      <c r="C119" s="167"/>
      <c r="D119" s="167"/>
      <c r="E119" s="167"/>
      <c r="F119" s="167"/>
      <c r="G119" s="167"/>
      <c r="H119" s="167"/>
      <c r="I119" s="167"/>
      <c r="J119" s="167"/>
      <c r="K119" s="130">
        <v>564635</v>
      </c>
      <c r="L119" s="89">
        <v>36106</v>
      </c>
      <c r="M119" s="89">
        <v>4058</v>
      </c>
      <c r="N119" s="89">
        <v>1028</v>
      </c>
      <c r="O119" s="12"/>
      <c r="P119" s="89">
        <v>2656.1</v>
      </c>
      <c r="Q119" s="12"/>
    </row>
    <row r="120" spans="1:17" x14ac:dyDescent="0.2">
      <c r="A120" s="168" t="s">
        <v>37</v>
      </c>
      <c r="B120" s="167"/>
      <c r="C120" s="167"/>
      <c r="D120" s="167"/>
      <c r="E120" s="167"/>
      <c r="F120" s="167"/>
      <c r="G120" s="167"/>
      <c r="H120" s="167"/>
      <c r="I120" s="167"/>
      <c r="J120" s="167"/>
      <c r="K120" s="130">
        <v>593335</v>
      </c>
      <c r="L120" s="89">
        <v>48012</v>
      </c>
      <c r="M120" s="89">
        <v>5538</v>
      </c>
      <c r="N120" s="89">
        <v>1447</v>
      </c>
      <c r="O120" s="12"/>
      <c r="P120" s="89">
        <v>3426.98</v>
      </c>
      <c r="Q120" s="12"/>
    </row>
    <row r="121" spans="1:17" x14ac:dyDescent="0.2">
      <c r="A121" s="168" t="s">
        <v>86</v>
      </c>
      <c r="B121" s="167"/>
      <c r="C121" s="167"/>
      <c r="D121" s="167"/>
      <c r="E121" s="167"/>
      <c r="F121" s="167"/>
      <c r="G121" s="167"/>
      <c r="H121" s="167"/>
      <c r="I121" s="167"/>
      <c r="J121" s="167"/>
      <c r="K121" s="129"/>
      <c r="L121" s="12"/>
      <c r="M121" s="12"/>
      <c r="N121" s="12"/>
      <c r="O121" s="12"/>
      <c r="P121" s="12"/>
      <c r="Q121" s="12"/>
    </row>
    <row r="122" spans="1:17" ht="25.15" customHeight="1" x14ac:dyDescent="0.2">
      <c r="A122" s="168" t="s">
        <v>862</v>
      </c>
      <c r="B122" s="167"/>
      <c r="C122" s="167"/>
      <c r="D122" s="167"/>
      <c r="E122" s="167"/>
      <c r="F122" s="167"/>
      <c r="G122" s="167"/>
      <c r="H122" s="167"/>
      <c r="I122" s="167"/>
      <c r="J122" s="167"/>
      <c r="K122" s="130">
        <v>1596</v>
      </c>
      <c r="L122" s="89">
        <v>1553</v>
      </c>
      <c r="M122" s="89">
        <v>44</v>
      </c>
      <c r="N122" s="89">
        <v>44</v>
      </c>
      <c r="O122" s="12"/>
      <c r="P122" s="12"/>
      <c r="Q122" s="12"/>
    </row>
    <row r="123" spans="1:17" ht="30" customHeight="1" x14ac:dyDescent="0.2">
      <c r="A123" s="168" t="s">
        <v>861</v>
      </c>
      <c r="B123" s="167"/>
      <c r="C123" s="167"/>
      <c r="D123" s="167"/>
      <c r="E123" s="167"/>
      <c r="F123" s="167"/>
      <c r="G123" s="167"/>
      <c r="H123" s="167"/>
      <c r="I123" s="167"/>
      <c r="J123" s="167"/>
      <c r="K123" s="130">
        <v>4399</v>
      </c>
      <c r="L123" s="12"/>
      <c r="M123" s="12"/>
      <c r="N123" s="12"/>
      <c r="O123" s="12"/>
      <c r="P123" s="12"/>
      <c r="Q123" s="12"/>
    </row>
    <row r="124" spans="1:17" ht="30" customHeight="1" x14ac:dyDescent="0.2">
      <c r="A124" s="168" t="s">
        <v>860</v>
      </c>
      <c r="B124" s="167"/>
      <c r="C124" s="167"/>
      <c r="D124" s="167"/>
      <c r="E124" s="167"/>
      <c r="F124" s="167"/>
      <c r="G124" s="167"/>
      <c r="H124" s="167"/>
      <c r="I124" s="167"/>
      <c r="J124" s="167"/>
      <c r="K124" s="130">
        <v>7730</v>
      </c>
      <c r="L124" s="12"/>
      <c r="M124" s="12"/>
      <c r="N124" s="12"/>
      <c r="O124" s="12"/>
      <c r="P124" s="12"/>
      <c r="Q124" s="12"/>
    </row>
    <row r="125" spans="1:17" ht="30" customHeight="1" x14ac:dyDescent="0.2">
      <c r="A125" s="168" t="s">
        <v>859</v>
      </c>
      <c r="B125" s="167"/>
      <c r="C125" s="167"/>
      <c r="D125" s="167"/>
      <c r="E125" s="167"/>
      <c r="F125" s="167"/>
      <c r="G125" s="167"/>
      <c r="H125" s="167"/>
      <c r="I125" s="167"/>
      <c r="J125" s="167"/>
      <c r="K125" s="130">
        <v>3185</v>
      </c>
      <c r="L125" s="12"/>
      <c r="M125" s="12"/>
      <c r="N125" s="12"/>
      <c r="O125" s="12"/>
      <c r="P125" s="12"/>
      <c r="Q125" s="12"/>
    </row>
    <row r="126" spans="1:17" ht="29.45" customHeight="1" x14ac:dyDescent="0.2">
      <c r="A126" s="168" t="s">
        <v>858</v>
      </c>
      <c r="B126" s="167"/>
      <c r="C126" s="167"/>
      <c r="D126" s="167"/>
      <c r="E126" s="167"/>
      <c r="F126" s="167"/>
      <c r="G126" s="167"/>
      <c r="H126" s="167"/>
      <c r="I126" s="167"/>
      <c r="J126" s="167"/>
      <c r="K126" s="130">
        <v>12316</v>
      </c>
      <c r="L126" s="89">
        <v>10880</v>
      </c>
      <c r="M126" s="89">
        <v>1436</v>
      </c>
      <c r="N126" s="89">
        <v>375</v>
      </c>
      <c r="O126" s="12"/>
      <c r="P126" s="89">
        <v>800.41499999999996</v>
      </c>
      <c r="Q126" s="12"/>
    </row>
    <row r="127" spans="1:17" ht="30" customHeight="1" x14ac:dyDescent="0.2">
      <c r="A127" s="168" t="s">
        <v>857</v>
      </c>
      <c r="B127" s="167"/>
      <c r="C127" s="167"/>
      <c r="D127" s="167"/>
      <c r="E127" s="167"/>
      <c r="F127" s="167"/>
      <c r="G127" s="167"/>
      <c r="H127" s="167"/>
      <c r="I127" s="167"/>
      <c r="J127" s="167"/>
      <c r="K127" s="130">
        <v>986</v>
      </c>
      <c r="L127" s="89">
        <v>986</v>
      </c>
      <c r="M127" s="12"/>
      <c r="N127" s="12"/>
      <c r="O127" s="12"/>
      <c r="P127" s="89">
        <v>55.38</v>
      </c>
      <c r="Q127" s="12"/>
    </row>
    <row r="128" spans="1:17" ht="15" customHeight="1" x14ac:dyDescent="0.2">
      <c r="A128" s="168" t="s">
        <v>856</v>
      </c>
      <c r="B128" s="167"/>
      <c r="C128" s="167"/>
      <c r="D128" s="167"/>
      <c r="E128" s="167"/>
      <c r="F128" s="167"/>
      <c r="G128" s="167"/>
      <c r="H128" s="167"/>
      <c r="I128" s="167"/>
      <c r="J128" s="167"/>
      <c r="K128" s="130">
        <v>-1512</v>
      </c>
      <c r="L128" s="89">
        <v>-1512</v>
      </c>
      <c r="M128" s="12"/>
      <c r="N128" s="12"/>
      <c r="O128" s="12"/>
      <c r="P128" s="89">
        <v>-84.915999999999997</v>
      </c>
      <c r="Q128" s="12"/>
    </row>
    <row r="129" spans="1:17" x14ac:dyDescent="0.2">
      <c r="A129" s="168" t="s">
        <v>38</v>
      </c>
      <c r="B129" s="167"/>
      <c r="C129" s="167"/>
      <c r="D129" s="167"/>
      <c r="E129" s="167"/>
      <c r="F129" s="167"/>
      <c r="G129" s="167"/>
      <c r="H129" s="167"/>
      <c r="I129" s="167"/>
      <c r="J129" s="167"/>
      <c r="K129" s="130">
        <v>40599</v>
      </c>
      <c r="L129" s="12"/>
      <c r="M129" s="12"/>
      <c r="N129" s="12"/>
      <c r="O129" s="12"/>
      <c r="P129" s="12"/>
      <c r="Q129" s="12"/>
    </row>
    <row r="130" spans="1:17" x14ac:dyDescent="0.2">
      <c r="A130" s="168" t="s">
        <v>86</v>
      </c>
      <c r="B130" s="167"/>
      <c r="C130" s="167"/>
      <c r="D130" s="167"/>
      <c r="E130" s="167"/>
      <c r="F130" s="167"/>
      <c r="G130" s="167"/>
      <c r="H130" s="167"/>
      <c r="I130" s="167"/>
      <c r="J130" s="167"/>
      <c r="K130" s="129"/>
      <c r="L130" s="12"/>
      <c r="M130" s="12"/>
      <c r="N130" s="12"/>
      <c r="O130" s="12"/>
      <c r="P130" s="12"/>
      <c r="Q130" s="12"/>
    </row>
    <row r="131" spans="1:17" x14ac:dyDescent="0.2">
      <c r="A131" s="168" t="s">
        <v>855</v>
      </c>
      <c r="B131" s="167"/>
      <c r="C131" s="167"/>
      <c r="D131" s="167"/>
      <c r="E131" s="167"/>
      <c r="F131" s="167"/>
      <c r="G131" s="167"/>
      <c r="H131" s="167"/>
      <c r="I131" s="167"/>
      <c r="J131" s="167"/>
      <c r="K131" s="130">
        <v>3930</v>
      </c>
      <c r="L131" s="12"/>
      <c r="M131" s="12"/>
      <c r="N131" s="12"/>
      <c r="O131" s="12"/>
      <c r="P131" s="12"/>
      <c r="Q131" s="12"/>
    </row>
    <row r="132" spans="1:17" x14ac:dyDescent="0.2">
      <c r="A132" s="168" t="s">
        <v>854</v>
      </c>
      <c r="B132" s="167"/>
      <c r="C132" s="167"/>
      <c r="D132" s="167"/>
      <c r="E132" s="167"/>
      <c r="F132" s="167"/>
      <c r="G132" s="167"/>
      <c r="H132" s="167"/>
      <c r="I132" s="167"/>
      <c r="J132" s="167"/>
      <c r="K132" s="130">
        <v>22969</v>
      </c>
      <c r="L132" s="12"/>
      <c r="M132" s="12"/>
      <c r="N132" s="12"/>
      <c r="O132" s="12"/>
      <c r="P132" s="12"/>
      <c r="Q132" s="12"/>
    </row>
    <row r="133" spans="1:17" x14ac:dyDescent="0.2">
      <c r="A133" s="168" t="s">
        <v>853</v>
      </c>
      <c r="B133" s="167"/>
      <c r="C133" s="167"/>
      <c r="D133" s="167"/>
      <c r="E133" s="167"/>
      <c r="F133" s="167"/>
      <c r="G133" s="167"/>
      <c r="H133" s="167"/>
      <c r="I133" s="167"/>
      <c r="J133" s="167"/>
      <c r="K133" s="130">
        <v>8357</v>
      </c>
      <c r="L133" s="12"/>
      <c r="M133" s="12"/>
      <c r="N133" s="12"/>
      <c r="O133" s="12"/>
      <c r="P133" s="12"/>
      <c r="Q133" s="12"/>
    </row>
    <row r="134" spans="1:17" x14ac:dyDescent="0.2">
      <c r="A134" s="168" t="s">
        <v>852</v>
      </c>
      <c r="B134" s="167"/>
      <c r="C134" s="167"/>
      <c r="D134" s="167"/>
      <c r="E134" s="167"/>
      <c r="F134" s="167"/>
      <c r="G134" s="167"/>
      <c r="H134" s="167"/>
      <c r="I134" s="167"/>
      <c r="J134" s="167"/>
      <c r="K134" s="130">
        <v>5231</v>
      </c>
      <c r="L134" s="12"/>
      <c r="M134" s="12"/>
      <c r="N134" s="12"/>
      <c r="O134" s="12"/>
      <c r="P134" s="12"/>
      <c r="Q134" s="12"/>
    </row>
    <row r="135" spans="1:17" x14ac:dyDescent="0.2">
      <c r="A135" s="168" t="s">
        <v>851</v>
      </c>
      <c r="B135" s="167"/>
      <c r="C135" s="167"/>
      <c r="D135" s="167"/>
      <c r="E135" s="167"/>
      <c r="F135" s="167"/>
      <c r="G135" s="167"/>
      <c r="H135" s="167"/>
      <c r="I135" s="167"/>
      <c r="J135" s="167"/>
      <c r="K135" s="130">
        <v>112</v>
      </c>
      <c r="L135" s="12"/>
      <c r="M135" s="12"/>
      <c r="N135" s="12"/>
      <c r="O135" s="12"/>
      <c r="P135" s="12"/>
      <c r="Q135" s="12"/>
    </row>
    <row r="136" spans="1:17" x14ac:dyDescent="0.2">
      <c r="A136" s="168" t="s">
        <v>39</v>
      </c>
      <c r="B136" s="167"/>
      <c r="C136" s="167"/>
      <c r="D136" s="167"/>
      <c r="E136" s="167"/>
      <c r="F136" s="167"/>
      <c r="G136" s="167"/>
      <c r="H136" s="167"/>
      <c r="I136" s="167"/>
      <c r="J136" s="167"/>
      <c r="K136" s="130">
        <v>29202</v>
      </c>
      <c r="L136" s="12"/>
      <c r="M136" s="12"/>
      <c r="N136" s="12"/>
      <c r="O136" s="12"/>
      <c r="P136" s="12"/>
      <c r="Q136" s="12"/>
    </row>
    <row r="137" spans="1:17" x14ac:dyDescent="0.2">
      <c r="A137" s="168" t="s">
        <v>86</v>
      </c>
      <c r="B137" s="167"/>
      <c r="C137" s="167"/>
      <c r="D137" s="167"/>
      <c r="E137" s="167"/>
      <c r="F137" s="167"/>
      <c r="G137" s="167"/>
      <c r="H137" s="167"/>
      <c r="I137" s="167"/>
      <c r="J137" s="167"/>
      <c r="K137" s="129"/>
      <c r="L137" s="12"/>
      <c r="M137" s="12"/>
      <c r="N137" s="12"/>
      <c r="O137" s="12"/>
      <c r="P137" s="12"/>
      <c r="Q137" s="12"/>
    </row>
    <row r="138" spans="1:17" x14ac:dyDescent="0.2">
      <c r="A138" s="168" t="s">
        <v>850</v>
      </c>
      <c r="B138" s="167"/>
      <c r="C138" s="167"/>
      <c r="D138" s="167"/>
      <c r="E138" s="167"/>
      <c r="F138" s="167"/>
      <c r="G138" s="167"/>
      <c r="H138" s="167"/>
      <c r="I138" s="167"/>
      <c r="J138" s="167"/>
      <c r="K138" s="130">
        <v>2418</v>
      </c>
      <c r="L138" s="12"/>
      <c r="M138" s="12"/>
      <c r="N138" s="12"/>
      <c r="O138" s="12"/>
      <c r="P138" s="12"/>
      <c r="Q138" s="12"/>
    </row>
    <row r="139" spans="1:17" x14ac:dyDescent="0.2">
      <c r="A139" s="168" t="s">
        <v>849</v>
      </c>
      <c r="B139" s="167"/>
      <c r="C139" s="167"/>
      <c r="D139" s="167"/>
      <c r="E139" s="167"/>
      <c r="F139" s="167"/>
      <c r="G139" s="167"/>
      <c r="H139" s="167"/>
      <c r="I139" s="167"/>
      <c r="J139" s="167"/>
      <c r="K139" s="130">
        <v>17227</v>
      </c>
      <c r="L139" s="12"/>
      <c r="M139" s="12"/>
      <c r="N139" s="12"/>
      <c r="O139" s="12"/>
      <c r="P139" s="12"/>
      <c r="Q139" s="12"/>
    </row>
    <row r="140" spans="1:17" ht="15" customHeight="1" x14ac:dyDescent="0.2">
      <c r="A140" s="168" t="s">
        <v>848</v>
      </c>
      <c r="B140" s="167"/>
      <c r="C140" s="167"/>
      <c r="D140" s="167"/>
      <c r="E140" s="167"/>
      <c r="F140" s="167"/>
      <c r="G140" s="167"/>
      <c r="H140" s="167"/>
      <c r="I140" s="167"/>
      <c r="J140" s="167"/>
      <c r="K140" s="130">
        <v>9557</v>
      </c>
      <c r="L140" s="12"/>
      <c r="M140" s="12"/>
      <c r="N140" s="12"/>
      <c r="O140" s="12"/>
      <c r="P140" s="12"/>
      <c r="Q140" s="12"/>
    </row>
    <row r="141" spans="1:17" x14ac:dyDescent="0.2">
      <c r="A141" s="173" t="s">
        <v>40</v>
      </c>
      <c r="B141" s="167"/>
      <c r="C141" s="167"/>
      <c r="D141" s="167"/>
      <c r="E141" s="167"/>
      <c r="F141" s="167"/>
      <c r="G141" s="167"/>
      <c r="H141" s="167"/>
      <c r="I141" s="167"/>
      <c r="J141" s="167"/>
      <c r="K141" s="129"/>
      <c r="L141" s="12"/>
      <c r="M141" s="12"/>
      <c r="N141" s="12"/>
      <c r="O141" s="12"/>
      <c r="P141" s="12"/>
      <c r="Q141" s="12"/>
    </row>
    <row r="142" spans="1:17" x14ac:dyDescent="0.2">
      <c r="A142" s="168" t="s">
        <v>83</v>
      </c>
      <c r="B142" s="167"/>
      <c r="C142" s="167"/>
      <c r="D142" s="167"/>
      <c r="E142" s="167"/>
      <c r="F142" s="167"/>
      <c r="G142" s="167"/>
      <c r="H142" s="167"/>
      <c r="I142" s="167"/>
      <c r="J142" s="167"/>
      <c r="K142" s="130">
        <v>382158</v>
      </c>
      <c r="L142" s="12"/>
      <c r="M142" s="12"/>
      <c r="N142" s="12"/>
      <c r="O142" s="12"/>
      <c r="P142" s="89">
        <v>3087.32</v>
      </c>
      <c r="Q142" s="12"/>
    </row>
    <row r="143" spans="1:17" x14ac:dyDescent="0.2">
      <c r="A143" s="168" t="s">
        <v>82</v>
      </c>
      <c r="B143" s="167"/>
      <c r="C143" s="167"/>
      <c r="D143" s="167"/>
      <c r="E143" s="167"/>
      <c r="F143" s="167"/>
      <c r="G143" s="167"/>
      <c r="H143" s="167"/>
      <c r="I143" s="167"/>
      <c r="J143" s="167"/>
      <c r="K143" s="130">
        <v>268584</v>
      </c>
      <c r="L143" s="12"/>
      <c r="M143" s="12"/>
      <c r="N143" s="12"/>
      <c r="O143" s="12"/>
      <c r="P143" s="12"/>
      <c r="Q143" s="12"/>
    </row>
    <row r="144" spans="1:17" x14ac:dyDescent="0.2">
      <c r="A144" s="168" t="s">
        <v>247</v>
      </c>
      <c r="B144" s="167"/>
      <c r="C144" s="167"/>
      <c r="D144" s="167"/>
      <c r="E144" s="167"/>
      <c r="F144" s="167"/>
      <c r="G144" s="167"/>
      <c r="H144" s="167"/>
      <c r="I144" s="167"/>
      <c r="J144" s="167"/>
      <c r="K144" s="130">
        <v>12394</v>
      </c>
      <c r="L144" s="12"/>
      <c r="M144" s="12"/>
      <c r="N144" s="12"/>
      <c r="O144" s="12"/>
      <c r="P144" s="89">
        <v>339.66</v>
      </c>
      <c r="Q144" s="12"/>
    </row>
    <row r="145" spans="1:17" x14ac:dyDescent="0.2">
      <c r="A145" s="168" t="s">
        <v>41</v>
      </c>
      <c r="B145" s="167"/>
      <c r="C145" s="167"/>
      <c r="D145" s="167"/>
      <c r="E145" s="167"/>
      <c r="F145" s="167"/>
      <c r="G145" s="167"/>
      <c r="H145" s="167"/>
      <c r="I145" s="167"/>
      <c r="J145" s="167"/>
      <c r="K145" s="130">
        <v>663136</v>
      </c>
      <c r="L145" s="12"/>
      <c r="M145" s="12"/>
      <c r="N145" s="12"/>
      <c r="O145" s="12"/>
      <c r="P145" s="89">
        <v>3426.98</v>
      </c>
      <c r="Q145" s="12"/>
    </row>
    <row r="146" spans="1:17" x14ac:dyDescent="0.2">
      <c r="A146" s="168" t="s">
        <v>42</v>
      </c>
      <c r="B146" s="167"/>
      <c r="C146" s="167"/>
      <c r="D146" s="167"/>
      <c r="E146" s="167"/>
      <c r="F146" s="167"/>
      <c r="G146" s="167"/>
      <c r="H146" s="167"/>
      <c r="I146" s="167"/>
      <c r="J146" s="167"/>
      <c r="K146" s="129"/>
      <c r="L146" s="12"/>
      <c r="M146" s="12"/>
      <c r="N146" s="12"/>
      <c r="O146" s="12"/>
      <c r="P146" s="12"/>
      <c r="Q146" s="12"/>
    </row>
    <row r="147" spans="1:17" x14ac:dyDescent="0.2">
      <c r="A147" s="168" t="s">
        <v>43</v>
      </c>
      <c r="B147" s="167"/>
      <c r="C147" s="167"/>
      <c r="D147" s="167"/>
      <c r="E147" s="167"/>
      <c r="F147" s="167"/>
      <c r="G147" s="167"/>
      <c r="H147" s="167"/>
      <c r="I147" s="167"/>
      <c r="J147" s="167"/>
      <c r="K147" s="130">
        <v>271201</v>
      </c>
      <c r="L147" s="12"/>
      <c r="M147" s="12"/>
      <c r="N147" s="12"/>
      <c r="O147" s="12"/>
      <c r="P147" s="12"/>
      <c r="Q147" s="12"/>
    </row>
    <row r="148" spans="1:17" x14ac:dyDescent="0.2">
      <c r="A148" s="168" t="s">
        <v>44</v>
      </c>
      <c r="B148" s="167"/>
      <c r="C148" s="167"/>
      <c r="D148" s="167"/>
      <c r="E148" s="167"/>
      <c r="F148" s="167"/>
      <c r="G148" s="167"/>
      <c r="H148" s="167"/>
      <c r="I148" s="167"/>
      <c r="J148" s="167"/>
      <c r="K148" s="130">
        <f>5538-N120</f>
        <v>4091</v>
      </c>
      <c r="L148" s="12"/>
      <c r="M148" s="12"/>
      <c r="N148" s="12"/>
      <c r="O148" s="12"/>
      <c r="P148" s="12"/>
      <c r="Q148" s="12"/>
    </row>
    <row r="149" spans="1:17" x14ac:dyDescent="0.2">
      <c r="A149" s="168" t="s">
        <v>45</v>
      </c>
      <c r="B149" s="167"/>
      <c r="C149" s="167"/>
      <c r="D149" s="167"/>
      <c r="E149" s="167"/>
      <c r="F149" s="167"/>
      <c r="G149" s="167"/>
      <c r="H149" s="167"/>
      <c r="I149" s="167"/>
      <c r="J149" s="167"/>
      <c r="K149" s="130">
        <v>49459</v>
      </c>
      <c r="L149" s="12"/>
      <c r="M149" s="12"/>
      <c r="N149" s="12"/>
      <c r="O149" s="12"/>
      <c r="P149" s="12"/>
      <c r="Q149" s="12"/>
    </row>
    <row r="150" spans="1:17" x14ac:dyDescent="0.2">
      <c r="A150" s="168" t="s">
        <v>19</v>
      </c>
      <c r="B150" s="167"/>
      <c r="C150" s="167"/>
      <c r="D150" s="167"/>
      <c r="E150" s="167"/>
      <c r="F150" s="167"/>
      <c r="G150" s="167"/>
      <c r="H150" s="167"/>
      <c r="I150" s="167"/>
      <c r="J150" s="167"/>
      <c r="K150" s="130">
        <v>268584</v>
      </c>
      <c r="L150" s="12"/>
      <c r="M150" s="12"/>
      <c r="N150" s="12"/>
      <c r="O150" s="12"/>
      <c r="P150" s="12"/>
      <c r="Q150" s="12"/>
    </row>
    <row r="151" spans="1:17" x14ac:dyDescent="0.2">
      <c r="A151" s="168" t="s">
        <v>46</v>
      </c>
      <c r="B151" s="167"/>
      <c r="C151" s="167"/>
      <c r="D151" s="167"/>
      <c r="E151" s="167"/>
      <c r="F151" s="167"/>
      <c r="G151" s="167"/>
      <c r="H151" s="167"/>
      <c r="I151" s="167"/>
      <c r="J151" s="167"/>
      <c r="K151" s="130">
        <v>40599</v>
      </c>
      <c r="L151" s="12"/>
      <c r="M151" s="12"/>
      <c r="N151" s="12"/>
      <c r="O151" s="12"/>
      <c r="P151" s="12"/>
      <c r="Q151" s="12"/>
    </row>
    <row r="152" spans="1:17" x14ac:dyDescent="0.2">
      <c r="A152" s="168" t="s">
        <v>47</v>
      </c>
      <c r="B152" s="167"/>
      <c r="C152" s="167"/>
      <c r="D152" s="167"/>
      <c r="E152" s="167"/>
      <c r="F152" s="167"/>
      <c r="G152" s="167"/>
      <c r="H152" s="167"/>
      <c r="I152" s="167"/>
      <c r="J152" s="167"/>
      <c r="K152" s="130">
        <v>29202</v>
      </c>
      <c r="L152" s="12"/>
      <c r="M152" s="12"/>
      <c r="N152" s="12"/>
      <c r="O152" s="12"/>
      <c r="P152" s="12"/>
      <c r="Q152" s="12"/>
    </row>
    <row r="153" spans="1:17" x14ac:dyDescent="0.2">
      <c r="A153" s="173" t="s">
        <v>48</v>
      </c>
      <c r="B153" s="167"/>
      <c r="C153" s="167"/>
      <c r="D153" s="167"/>
      <c r="E153" s="167"/>
      <c r="F153" s="167"/>
      <c r="G153" s="167"/>
      <c r="H153" s="167"/>
      <c r="I153" s="167"/>
      <c r="J153" s="167"/>
      <c r="K153" s="131">
        <f>SUM(K147:K152)</f>
        <v>663136</v>
      </c>
      <c r="L153" s="12"/>
      <c r="M153" s="12"/>
      <c r="N153" s="12"/>
      <c r="O153" s="12"/>
      <c r="P153" s="13">
        <v>3426.98</v>
      </c>
      <c r="Q153" s="12"/>
    </row>
    <row r="154" spans="1:17" x14ac:dyDescent="0.2">
      <c r="F154" s="10"/>
      <c r="G154" s="10"/>
      <c r="H154" s="10"/>
      <c r="I154" s="10"/>
      <c r="J154" s="10"/>
      <c r="K154" s="132"/>
      <c r="L154" s="10"/>
      <c r="M154" s="10"/>
      <c r="N154" s="10"/>
      <c r="O154" s="10"/>
      <c r="P154" s="10"/>
      <c r="Q154" s="10"/>
    </row>
  </sheetData>
  <mergeCells count="61">
    <mergeCell ref="K24:K25"/>
    <mergeCell ref="L24:N24"/>
    <mergeCell ref="A120:J120"/>
    <mergeCell ref="A23:A25"/>
    <mergeCell ref="C23:C25"/>
    <mergeCell ref="D23:D25"/>
    <mergeCell ref="E23:E25"/>
    <mergeCell ref="Q23:Q25"/>
    <mergeCell ref="P23:P25"/>
    <mergeCell ref="A132:J132"/>
    <mergeCell ref="A121:J121"/>
    <mergeCell ref="A122:J122"/>
    <mergeCell ref="A123:J123"/>
    <mergeCell ref="A124:J124"/>
    <mergeCell ref="B23:B25"/>
    <mergeCell ref="F24:F25"/>
    <mergeCell ref="F23:I23"/>
    <mergeCell ref="G24:I24"/>
    <mergeCell ref="A27:Q27"/>
    <mergeCell ref="A111:Q111"/>
    <mergeCell ref="O23:O25"/>
    <mergeCell ref="J24:J25"/>
    <mergeCell ref="J23:N23"/>
    <mergeCell ref="A128:J128"/>
    <mergeCell ref="A129:J129"/>
    <mergeCell ref="A130:J130"/>
    <mergeCell ref="A112:Q112"/>
    <mergeCell ref="A117:Q117"/>
    <mergeCell ref="A119:J119"/>
    <mergeCell ref="E1:I1"/>
    <mergeCell ref="A151:J151"/>
    <mergeCell ref="A152:J152"/>
    <mergeCell ref="A148:J148"/>
    <mergeCell ref="A149:J149"/>
    <mergeCell ref="A150:J150"/>
    <mergeCell ref="A131:J131"/>
    <mergeCell ref="A144:J144"/>
    <mergeCell ref="A133:J133"/>
    <mergeCell ref="A134:J134"/>
    <mergeCell ref="A135:J135"/>
    <mergeCell ref="A136:J136"/>
    <mergeCell ref="A137:J137"/>
    <mergeCell ref="A138:J138"/>
    <mergeCell ref="A139:J139"/>
    <mergeCell ref="A140:J140"/>
    <mergeCell ref="A153:J153"/>
    <mergeCell ref="J14:K14"/>
    <mergeCell ref="J18:K18"/>
    <mergeCell ref="J19:K19"/>
    <mergeCell ref="J17:K17"/>
    <mergeCell ref="J16:K16"/>
    <mergeCell ref="J15:K15"/>
    <mergeCell ref="A145:J145"/>
    <mergeCell ref="A146:J146"/>
    <mergeCell ref="A147:J147"/>
    <mergeCell ref="A141:J141"/>
    <mergeCell ref="A142:J142"/>
    <mergeCell ref="A143:J143"/>
    <mergeCell ref="A125:J125"/>
    <mergeCell ref="A126:J126"/>
    <mergeCell ref="A127:J127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40"/>
  <sheetViews>
    <sheetView topLeftCell="A19" zoomScaleNormal="100" zoomScaleSheetLayoutView="75" workbookViewId="0">
      <selection activeCell="D20" sqref="D20"/>
    </sheetView>
  </sheetViews>
  <sheetFormatPr defaultColWidth="9" defaultRowHeight="12.75" x14ac:dyDescent="0.2"/>
  <cols>
    <col min="1" max="1" width="53.5703125" style="44" customWidth="1"/>
    <col min="2" max="2" width="18.42578125" style="44" customWidth="1"/>
    <col min="3" max="3" width="18.5703125" style="44" customWidth="1"/>
    <col min="4" max="4" width="19" style="45" customWidth="1"/>
    <col min="5" max="250" width="20.140625" style="44" customWidth="1"/>
    <col min="251" max="251" width="10.7109375" style="44" customWidth="1"/>
    <col min="252" max="252" width="11.140625" style="44" customWidth="1"/>
    <col min="253" max="253" width="21.42578125" style="44" customWidth="1"/>
    <col min="254" max="254" width="21.5703125" style="44" customWidth="1"/>
    <col min="255" max="255" width="22.28515625" style="44" customWidth="1"/>
    <col min="256" max="16384" width="9" style="44"/>
  </cols>
  <sheetData>
    <row r="1" spans="1:4" s="14" customFormat="1" ht="18.75" customHeight="1" x14ac:dyDescent="0.2">
      <c r="A1" s="188" t="s">
        <v>54</v>
      </c>
      <c r="B1" s="188"/>
      <c r="C1" s="188"/>
      <c r="D1" s="188"/>
    </row>
    <row r="2" spans="1:4" s="14" customFormat="1" ht="15.75" customHeight="1" x14ac:dyDescent="0.2">
      <c r="A2" s="15"/>
      <c r="B2" s="15"/>
      <c r="C2" s="15"/>
      <c r="D2" s="15"/>
    </row>
    <row r="3" spans="1:4" s="14" customFormat="1" ht="20.25" customHeight="1" x14ac:dyDescent="0.2">
      <c r="A3" s="189" t="s">
        <v>55</v>
      </c>
      <c r="B3" s="189"/>
      <c r="C3" s="189"/>
      <c r="D3" s="189"/>
    </row>
    <row r="4" spans="1:4" s="14" customFormat="1" ht="15.75" customHeight="1" x14ac:dyDescent="0.2">
      <c r="A4" s="16"/>
      <c r="B4" s="17"/>
      <c r="C4" s="16"/>
      <c r="D4" s="18"/>
    </row>
    <row r="5" spans="1:4" s="19" customFormat="1" ht="58.5" customHeight="1" x14ac:dyDescent="0.3">
      <c r="A5" s="190" t="s">
        <v>81</v>
      </c>
      <c r="B5" s="190"/>
      <c r="C5" s="190"/>
      <c r="D5" s="190"/>
    </row>
    <row r="6" spans="1:4" s="19" customFormat="1" ht="9" customHeight="1" x14ac:dyDescent="0.3">
      <c r="A6" s="190"/>
      <c r="B6" s="190"/>
      <c r="C6" s="190"/>
      <c r="D6" s="190"/>
    </row>
    <row r="7" spans="1:4" s="19" customFormat="1" ht="15.75" customHeight="1" x14ac:dyDescent="0.3">
      <c r="A7" s="20"/>
      <c r="B7" s="20"/>
      <c r="C7" s="20"/>
      <c r="D7" s="20"/>
    </row>
    <row r="8" spans="1:4" s="25" customFormat="1" ht="15.75" customHeight="1" x14ac:dyDescent="0.25">
      <c r="A8" s="21" t="s">
        <v>56</v>
      </c>
      <c r="B8" s="22"/>
      <c r="C8" s="23"/>
      <c r="D8" s="24" t="s">
        <v>57</v>
      </c>
    </row>
    <row r="9" spans="1:4" s="14" customFormat="1" ht="15.75" customHeight="1" x14ac:dyDescent="0.2">
      <c r="A9" s="180" t="s">
        <v>58</v>
      </c>
      <c r="B9" s="183" t="s">
        <v>59</v>
      </c>
      <c r="C9" s="183" t="s">
        <v>60</v>
      </c>
      <c r="D9" s="183" t="s">
        <v>61</v>
      </c>
    </row>
    <row r="10" spans="1:4" s="26" customFormat="1" ht="12.75" customHeight="1" x14ac:dyDescent="0.2">
      <c r="A10" s="181"/>
      <c r="B10" s="184"/>
      <c r="C10" s="184"/>
      <c r="D10" s="186"/>
    </row>
    <row r="11" spans="1:4" s="26" customFormat="1" ht="12.75" customHeight="1" x14ac:dyDescent="0.2">
      <c r="A11" s="181"/>
      <c r="B11" s="184"/>
      <c r="C11" s="184"/>
      <c r="D11" s="186"/>
    </row>
    <row r="12" spans="1:4" s="26" customFormat="1" ht="75" customHeight="1" x14ac:dyDescent="0.2">
      <c r="A12" s="182"/>
      <c r="B12" s="185"/>
      <c r="C12" s="184"/>
      <c r="D12" s="187"/>
    </row>
    <row r="13" spans="1:4" s="14" customFormat="1" ht="15.75" x14ac:dyDescent="0.25">
      <c r="A13" s="51" t="s">
        <v>62</v>
      </c>
      <c r="B13" s="27" t="s">
        <v>63</v>
      </c>
      <c r="C13" s="28" t="s">
        <v>64</v>
      </c>
      <c r="D13" s="47" t="s">
        <v>65</v>
      </c>
    </row>
    <row r="14" spans="1:4" s="31" customFormat="1" ht="66.75" customHeight="1" x14ac:dyDescent="0.2">
      <c r="A14" s="52" t="s">
        <v>805</v>
      </c>
      <c r="B14" s="29">
        <f>'Сводка затрат'!H13</f>
        <v>23501</v>
      </c>
      <c r="C14" s="30">
        <f>ROUND('Сводка затрат'!E13*5.56,0)+ROUND('Сводка затрат'!D13*5.56,0)+ROUND('Сводка затрат'!F13*4.19,0)+ROUND('Сводка затрат'!G13*9.32,0)</f>
        <v>134835</v>
      </c>
      <c r="D14" s="88" t="s">
        <v>800</v>
      </c>
    </row>
    <row r="15" spans="1:4" s="31" customFormat="1" ht="67.5" customHeight="1" x14ac:dyDescent="0.2">
      <c r="A15" s="46" t="s">
        <v>806</v>
      </c>
      <c r="B15" s="29">
        <f>'Сводка затрат'!H14</f>
        <v>152475</v>
      </c>
      <c r="C15" s="30">
        <f>ROUND('Сводка затрат'!E14*5.56,0)+ROUND('Сводка затрат'!D14*5.56,0)+ROUND('Сводка затрат'!F14*4.19,0)+ROUND('Сводка затрат'!G14*9.32,0)</f>
        <v>866512</v>
      </c>
      <c r="D15" s="88" t="s">
        <v>801</v>
      </c>
    </row>
    <row r="16" spans="1:4" s="31" customFormat="1" ht="67.5" customHeight="1" x14ac:dyDescent="0.2">
      <c r="A16" s="46" t="s">
        <v>499</v>
      </c>
      <c r="B16" s="29">
        <f>'Сводка затрат'!H15</f>
        <v>160906</v>
      </c>
      <c r="C16" s="30">
        <f>ROUND('Сводка затрат'!E15*5.56,0)+ROUND('Сводка затрат'!D15*5.56,0)+ROUND('Сводка затрат'!F15*4.19,0)+ROUND('Сводка затрат'!G15*9.32,0)</f>
        <v>731217</v>
      </c>
      <c r="D16" s="88" t="s">
        <v>493</v>
      </c>
    </row>
    <row r="17" spans="1:4" s="31" customFormat="1" ht="67.5" customHeight="1" x14ac:dyDescent="0.2">
      <c r="A17" s="46" t="s">
        <v>502</v>
      </c>
      <c r="B17" s="29">
        <f>'Сводка затрат'!H16</f>
        <v>187278</v>
      </c>
      <c r="C17" s="30">
        <f>ROUND('Сводка затрат'!E16*5.56,0)+ROUND('Сводка затрат'!D16*5.56,0)+ROUND('Сводка затрат'!F16*4.19,0)+ROUND('Сводка затрат'!G16*9.32,0)</f>
        <v>1041266</v>
      </c>
      <c r="D17" s="88" t="s">
        <v>494</v>
      </c>
    </row>
    <row r="18" spans="1:4" s="31" customFormat="1" ht="67.5" customHeight="1" x14ac:dyDescent="0.2">
      <c r="A18" s="46" t="s">
        <v>502</v>
      </c>
      <c r="B18" s="29">
        <f>'Сводка затрат'!H17</f>
        <v>9494</v>
      </c>
      <c r="C18" s="30">
        <f>ROUND('Сводка затрат'!E17*5.56,0)+ROUND('Сводка затрат'!D17*5.56,0)+ROUND('Сводка затрат'!F17*4.19,0)+ROUND('Сводка затрат'!G17*9.32,0)</f>
        <v>49502</v>
      </c>
      <c r="D18" s="88" t="s">
        <v>495</v>
      </c>
    </row>
    <row r="19" spans="1:4" s="31" customFormat="1" ht="67.5" customHeight="1" x14ac:dyDescent="0.2">
      <c r="A19" s="46" t="s">
        <v>807</v>
      </c>
      <c r="B19" s="29">
        <f>'Сводка затрат'!H18</f>
        <v>143066</v>
      </c>
      <c r="C19" s="30">
        <f>ROUND('Сводка затрат'!E18*5.56,0)+ROUND('Сводка затрат'!D18*5.56,0)+ROUND('Сводка затрат'!F18*4.19,0)+ROUND('Сводка затрат'!G18*9.32,0)</f>
        <v>750309</v>
      </c>
      <c r="D19" s="88" t="s">
        <v>802</v>
      </c>
    </row>
    <row r="20" spans="1:4" s="31" customFormat="1" ht="67.5" customHeight="1" x14ac:dyDescent="0.2">
      <c r="A20" s="46" t="s">
        <v>808</v>
      </c>
      <c r="B20" s="29">
        <f>'Сводка затрат'!H19</f>
        <v>193899</v>
      </c>
      <c r="C20" s="30">
        <f>ROUND('Сводка затрат'!E19*5.56,0)+ROUND('Сводка затрат'!D19*5.56,0)+ROUND('Сводка затрат'!F19*4.19,0)+ROUND('Сводка затрат'!G19*9.32,0)</f>
        <v>983552</v>
      </c>
      <c r="D20" s="88" t="s">
        <v>496</v>
      </c>
    </row>
    <row r="21" spans="1:4" s="31" customFormat="1" ht="65.25" customHeight="1" x14ac:dyDescent="0.2">
      <c r="A21" s="46" t="s">
        <v>809</v>
      </c>
      <c r="B21" s="29">
        <f>'Сводка затрат'!H20</f>
        <v>94898</v>
      </c>
      <c r="C21" s="30">
        <f>ROUND('Сводка затрат'!E20*5.56,0)+ROUND('Сводка затрат'!D20*5.56,0)+ROUND('Сводка затрат'!F20*4.19,0)+ROUND('Сводка затрат'!G20*9.32,0)</f>
        <v>558447</v>
      </c>
      <c r="D21" s="88" t="s">
        <v>803</v>
      </c>
    </row>
    <row r="22" spans="1:4" s="31" customFormat="1" ht="57.75" customHeight="1" x14ac:dyDescent="0.2">
      <c r="A22" s="46" t="s">
        <v>500</v>
      </c>
      <c r="B22" s="29">
        <f>'Сводка затрат'!H21</f>
        <v>47797</v>
      </c>
      <c r="C22" s="30">
        <f>ROUND('Сводка затрат'!E21*5.56,0)+ROUND('Сводка затрат'!D21*5.56,0)+ROUND('Сводка затрат'!F21*4.19,0)+ROUND('Сводка затрат'!G21*9.32,0)</f>
        <v>275078</v>
      </c>
      <c r="D22" s="88" t="s">
        <v>497</v>
      </c>
    </row>
    <row r="23" spans="1:4" s="31" customFormat="1" ht="64.5" customHeight="1" x14ac:dyDescent="0.2">
      <c r="A23" s="46" t="s">
        <v>501</v>
      </c>
      <c r="B23" s="29">
        <f>'Сводка затрат'!H22</f>
        <v>55584</v>
      </c>
      <c r="C23" s="30">
        <f>ROUND('Сводка затрат'!E22*5.56,0)+ROUND('Сводка затрат'!D22*5.56,0)+ROUND('Сводка затрат'!F22*4.19,0)+ROUND('Сводка затрат'!G22*9.32,0)</f>
        <v>302179</v>
      </c>
      <c r="D23" s="88" t="s">
        <v>498</v>
      </c>
    </row>
    <row r="24" spans="1:4" s="31" customFormat="1" ht="64.5" customHeight="1" x14ac:dyDescent="0.2">
      <c r="A24" s="46" t="s">
        <v>937</v>
      </c>
      <c r="B24" s="29">
        <f>'Сводка затрат'!H23</f>
        <v>49149</v>
      </c>
      <c r="C24" s="30">
        <f>ROUND('Сводка затрат'!E23*5.56,0)+ROUND('Сводка затрат'!D23*5.56,0)+ROUND('Сводка затрат'!F23*4.19,0)+ROUND('Сводка затрат'!G23*9.32,0)</f>
        <v>279307</v>
      </c>
      <c r="D24" s="88" t="s">
        <v>935</v>
      </c>
    </row>
    <row r="25" spans="1:4" s="31" customFormat="1" ht="46.5" customHeight="1" x14ac:dyDescent="0.2">
      <c r="A25" s="46" t="s">
        <v>810</v>
      </c>
      <c r="B25" s="29">
        <f>'Сводка затрат'!H24</f>
        <v>25470</v>
      </c>
      <c r="C25" s="30">
        <f>ROUND('Сводка затрат'!E24*5.56,0)+ROUND('Сводка затрат'!D24*5.56,0)+ROUND('Сводка затрат'!F24*4.19,0)+ROUND('Сводка затрат'!G24*9.32,0)</f>
        <v>146859</v>
      </c>
      <c r="D25" s="88" t="s">
        <v>804</v>
      </c>
    </row>
    <row r="26" spans="1:4" s="31" customFormat="1" ht="46.5" customHeight="1" x14ac:dyDescent="0.2">
      <c r="A26" s="46" t="s">
        <v>938</v>
      </c>
      <c r="B26" s="29">
        <f>'Сводка затрат'!H25</f>
        <v>663136</v>
      </c>
      <c r="C26" s="30">
        <f>ROUND('Сводка затрат'!E25*5.56,0)+ROUND('Сводка затрат'!D25*5.56,0)+ROUND('Сводка затрат'!F25*4.19,0)+ROUND('Сводка затрат'!G25*9.32,0)</f>
        <v>3365677</v>
      </c>
      <c r="D26" s="88" t="s">
        <v>936</v>
      </c>
    </row>
    <row r="27" spans="1:4" s="31" customFormat="1" ht="20.25" customHeight="1" x14ac:dyDescent="0.2">
      <c r="A27" s="53" t="s">
        <v>66</v>
      </c>
      <c r="B27" s="32">
        <f>SUM(B14:B26)</f>
        <v>1806653</v>
      </c>
      <c r="C27" s="32">
        <f>SUM(C14:C26)</f>
        <v>9484740</v>
      </c>
      <c r="D27" s="48"/>
    </row>
    <row r="28" spans="1:4" s="31" customFormat="1" ht="15" customHeight="1" x14ac:dyDescent="0.2">
      <c r="A28" s="34"/>
      <c r="B28" s="32"/>
      <c r="C28" s="33"/>
      <c r="D28" s="49"/>
    </row>
    <row r="29" spans="1:4" s="31" customFormat="1" ht="15.75" customHeight="1" x14ac:dyDescent="0.2">
      <c r="A29" s="54" t="s">
        <v>67</v>
      </c>
      <c r="B29" s="55"/>
      <c r="C29" s="30">
        <f>ROUND(C27*18%,2)</f>
        <v>1707253.2</v>
      </c>
      <c r="D29" s="49"/>
    </row>
    <row r="30" spans="1:4" s="31" customFormat="1" ht="15" customHeight="1" x14ac:dyDescent="0.2">
      <c r="A30" s="34"/>
      <c r="B30" s="36"/>
      <c r="C30" s="33"/>
      <c r="D30" s="49"/>
    </row>
    <row r="31" spans="1:4" s="31" customFormat="1" ht="20.100000000000001" customHeight="1" x14ac:dyDescent="0.2">
      <c r="A31" s="37" t="s">
        <v>26</v>
      </c>
      <c r="B31" s="38"/>
      <c r="C31" s="39">
        <f>SUM(C27:C30)</f>
        <v>11191993.199999999</v>
      </c>
      <c r="D31" s="50"/>
    </row>
    <row r="32" spans="1:4" s="31" customFormat="1" ht="18.75" customHeight="1" x14ac:dyDescent="0.2">
      <c r="A32" s="40"/>
      <c r="B32" s="41"/>
      <c r="C32" s="41"/>
      <c r="D32" s="35"/>
    </row>
    <row r="34" spans="1:4" s="21" customFormat="1" ht="15.75" x14ac:dyDescent="0.25">
      <c r="A34" s="21" t="s">
        <v>68</v>
      </c>
      <c r="D34" s="42"/>
    </row>
    <row r="35" spans="1:4" s="21" customFormat="1" ht="15.75" x14ac:dyDescent="0.25">
      <c r="A35" s="21" t="s">
        <v>69</v>
      </c>
      <c r="B35" s="22"/>
      <c r="C35" s="43" t="s">
        <v>504</v>
      </c>
      <c r="D35" s="42"/>
    </row>
    <row r="36" spans="1:4" s="21" customFormat="1" ht="26.25" customHeight="1" x14ac:dyDescent="0.25">
      <c r="C36" s="43"/>
      <c r="D36" s="42"/>
    </row>
    <row r="37" spans="1:4" s="21" customFormat="1" ht="15.75" x14ac:dyDescent="0.25">
      <c r="A37" s="21" t="s">
        <v>70</v>
      </c>
      <c r="B37" s="22"/>
      <c r="C37" s="43" t="s">
        <v>71</v>
      </c>
      <c r="D37" s="42"/>
    </row>
    <row r="40" spans="1:4" ht="15.75" x14ac:dyDescent="0.25">
      <c r="A40" s="21" t="s">
        <v>79</v>
      </c>
      <c r="B40" s="93"/>
      <c r="C40" s="43" t="s">
        <v>80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39370078740157483" bottom="0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M37"/>
  <sheetViews>
    <sheetView tabSelected="1" topLeftCell="A21" zoomScaleNormal="100" zoomScaleSheetLayoutView="75" workbookViewId="0">
      <selection activeCell="G25" sqref="G25"/>
    </sheetView>
  </sheetViews>
  <sheetFormatPr defaultColWidth="20.140625" defaultRowHeight="15.75" x14ac:dyDescent="0.2"/>
  <cols>
    <col min="1" max="1" width="4" style="81" customWidth="1"/>
    <col min="2" max="2" width="12.85546875" style="81" customWidth="1"/>
    <col min="3" max="3" width="45.7109375" style="56" customWidth="1"/>
    <col min="4" max="4" width="15.7109375" style="56" customWidth="1"/>
    <col min="5" max="5" width="14.7109375" style="56" customWidth="1"/>
    <col min="6" max="6" width="16.28515625" style="56" customWidth="1"/>
    <col min="7" max="7" width="11.7109375" style="56" customWidth="1"/>
    <col min="8" max="8" width="16.7109375" style="56" customWidth="1"/>
    <col min="9" max="9" width="20.140625" style="56"/>
    <col min="10" max="13" width="20.140625" style="143"/>
    <col min="14" max="16384" width="20.140625" style="56"/>
  </cols>
  <sheetData>
    <row r="1" spans="1:13" ht="15.75" customHeight="1" x14ac:dyDescent="0.2">
      <c r="A1" s="191" t="s">
        <v>74</v>
      </c>
      <c r="B1" s="191"/>
      <c r="C1" s="191"/>
      <c r="D1" s="191"/>
      <c r="E1" s="191"/>
      <c r="F1" s="191"/>
      <c r="G1" s="191"/>
      <c r="H1" s="191"/>
    </row>
    <row r="2" spans="1:13" ht="15.75" customHeight="1" x14ac:dyDescent="0.2">
      <c r="A2" s="195"/>
      <c r="B2" s="195"/>
      <c r="C2" s="195"/>
      <c r="D2" s="195"/>
      <c r="E2" s="195"/>
      <c r="F2" s="195"/>
      <c r="G2" s="195"/>
      <c r="H2" s="195"/>
    </row>
    <row r="3" spans="1:13" s="57" customFormat="1" ht="15.75" customHeight="1" x14ac:dyDescent="0.2">
      <c r="A3" s="196" t="s">
        <v>14</v>
      </c>
      <c r="B3" s="196"/>
      <c r="C3" s="196"/>
      <c r="D3" s="196"/>
      <c r="E3" s="196"/>
      <c r="F3" s="196"/>
      <c r="G3" s="196"/>
      <c r="H3" s="196"/>
      <c r="J3" s="143"/>
      <c r="K3" s="143"/>
      <c r="L3" s="143"/>
      <c r="M3" s="143"/>
    </row>
    <row r="4" spans="1:13" s="57" customFormat="1" ht="15.75" customHeight="1" x14ac:dyDescent="0.3">
      <c r="A4" s="197"/>
      <c r="B4" s="197"/>
      <c r="C4" s="197"/>
      <c r="D4" s="197"/>
      <c r="E4" s="197"/>
      <c r="F4" s="197"/>
      <c r="G4" s="197"/>
      <c r="H4" s="197"/>
      <c r="J4" s="143"/>
      <c r="K4" s="143"/>
      <c r="L4" s="143"/>
      <c r="M4" s="143"/>
    </row>
    <row r="5" spans="1:13" s="57" customFormat="1" ht="20.25" customHeight="1" x14ac:dyDescent="0.2">
      <c r="A5" s="198" t="s">
        <v>13</v>
      </c>
      <c r="B5" s="198"/>
      <c r="C5" s="198"/>
      <c r="D5" s="198"/>
      <c r="E5" s="198"/>
      <c r="F5" s="198"/>
      <c r="G5" s="198"/>
      <c r="H5" s="198"/>
      <c r="J5" s="143"/>
      <c r="K5" s="143"/>
      <c r="L5" s="143"/>
      <c r="M5" s="143"/>
    </row>
    <row r="6" spans="1:13" s="57" customFormat="1" ht="12" customHeight="1" x14ac:dyDescent="0.2">
      <c r="A6" s="198"/>
      <c r="B6" s="198"/>
      <c r="C6" s="198"/>
      <c r="D6" s="198"/>
      <c r="E6" s="198"/>
      <c r="F6" s="198"/>
      <c r="G6" s="198"/>
      <c r="H6" s="198"/>
      <c r="J6" s="143"/>
      <c r="K6" s="143"/>
      <c r="L6" s="143"/>
      <c r="M6" s="143"/>
    </row>
    <row r="7" spans="1:13" s="57" customFormat="1" ht="37.5" customHeight="1" x14ac:dyDescent="0.2">
      <c r="A7" s="193" t="s">
        <v>81</v>
      </c>
      <c r="B7" s="193"/>
      <c r="C7" s="193"/>
      <c r="D7" s="193"/>
      <c r="E7" s="193"/>
      <c r="F7" s="193"/>
      <c r="G7" s="193"/>
      <c r="H7" s="193"/>
      <c r="J7" s="143"/>
      <c r="K7" s="143"/>
      <c r="L7" s="143"/>
      <c r="M7" s="143"/>
    </row>
    <row r="8" spans="1:13" s="58" customFormat="1" ht="17.25" customHeight="1" x14ac:dyDescent="0.3">
      <c r="A8" s="194"/>
      <c r="B8" s="194"/>
      <c r="C8" s="194"/>
      <c r="D8" s="194"/>
      <c r="E8" s="194"/>
      <c r="F8" s="194"/>
      <c r="G8" s="194"/>
      <c r="H8" s="194"/>
      <c r="J8" s="144"/>
      <c r="K8" s="144"/>
      <c r="L8" s="144"/>
      <c r="M8" s="144"/>
    </row>
    <row r="9" spans="1:13" s="62" customFormat="1" ht="20.45" customHeight="1" x14ac:dyDescent="0.25">
      <c r="A9" s="59" t="s">
        <v>12</v>
      </c>
      <c r="B9" s="59"/>
      <c r="C9" s="60"/>
      <c r="D9" s="60"/>
      <c r="E9" s="60"/>
      <c r="F9" s="60"/>
      <c r="G9" s="60"/>
      <c r="H9" s="61"/>
      <c r="J9" s="143"/>
      <c r="K9" s="143"/>
      <c r="L9" s="143"/>
      <c r="M9" s="143"/>
    </row>
    <row r="10" spans="1:13" s="57" customFormat="1" ht="18" customHeight="1" x14ac:dyDescent="0.2">
      <c r="A10" s="192" t="s">
        <v>72</v>
      </c>
      <c r="B10" s="192" t="s">
        <v>11</v>
      </c>
      <c r="C10" s="199" t="s">
        <v>10</v>
      </c>
      <c r="D10" s="199" t="s">
        <v>73</v>
      </c>
      <c r="E10" s="199"/>
      <c r="F10" s="199"/>
      <c r="G10" s="199"/>
      <c r="H10" s="192" t="s">
        <v>9</v>
      </c>
      <c r="J10" s="143"/>
      <c r="K10" s="143"/>
      <c r="L10" s="143"/>
      <c r="M10" s="143"/>
    </row>
    <row r="11" spans="1:13" s="64" customFormat="1" ht="70.5" customHeight="1" x14ac:dyDescent="0.2">
      <c r="A11" s="192"/>
      <c r="B11" s="192"/>
      <c r="C11" s="199"/>
      <c r="D11" s="63" t="s">
        <v>8</v>
      </c>
      <c r="E11" s="63" t="s">
        <v>7</v>
      </c>
      <c r="F11" s="63" t="s">
        <v>6</v>
      </c>
      <c r="G11" s="63" t="s">
        <v>75</v>
      </c>
      <c r="H11" s="192"/>
      <c r="J11" s="143"/>
      <c r="K11" s="143"/>
      <c r="L11" s="143"/>
      <c r="M11" s="143"/>
    </row>
    <row r="12" spans="1:13" s="57" customFormat="1" x14ac:dyDescent="0.25">
      <c r="A12" s="65" t="s">
        <v>62</v>
      </c>
      <c r="B12" s="65" t="s">
        <v>63</v>
      </c>
      <c r="C12" s="66" t="s">
        <v>64</v>
      </c>
      <c r="D12" s="66" t="s">
        <v>65</v>
      </c>
      <c r="E12" s="66" t="s">
        <v>5</v>
      </c>
      <c r="F12" s="66" t="s">
        <v>4</v>
      </c>
      <c r="G12" s="66" t="s">
        <v>3</v>
      </c>
      <c r="H12" s="66" t="s">
        <v>2</v>
      </c>
      <c r="J12" s="143"/>
      <c r="K12" s="143"/>
      <c r="L12" s="143"/>
      <c r="M12" s="143"/>
    </row>
    <row r="13" spans="1:13" s="57" customFormat="1" ht="78" customHeight="1" x14ac:dyDescent="0.2">
      <c r="A13" s="67">
        <v>1</v>
      </c>
      <c r="B13" s="68" t="s">
        <v>800</v>
      </c>
      <c r="C13" s="87" t="s">
        <v>805</v>
      </c>
      <c r="D13" s="69">
        <v>0</v>
      </c>
      <c r="E13" s="69">
        <f>'23727'!K89</f>
        <v>16120</v>
      </c>
      <c r="F13" s="69">
        <f>'23727'!K90</f>
        <v>4597</v>
      </c>
      <c r="G13" s="69">
        <f>'23727'!K91</f>
        <v>2784</v>
      </c>
      <c r="H13" s="69">
        <f>SUM(D13:G13)</f>
        <v>23501</v>
      </c>
      <c r="I13" s="143">
        <f>ROUND(D13*5.56,0)</f>
        <v>0</v>
      </c>
      <c r="J13" s="143">
        <f>ROUND(E13*5.56,0)</f>
        <v>89627</v>
      </c>
      <c r="K13" s="143">
        <f>ROUND(F13*4.19,0)</f>
        <v>19261</v>
      </c>
      <c r="L13" s="143">
        <f>ROUND(G13*9.32,0)</f>
        <v>25947</v>
      </c>
      <c r="M13" s="143">
        <f>SUM(I13:L13)</f>
        <v>134835</v>
      </c>
    </row>
    <row r="14" spans="1:13" s="57" customFormat="1" ht="78" customHeight="1" x14ac:dyDescent="0.2">
      <c r="A14" s="67">
        <v>2</v>
      </c>
      <c r="B14" s="68" t="s">
        <v>801</v>
      </c>
      <c r="C14" s="87" t="s">
        <v>806</v>
      </c>
      <c r="D14" s="69">
        <v>0</v>
      </c>
      <c r="E14" s="69">
        <f>'23857'!J83</f>
        <v>147488</v>
      </c>
      <c r="F14" s="69">
        <v>0</v>
      </c>
      <c r="G14" s="69">
        <f>'23857'!J84</f>
        <v>4987</v>
      </c>
      <c r="H14" s="69">
        <f t="shared" ref="H14:H25" si="0">SUM(D14:G14)</f>
        <v>152475</v>
      </c>
      <c r="I14" s="143">
        <f t="shared" ref="I14:I24" si="1">ROUND(D14*5.56,0)</f>
        <v>0</v>
      </c>
      <c r="J14" s="143">
        <f t="shared" ref="J14:J24" si="2">ROUND(E14*5.56,0)</f>
        <v>820033</v>
      </c>
      <c r="K14" s="143">
        <f t="shared" ref="K14:K24" si="3">ROUND(F14*4.19,0)</f>
        <v>0</v>
      </c>
      <c r="L14" s="143">
        <f t="shared" ref="L14:L24" si="4">ROUND(G14*9.32,0)</f>
        <v>46479</v>
      </c>
      <c r="M14" s="143">
        <f t="shared" ref="M14:M24" si="5">SUM(I14:L14)</f>
        <v>866512</v>
      </c>
    </row>
    <row r="15" spans="1:13" s="57" customFormat="1" ht="78" customHeight="1" x14ac:dyDescent="0.2">
      <c r="A15" s="67">
        <v>3</v>
      </c>
      <c r="B15" s="68" t="s">
        <v>493</v>
      </c>
      <c r="C15" s="87" t="s">
        <v>499</v>
      </c>
      <c r="D15" s="69">
        <v>0</v>
      </c>
      <c r="E15" s="69">
        <f>'23938'!K57</f>
        <v>41621</v>
      </c>
      <c r="F15" s="69">
        <f>'23938'!K58</f>
        <v>119285</v>
      </c>
      <c r="G15" s="69">
        <v>0</v>
      </c>
      <c r="H15" s="69">
        <f t="shared" si="0"/>
        <v>160906</v>
      </c>
      <c r="I15" s="143">
        <f t="shared" si="1"/>
        <v>0</v>
      </c>
      <c r="J15" s="143">
        <f t="shared" si="2"/>
        <v>231413</v>
      </c>
      <c r="K15" s="143">
        <f t="shared" si="3"/>
        <v>499804</v>
      </c>
      <c r="L15" s="143">
        <f t="shared" si="4"/>
        <v>0</v>
      </c>
      <c r="M15" s="143">
        <f t="shared" si="5"/>
        <v>731217</v>
      </c>
    </row>
    <row r="16" spans="1:13" s="57" customFormat="1" ht="78" customHeight="1" x14ac:dyDescent="0.2">
      <c r="A16" s="67">
        <v>4</v>
      </c>
      <c r="B16" s="68" t="s">
        <v>494</v>
      </c>
      <c r="C16" s="87" t="s">
        <v>502</v>
      </c>
      <c r="D16" s="69">
        <v>0</v>
      </c>
      <c r="E16" s="69">
        <f>'24221'!J60</f>
        <v>187278</v>
      </c>
      <c r="F16" s="69">
        <v>0</v>
      </c>
      <c r="G16" s="69">
        <v>0</v>
      </c>
      <c r="H16" s="69">
        <f t="shared" si="0"/>
        <v>187278</v>
      </c>
      <c r="I16" s="143">
        <f t="shared" si="1"/>
        <v>0</v>
      </c>
      <c r="J16" s="143">
        <f t="shared" si="2"/>
        <v>1041266</v>
      </c>
      <c r="K16" s="143">
        <f t="shared" si="3"/>
        <v>0</v>
      </c>
      <c r="L16" s="143">
        <f t="shared" si="4"/>
        <v>0</v>
      </c>
      <c r="M16" s="143">
        <f t="shared" si="5"/>
        <v>1041266</v>
      </c>
    </row>
    <row r="17" spans="1:13" s="57" customFormat="1" ht="78" customHeight="1" x14ac:dyDescent="0.2">
      <c r="A17" s="67">
        <v>5</v>
      </c>
      <c r="B17" s="68" t="s">
        <v>495</v>
      </c>
      <c r="C17" s="87" t="s">
        <v>502</v>
      </c>
      <c r="D17" s="69">
        <v>0</v>
      </c>
      <c r="E17" s="69">
        <f>'24289'!J59</f>
        <v>7096</v>
      </c>
      <c r="F17" s="69">
        <f>'24289'!J60</f>
        <v>2398</v>
      </c>
      <c r="G17" s="69">
        <v>0</v>
      </c>
      <c r="H17" s="69">
        <f t="shared" si="0"/>
        <v>9494</v>
      </c>
      <c r="I17" s="143">
        <f t="shared" si="1"/>
        <v>0</v>
      </c>
      <c r="J17" s="143">
        <f t="shared" si="2"/>
        <v>39454</v>
      </c>
      <c r="K17" s="143">
        <f t="shared" si="3"/>
        <v>10048</v>
      </c>
      <c r="L17" s="143">
        <f t="shared" si="4"/>
        <v>0</v>
      </c>
      <c r="M17" s="143">
        <f t="shared" si="5"/>
        <v>49502</v>
      </c>
    </row>
    <row r="18" spans="1:13" s="57" customFormat="1" ht="90.75" customHeight="1" x14ac:dyDescent="0.2">
      <c r="A18" s="67">
        <v>6</v>
      </c>
      <c r="B18" s="68" t="s">
        <v>802</v>
      </c>
      <c r="C18" s="87" t="s">
        <v>807</v>
      </c>
      <c r="D18" s="69">
        <v>0</v>
      </c>
      <c r="E18" s="69">
        <f>'24659'!K123</f>
        <v>103899</v>
      </c>
      <c r="F18" s="69">
        <f>'24659'!K124</f>
        <v>37506</v>
      </c>
      <c r="G18" s="69">
        <f>'24659'!K125</f>
        <v>1661</v>
      </c>
      <c r="H18" s="69">
        <f t="shared" si="0"/>
        <v>143066</v>
      </c>
      <c r="I18" s="143">
        <f t="shared" si="1"/>
        <v>0</v>
      </c>
      <c r="J18" s="143">
        <f t="shared" si="2"/>
        <v>577678</v>
      </c>
      <c r="K18" s="143">
        <f t="shared" si="3"/>
        <v>157150</v>
      </c>
      <c r="L18" s="143">
        <f t="shared" si="4"/>
        <v>15481</v>
      </c>
      <c r="M18" s="143">
        <f t="shared" si="5"/>
        <v>750309</v>
      </c>
    </row>
    <row r="19" spans="1:13" s="57" customFormat="1" ht="78" customHeight="1" x14ac:dyDescent="0.2">
      <c r="A19" s="67">
        <v>7</v>
      </c>
      <c r="B19" s="68" t="s">
        <v>496</v>
      </c>
      <c r="C19" s="87" t="s">
        <v>808</v>
      </c>
      <c r="D19" s="69">
        <v>0</v>
      </c>
      <c r="E19" s="69">
        <f>'24671'!K123</f>
        <v>94058</v>
      </c>
      <c r="F19" s="69">
        <f>'24671'!K124</f>
        <v>91604</v>
      </c>
      <c r="G19" s="69">
        <f>'24671'!K125</f>
        <v>8237</v>
      </c>
      <c r="H19" s="69">
        <f t="shared" si="0"/>
        <v>193899</v>
      </c>
      <c r="I19" s="143">
        <f t="shared" si="1"/>
        <v>0</v>
      </c>
      <c r="J19" s="143">
        <f t="shared" si="2"/>
        <v>522962</v>
      </c>
      <c r="K19" s="143">
        <f t="shared" si="3"/>
        <v>383821</v>
      </c>
      <c r="L19" s="143">
        <f t="shared" si="4"/>
        <v>76769</v>
      </c>
      <c r="M19" s="143">
        <f t="shared" si="5"/>
        <v>983552</v>
      </c>
    </row>
    <row r="20" spans="1:13" s="57" customFormat="1" ht="78" customHeight="1" x14ac:dyDescent="0.2">
      <c r="A20" s="67">
        <v>8</v>
      </c>
      <c r="B20" s="68" t="s">
        <v>803</v>
      </c>
      <c r="C20" s="87" t="s">
        <v>809</v>
      </c>
      <c r="D20" s="69">
        <v>0</v>
      </c>
      <c r="E20" s="69">
        <f>'24715'!K116</f>
        <v>79238</v>
      </c>
      <c r="F20" s="69">
        <f>'24715'!K117</f>
        <v>5471</v>
      </c>
      <c r="G20" s="69">
        <f>'24715'!K118</f>
        <v>10189</v>
      </c>
      <c r="H20" s="69">
        <f t="shared" si="0"/>
        <v>94898</v>
      </c>
      <c r="I20" s="143">
        <f t="shared" si="1"/>
        <v>0</v>
      </c>
      <c r="J20" s="143">
        <f t="shared" si="2"/>
        <v>440563</v>
      </c>
      <c r="K20" s="143">
        <f t="shared" si="3"/>
        <v>22923</v>
      </c>
      <c r="L20" s="143">
        <f t="shared" si="4"/>
        <v>94961</v>
      </c>
      <c r="M20" s="143">
        <f t="shared" si="5"/>
        <v>558447</v>
      </c>
    </row>
    <row r="21" spans="1:13" s="57" customFormat="1" ht="78" customHeight="1" x14ac:dyDescent="0.2">
      <c r="A21" s="67">
        <v>9</v>
      </c>
      <c r="B21" s="68" t="s">
        <v>497</v>
      </c>
      <c r="C21" s="87" t="s">
        <v>500</v>
      </c>
      <c r="D21" s="69">
        <v>0</v>
      </c>
      <c r="E21" s="69">
        <f>'24780'!K108</f>
        <v>37979</v>
      </c>
      <c r="F21" s="69">
        <f>'24780'!K109</f>
        <v>5378</v>
      </c>
      <c r="G21" s="69">
        <f>'24780'!K110</f>
        <v>4440</v>
      </c>
      <c r="H21" s="69">
        <f t="shared" si="0"/>
        <v>47797</v>
      </c>
      <c r="I21" s="143">
        <f t="shared" si="1"/>
        <v>0</v>
      </c>
      <c r="J21" s="143">
        <f t="shared" si="2"/>
        <v>211163</v>
      </c>
      <c r="K21" s="143">
        <f t="shared" si="3"/>
        <v>22534</v>
      </c>
      <c r="L21" s="143">
        <f t="shared" si="4"/>
        <v>41381</v>
      </c>
      <c r="M21" s="143">
        <f t="shared" si="5"/>
        <v>275078</v>
      </c>
    </row>
    <row r="22" spans="1:13" s="57" customFormat="1" ht="78" customHeight="1" x14ac:dyDescent="0.2">
      <c r="A22" s="67">
        <v>10</v>
      </c>
      <c r="B22" s="68" t="s">
        <v>498</v>
      </c>
      <c r="C22" s="87" t="s">
        <v>501</v>
      </c>
      <c r="D22" s="69">
        <v>0</v>
      </c>
      <c r="E22" s="69">
        <f>'24798'!K110</f>
        <v>36851</v>
      </c>
      <c r="F22" s="69">
        <f>'24798'!K111</f>
        <v>15069</v>
      </c>
      <c r="G22" s="69">
        <f>'24798'!K112</f>
        <v>3664</v>
      </c>
      <c r="H22" s="69">
        <f t="shared" si="0"/>
        <v>55584</v>
      </c>
      <c r="I22" s="143">
        <f t="shared" si="1"/>
        <v>0</v>
      </c>
      <c r="J22" s="143">
        <f t="shared" si="2"/>
        <v>204892</v>
      </c>
      <c r="K22" s="143">
        <f t="shared" si="3"/>
        <v>63139</v>
      </c>
      <c r="L22" s="143">
        <f t="shared" si="4"/>
        <v>34148</v>
      </c>
      <c r="M22" s="143">
        <f t="shared" si="5"/>
        <v>302179</v>
      </c>
    </row>
    <row r="23" spans="1:13" s="57" customFormat="1" ht="78" customHeight="1" x14ac:dyDescent="0.2">
      <c r="A23" s="67">
        <v>11</v>
      </c>
      <c r="B23" s="68" t="s">
        <v>935</v>
      </c>
      <c r="C23" s="87" t="s">
        <v>937</v>
      </c>
      <c r="D23" s="69">
        <v>0</v>
      </c>
      <c r="E23" s="69">
        <f>'24817'!K110</f>
        <v>33325</v>
      </c>
      <c r="F23" s="69">
        <f>'24817'!K111</f>
        <v>10421</v>
      </c>
      <c r="G23" s="69">
        <f>'24817'!K112</f>
        <v>5403</v>
      </c>
      <c r="H23" s="69">
        <f t="shared" si="0"/>
        <v>49149</v>
      </c>
      <c r="I23" s="143">
        <f t="shared" si="1"/>
        <v>0</v>
      </c>
      <c r="J23" s="143">
        <f t="shared" ref="J23" si="6">ROUND(E23*5.56,0)</f>
        <v>185287</v>
      </c>
      <c r="K23" s="143">
        <f t="shared" ref="K23" si="7">ROUND(F23*4.19,0)</f>
        <v>43664</v>
      </c>
      <c r="L23" s="143">
        <f t="shared" ref="L23" si="8">ROUND(G23*9.32,0)</f>
        <v>50356</v>
      </c>
      <c r="M23" s="143">
        <f t="shared" ref="M23" si="9">SUM(I23:L23)</f>
        <v>279307</v>
      </c>
    </row>
    <row r="24" spans="1:13" s="57" customFormat="1" ht="78" customHeight="1" x14ac:dyDescent="0.2">
      <c r="A24" s="67">
        <v>12</v>
      </c>
      <c r="B24" s="68" t="s">
        <v>804</v>
      </c>
      <c r="C24" s="87" t="s">
        <v>810</v>
      </c>
      <c r="D24" s="69">
        <f>'24865'!K97</f>
        <v>244</v>
      </c>
      <c r="E24" s="69">
        <f>'24865'!K98</f>
        <v>22936</v>
      </c>
      <c r="F24" s="69">
        <f>'24865'!K99</f>
        <v>656</v>
      </c>
      <c r="G24" s="69">
        <f>'24865'!K100</f>
        <v>1634</v>
      </c>
      <c r="H24" s="69">
        <f t="shared" si="0"/>
        <v>25470</v>
      </c>
      <c r="I24" s="143">
        <f t="shared" si="1"/>
        <v>1357</v>
      </c>
      <c r="J24" s="143">
        <f t="shared" si="2"/>
        <v>127524</v>
      </c>
      <c r="K24" s="143">
        <f t="shared" si="3"/>
        <v>2749</v>
      </c>
      <c r="L24" s="143">
        <f t="shared" si="4"/>
        <v>15229</v>
      </c>
      <c r="M24" s="143">
        <f t="shared" si="5"/>
        <v>146859</v>
      </c>
    </row>
    <row r="25" spans="1:13" s="57" customFormat="1" ht="78" customHeight="1" x14ac:dyDescent="0.2">
      <c r="A25" s="67">
        <v>13</v>
      </c>
      <c r="B25" s="68" t="s">
        <v>936</v>
      </c>
      <c r="C25" s="160" t="s">
        <v>938</v>
      </c>
      <c r="D25" s="69">
        <v>0</v>
      </c>
      <c r="E25" s="69">
        <f>'24903'!K142</f>
        <v>382158</v>
      </c>
      <c r="F25" s="69">
        <f>'24903'!K143</f>
        <v>268584</v>
      </c>
      <c r="G25" s="69">
        <f>'24903'!K144</f>
        <v>12394</v>
      </c>
      <c r="H25" s="69">
        <f t="shared" si="0"/>
        <v>663136</v>
      </c>
      <c r="I25" s="143">
        <f>ROUND(D25*5.56,0)</f>
        <v>0</v>
      </c>
      <c r="J25" s="143">
        <f>ROUND(E25*5.56,0)</f>
        <v>2124798</v>
      </c>
      <c r="K25" s="143">
        <f t="shared" ref="K25" si="10">ROUND(F25*4.19,0)</f>
        <v>1125367</v>
      </c>
      <c r="L25" s="143">
        <f t="shared" ref="L25" si="11">ROUND(G25*9.32,0)</f>
        <v>115512</v>
      </c>
      <c r="M25" s="143">
        <f t="shared" ref="M25" si="12">SUM(I25:L25)</f>
        <v>3365677</v>
      </c>
    </row>
    <row r="26" spans="1:13" s="72" customFormat="1" ht="37.5" customHeight="1" x14ac:dyDescent="0.2">
      <c r="A26" s="67"/>
      <c r="B26" s="63"/>
      <c r="C26" s="70" t="s">
        <v>1</v>
      </c>
      <c r="D26" s="71">
        <f>SUM(D13:D25)</f>
        <v>244</v>
      </c>
      <c r="E26" s="71">
        <f>SUM(E13:E25)</f>
        <v>1190047</v>
      </c>
      <c r="F26" s="71">
        <f>SUM(F13:F25)</f>
        <v>560969</v>
      </c>
      <c r="G26" s="71">
        <f>SUM(G13:G25)</f>
        <v>55393</v>
      </c>
      <c r="H26" s="71">
        <f>SUM(D26:G26)</f>
        <v>1806653</v>
      </c>
      <c r="I26" s="143">
        <f>SUM(I13:I25)</f>
        <v>1357</v>
      </c>
      <c r="J26" s="143">
        <f>SUM(J13:J25)</f>
        <v>6616660</v>
      </c>
      <c r="K26" s="143">
        <f>SUM(K13:K25)</f>
        <v>2350460</v>
      </c>
      <c r="L26" s="143">
        <f>SUM(L13:L25)</f>
        <v>516263</v>
      </c>
      <c r="M26" s="145">
        <f>SUM(M13:M25)</f>
        <v>9484740</v>
      </c>
    </row>
    <row r="27" spans="1:13" s="75" customFormat="1" ht="59.25" customHeight="1" x14ac:dyDescent="0.2">
      <c r="A27" s="73"/>
      <c r="B27" s="73"/>
      <c r="C27" s="74" t="s">
        <v>503</v>
      </c>
      <c r="D27" s="71">
        <f>ROUND(D26*5.56,0)</f>
        <v>1357</v>
      </c>
      <c r="E27" s="71">
        <f>ROUND(E26*5.56,0)-1</f>
        <v>6616660</v>
      </c>
      <c r="F27" s="71">
        <f>ROUND(F26*4.19,0)</f>
        <v>2350460</v>
      </c>
      <c r="G27" s="71">
        <f>ROUND(G26*9.32,0)</f>
        <v>516263</v>
      </c>
      <c r="H27" s="71">
        <f>SUM(D27:G27)</f>
        <v>9484740</v>
      </c>
      <c r="J27" s="143"/>
      <c r="K27" s="143"/>
      <c r="L27" s="143"/>
      <c r="M27" s="143"/>
    </row>
    <row r="28" spans="1:13" s="77" customFormat="1" ht="27.75" customHeight="1" x14ac:dyDescent="0.25">
      <c r="A28" s="76"/>
      <c r="B28" s="76"/>
      <c r="C28" s="86" t="s">
        <v>67</v>
      </c>
      <c r="D28" s="69">
        <f>ROUND(D27*18%,2)</f>
        <v>244.26</v>
      </c>
      <c r="E28" s="69">
        <f t="shared" ref="E28:G28" si="13">ROUND(E27*18%,2)</f>
        <v>1190998.8</v>
      </c>
      <c r="F28" s="69">
        <f t="shared" si="13"/>
        <v>423082.8</v>
      </c>
      <c r="G28" s="69">
        <f t="shared" si="13"/>
        <v>92927.34</v>
      </c>
      <c r="H28" s="69">
        <f>SUM(D28:G28)</f>
        <v>1707253.2000000002</v>
      </c>
      <c r="J28" s="143"/>
      <c r="K28" s="143"/>
      <c r="L28" s="143"/>
      <c r="M28" s="143"/>
    </row>
    <row r="29" spans="1:13" s="77" customFormat="1" ht="28.5" customHeight="1" x14ac:dyDescent="0.25">
      <c r="A29" s="78"/>
      <c r="B29" s="78"/>
      <c r="C29" s="79" t="s">
        <v>0</v>
      </c>
      <c r="D29" s="80">
        <f>SUM(D27:D28)</f>
        <v>1601.26</v>
      </c>
      <c r="E29" s="80">
        <f t="shared" ref="E29:G29" si="14">SUM(E27:E28)</f>
        <v>7807658.7999999998</v>
      </c>
      <c r="F29" s="80">
        <f t="shared" si="14"/>
        <v>2773542.8</v>
      </c>
      <c r="G29" s="80">
        <f t="shared" si="14"/>
        <v>609190.34</v>
      </c>
      <c r="H29" s="71">
        <f>SUM(D29:G29)</f>
        <v>11191993.199999999</v>
      </c>
      <c r="J29" s="143"/>
      <c r="K29" s="143"/>
      <c r="L29" s="143"/>
      <c r="M29" s="143"/>
    </row>
    <row r="30" spans="1:13" x14ac:dyDescent="0.2">
      <c r="B30" s="82"/>
    </row>
    <row r="33" spans="1:13" s="84" customFormat="1" x14ac:dyDescent="0.25">
      <c r="A33" s="83"/>
      <c r="B33" s="83"/>
      <c r="C33" s="84" t="s">
        <v>15</v>
      </c>
      <c r="H33" s="84" t="s">
        <v>16</v>
      </c>
      <c r="J33" s="145"/>
      <c r="K33" s="145"/>
      <c r="L33" s="145"/>
      <c r="M33" s="145"/>
    </row>
    <row r="34" spans="1:13" s="77" customFormat="1" x14ac:dyDescent="0.25">
      <c r="A34" s="85"/>
      <c r="B34" s="85"/>
      <c r="C34" s="77" t="s">
        <v>17</v>
      </c>
      <c r="J34" s="143"/>
      <c r="K34" s="143"/>
      <c r="L34" s="143"/>
      <c r="M34" s="143"/>
    </row>
    <row r="35" spans="1:13" s="77" customFormat="1" x14ac:dyDescent="0.25">
      <c r="A35" s="85"/>
      <c r="B35" s="85"/>
      <c r="C35" s="77" t="s">
        <v>53</v>
      </c>
      <c r="J35" s="143"/>
      <c r="K35" s="143"/>
      <c r="L35" s="143"/>
      <c r="M35" s="143"/>
    </row>
    <row r="37" spans="1:13" s="77" customFormat="1" x14ac:dyDescent="0.25">
      <c r="A37" s="85"/>
      <c r="B37" s="85"/>
      <c r="C37" s="77" t="s">
        <v>18</v>
      </c>
      <c r="J37" s="143"/>
      <c r="K37" s="143"/>
      <c r="L37" s="143"/>
      <c r="M37" s="143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38" type="noConversion"/>
  <printOptions horizontalCentered="1"/>
  <pageMargins left="0.59055118110236227" right="0.39370078740157483" top="0.39370078740157483" bottom="0.19685039370078741" header="0" footer="0"/>
  <pageSetup paperSize="9" scale="58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82</vt:i4>
      </vt:variant>
    </vt:vector>
  </HeadingPairs>
  <TitlesOfParts>
    <vt:vector size="97" baseType="lpstr">
      <vt:lpstr>23727</vt:lpstr>
      <vt:lpstr>23857</vt:lpstr>
      <vt:lpstr>23938</vt:lpstr>
      <vt:lpstr>24221</vt:lpstr>
      <vt:lpstr>24289</vt:lpstr>
      <vt:lpstr>24659</vt:lpstr>
      <vt:lpstr>24671</vt:lpstr>
      <vt:lpstr>24715</vt:lpstr>
      <vt:lpstr>24780</vt:lpstr>
      <vt:lpstr>24798</vt:lpstr>
      <vt:lpstr>24817</vt:lpstr>
      <vt:lpstr>24865</vt:lpstr>
      <vt:lpstr>24903</vt:lpstr>
      <vt:lpstr>НМЦ</vt:lpstr>
      <vt:lpstr>Сводка затрат</vt:lpstr>
      <vt:lpstr>'23727'!Constr</vt:lpstr>
      <vt:lpstr>'23857'!Constr</vt:lpstr>
      <vt:lpstr>'23938'!Constr</vt:lpstr>
      <vt:lpstr>'24221'!Constr</vt:lpstr>
      <vt:lpstr>'24289'!Constr</vt:lpstr>
      <vt:lpstr>'24659'!Constr</vt:lpstr>
      <vt:lpstr>'24671'!Constr</vt:lpstr>
      <vt:lpstr>'24715'!Constr</vt:lpstr>
      <vt:lpstr>'24780'!Constr</vt:lpstr>
      <vt:lpstr>'24798'!Constr</vt:lpstr>
      <vt:lpstr>'24817'!Constr</vt:lpstr>
      <vt:lpstr>'24865'!Constr</vt:lpstr>
      <vt:lpstr>'24903'!Constr</vt:lpstr>
      <vt:lpstr>'23727'!FOT</vt:lpstr>
      <vt:lpstr>'23857'!FOT</vt:lpstr>
      <vt:lpstr>'23938'!FOT</vt:lpstr>
      <vt:lpstr>'24221'!FOT</vt:lpstr>
      <vt:lpstr>'24289'!FOT</vt:lpstr>
      <vt:lpstr>'24659'!FOT</vt:lpstr>
      <vt:lpstr>'24671'!FOT</vt:lpstr>
      <vt:lpstr>'24715'!FOT</vt:lpstr>
      <vt:lpstr>'24780'!FOT</vt:lpstr>
      <vt:lpstr>'24798'!FOT</vt:lpstr>
      <vt:lpstr>'24817'!FOT</vt:lpstr>
      <vt:lpstr>'24865'!FOT</vt:lpstr>
      <vt:lpstr>'24903'!FOT</vt:lpstr>
      <vt:lpstr>'23727'!Ind</vt:lpstr>
      <vt:lpstr>'23857'!Ind</vt:lpstr>
      <vt:lpstr>'24221'!Ind</vt:lpstr>
      <vt:lpstr>'24289'!Ind</vt:lpstr>
      <vt:lpstr>'24659'!Ind</vt:lpstr>
      <vt:lpstr>'24671'!Ind</vt:lpstr>
      <vt:lpstr>'24715'!Ind</vt:lpstr>
      <vt:lpstr>'24780'!Ind</vt:lpstr>
      <vt:lpstr>'24798'!Ind</vt:lpstr>
      <vt:lpstr>'24817'!Ind</vt:lpstr>
      <vt:lpstr>'24865'!Ind</vt:lpstr>
      <vt:lpstr>'24903'!Ind</vt:lpstr>
      <vt:lpstr>'23727'!Obj</vt:lpstr>
      <vt:lpstr>'23938'!Obj</vt:lpstr>
      <vt:lpstr>'24865'!Obj</vt:lpstr>
      <vt:lpstr>'23727'!Obosn</vt:lpstr>
      <vt:lpstr>'23857'!Obosn</vt:lpstr>
      <vt:lpstr>'23938'!Obosn</vt:lpstr>
      <vt:lpstr>'24221'!Obosn</vt:lpstr>
      <vt:lpstr>'24289'!Obosn</vt:lpstr>
      <vt:lpstr>'24659'!Obosn</vt:lpstr>
      <vt:lpstr>'24671'!Obosn</vt:lpstr>
      <vt:lpstr>'24715'!Obosn</vt:lpstr>
      <vt:lpstr>'24780'!Obosn</vt:lpstr>
      <vt:lpstr>'24798'!Obosn</vt:lpstr>
      <vt:lpstr>'24817'!Obosn</vt:lpstr>
      <vt:lpstr>'24865'!Obosn</vt:lpstr>
      <vt:lpstr>'24903'!Obosn</vt:lpstr>
      <vt:lpstr>'23727'!SmPr</vt:lpstr>
      <vt:lpstr>'23857'!SmPr</vt:lpstr>
      <vt:lpstr>'23938'!SmPr</vt:lpstr>
      <vt:lpstr>'24221'!SmPr</vt:lpstr>
      <vt:lpstr>'24289'!SmPr</vt:lpstr>
      <vt:lpstr>'24659'!SmPr</vt:lpstr>
      <vt:lpstr>'24671'!SmPr</vt:lpstr>
      <vt:lpstr>'24715'!SmPr</vt:lpstr>
      <vt:lpstr>'24780'!SmPr</vt:lpstr>
      <vt:lpstr>'24798'!SmPr</vt:lpstr>
      <vt:lpstr>'24817'!SmPr</vt:lpstr>
      <vt:lpstr>'24865'!SmPr</vt:lpstr>
      <vt:lpstr>'24903'!SmPr</vt:lpstr>
      <vt:lpstr>'23727'!Заголовки_для_печати</vt:lpstr>
      <vt:lpstr>'23857'!Заголовки_для_печати</vt:lpstr>
      <vt:lpstr>'23938'!Заголовки_для_печати</vt:lpstr>
      <vt:lpstr>'24221'!Заголовки_для_печати</vt:lpstr>
      <vt:lpstr>'24289'!Заголовки_для_печати</vt:lpstr>
      <vt:lpstr>'24659'!Заголовки_для_печати</vt:lpstr>
      <vt:lpstr>'24671'!Заголовки_для_печати</vt:lpstr>
      <vt:lpstr>'24715'!Заголовки_для_печати</vt:lpstr>
      <vt:lpstr>'24780'!Заголовки_для_печати</vt:lpstr>
      <vt:lpstr>'24798'!Заголовки_для_печати</vt:lpstr>
      <vt:lpstr>'24817'!Заголовки_для_печати</vt:lpstr>
      <vt:lpstr>'24865'!Заголовки_для_печати</vt:lpstr>
      <vt:lpstr>'24903'!Заголовки_для_печати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2013-08-29T04:54:26Z</cp:lastPrinted>
  <dcterms:created xsi:type="dcterms:W3CDTF">2002-02-11T05:58:42Z</dcterms:created>
  <dcterms:modified xsi:type="dcterms:W3CDTF">2013-09-03T06:35:10Z</dcterms:modified>
</cp:coreProperties>
</file>